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immy\Downloads\BOLETAS DE NOTAS I TRIMESTRE\"/>
    </mc:Choice>
  </mc:AlternateContent>
  <xr:revisionPtr revIDLastSave="0" documentId="13_ncr:1_{EA944E66-B71F-4C54-BBDB-79946D11386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°A" sheetId="1" r:id="rId1"/>
    <sheet name="1°B" sheetId="2" r:id="rId2"/>
    <sheet name="1°C" sheetId="3" r:id="rId3"/>
    <sheet name="1°D" sheetId="4" r:id="rId4"/>
    <sheet name="BOLETA 1°A" sheetId="5" r:id="rId5"/>
    <sheet name="BOLETA 1°B" sheetId="6" r:id="rId6"/>
    <sheet name="BOLETA 1°C" sheetId="7" r:id="rId7"/>
    <sheet name="BOLETA 1°D" sheetId="8" r:id="rId8"/>
  </sheets>
  <definedNames>
    <definedName name="bloquear_conf">#REF!</definedName>
    <definedName name="feb">#REF!</definedName>
    <definedName name="febrero">#REF!</definedName>
    <definedName name="lista_c">#REF!</definedName>
    <definedName name="locked">#REF!</definedName>
    <definedName name="materias">#REF!</definedName>
    <definedName name="NOTAS">#REF!</definedName>
    <definedName name="promedio">#REF!</definedName>
    <definedName name="qw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3" roundtripDataChecksum="rjlnRycqc8/BzErz3SF9k7fNDmsX7VC2LfyEMwnXXuE="/>
    </ext>
  </extLst>
</workbook>
</file>

<file path=xl/calcChain.xml><?xml version="1.0" encoding="utf-8"?>
<calcChain xmlns="http://schemas.openxmlformats.org/spreadsheetml/2006/main">
  <c r="N57" i="8" l="1"/>
  <c r="L57" i="8"/>
  <c r="J57" i="8"/>
  <c r="G57" i="8"/>
  <c r="P55" i="8"/>
  <c r="N55" i="8"/>
  <c r="L55" i="8"/>
  <c r="J55" i="8"/>
  <c r="G55" i="8"/>
  <c r="Q48" i="8"/>
  <c r="P48" i="8"/>
  <c r="H48" i="8"/>
  <c r="G48" i="8"/>
  <c r="Q47" i="8"/>
  <c r="P47" i="8"/>
  <c r="H47" i="8"/>
  <c r="G47" i="8"/>
  <c r="Q42" i="8"/>
  <c r="P42" i="8"/>
  <c r="H42" i="8"/>
  <c r="G42" i="8"/>
  <c r="Q41" i="8"/>
  <c r="P41" i="8"/>
  <c r="H41" i="8"/>
  <c r="G41" i="8"/>
  <c r="Q40" i="8"/>
  <c r="P40" i="8"/>
  <c r="H40" i="8"/>
  <c r="G40" i="8"/>
  <c r="Q39" i="8"/>
  <c r="P39" i="8"/>
  <c r="H39" i="8"/>
  <c r="G39" i="8"/>
  <c r="Q38" i="8"/>
  <c r="P38" i="8"/>
  <c r="H38" i="8"/>
  <c r="G38" i="8"/>
  <c r="Q37" i="8"/>
  <c r="P37" i="8"/>
  <c r="H37" i="8"/>
  <c r="G37" i="8"/>
  <c r="Q36" i="8"/>
  <c r="P36" i="8"/>
  <c r="H36" i="8"/>
  <c r="G36" i="8"/>
  <c r="Q35" i="8"/>
  <c r="P35" i="8"/>
  <c r="H35" i="8"/>
  <c r="G35" i="8"/>
  <c r="Q34" i="8"/>
  <c r="P34" i="8"/>
  <c r="H34" i="8"/>
  <c r="G34" i="8"/>
  <c r="Q33" i="8"/>
  <c r="P33" i="8"/>
  <c r="H33" i="8"/>
  <c r="G33" i="8"/>
  <c r="Q32" i="8"/>
  <c r="P32" i="8"/>
  <c r="H32" i="8"/>
  <c r="G32" i="8"/>
  <c r="Q31" i="8"/>
  <c r="P31" i="8"/>
  <c r="H31" i="8"/>
  <c r="G31" i="8"/>
  <c r="Q30" i="8"/>
  <c r="P30" i="8"/>
  <c r="H30" i="8"/>
  <c r="G30" i="8"/>
  <c r="Q29" i="8"/>
  <c r="P29" i="8"/>
  <c r="H29" i="8"/>
  <c r="G29" i="8"/>
  <c r="Q28" i="8"/>
  <c r="P28" i="8"/>
  <c r="H28" i="8"/>
  <c r="G28" i="8"/>
  <c r="Q27" i="8"/>
  <c r="P27" i="8"/>
  <c r="H27" i="8"/>
  <c r="G27" i="8"/>
  <c r="Q26" i="8"/>
  <c r="P26" i="8"/>
  <c r="H26" i="8"/>
  <c r="G26" i="8"/>
  <c r="Q25" i="8"/>
  <c r="P25" i="8"/>
  <c r="H25" i="8"/>
  <c r="G25" i="8"/>
  <c r="Q24" i="8"/>
  <c r="P24" i="8"/>
  <c r="H24" i="8"/>
  <c r="G24" i="8"/>
  <c r="Q23" i="8"/>
  <c r="P23" i="8"/>
  <c r="H23" i="8"/>
  <c r="G23" i="8"/>
  <c r="Q22" i="8"/>
  <c r="P22" i="8"/>
  <c r="H22" i="8"/>
  <c r="G22" i="8"/>
  <c r="Q21" i="8"/>
  <c r="P21" i="8"/>
  <c r="H21" i="8"/>
  <c r="G21" i="8"/>
  <c r="Q20" i="8"/>
  <c r="P20" i="8"/>
  <c r="H20" i="8"/>
  <c r="G20" i="8"/>
  <c r="Q19" i="8"/>
  <c r="P19" i="8"/>
  <c r="H19" i="8"/>
  <c r="G19" i="8"/>
  <c r="Q18" i="8"/>
  <c r="P18" i="8"/>
  <c r="H18" i="8"/>
  <c r="G18" i="8"/>
  <c r="P17" i="8"/>
  <c r="H17" i="8"/>
  <c r="G17" i="8"/>
  <c r="G13" i="8"/>
  <c r="K12" i="8"/>
  <c r="I12" i="8"/>
  <c r="G12" i="8"/>
  <c r="O10" i="8"/>
  <c r="G10" i="8"/>
  <c r="N57" i="7"/>
  <c r="L57" i="7"/>
  <c r="J57" i="7"/>
  <c r="G57" i="7"/>
  <c r="N56" i="7"/>
  <c r="L56" i="7"/>
  <c r="J56" i="7"/>
  <c r="G56" i="7"/>
  <c r="P55" i="7"/>
  <c r="N55" i="7"/>
  <c r="L55" i="7"/>
  <c r="J55" i="7"/>
  <c r="G55" i="7"/>
  <c r="Q48" i="7"/>
  <c r="P48" i="7"/>
  <c r="M48" i="7"/>
  <c r="L48" i="7"/>
  <c r="H48" i="7"/>
  <c r="G48" i="7"/>
  <c r="Q47" i="7"/>
  <c r="P47" i="7"/>
  <c r="M47" i="7"/>
  <c r="L47" i="7"/>
  <c r="H47" i="7"/>
  <c r="G47" i="7"/>
  <c r="Q42" i="7"/>
  <c r="P42" i="7"/>
  <c r="M42" i="7"/>
  <c r="L42" i="7"/>
  <c r="H42" i="7"/>
  <c r="G42" i="7"/>
  <c r="Q41" i="7"/>
  <c r="P41" i="7"/>
  <c r="M41" i="7"/>
  <c r="L41" i="7"/>
  <c r="H41" i="7"/>
  <c r="G41" i="7"/>
  <c r="Q40" i="7"/>
  <c r="P40" i="7"/>
  <c r="M40" i="7"/>
  <c r="L40" i="7"/>
  <c r="H40" i="7"/>
  <c r="G40" i="7"/>
  <c r="Q39" i="7"/>
  <c r="P39" i="7"/>
  <c r="M39" i="7"/>
  <c r="L39" i="7"/>
  <c r="H39" i="7"/>
  <c r="G39" i="7"/>
  <c r="Q38" i="7"/>
  <c r="P38" i="7"/>
  <c r="M38" i="7"/>
  <c r="L38" i="7"/>
  <c r="H38" i="7"/>
  <c r="G38" i="7"/>
  <c r="Q37" i="7"/>
  <c r="P37" i="7"/>
  <c r="M37" i="7"/>
  <c r="L37" i="7"/>
  <c r="H37" i="7"/>
  <c r="G37" i="7"/>
  <c r="Q36" i="7"/>
  <c r="P36" i="7"/>
  <c r="M36" i="7"/>
  <c r="L36" i="7"/>
  <c r="H36" i="7"/>
  <c r="G36" i="7"/>
  <c r="Q35" i="7"/>
  <c r="P35" i="7"/>
  <c r="M35" i="7"/>
  <c r="L35" i="7"/>
  <c r="H35" i="7"/>
  <c r="G35" i="7"/>
  <c r="Q34" i="7"/>
  <c r="P34" i="7"/>
  <c r="M34" i="7"/>
  <c r="L34" i="7"/>
  <c r="H34" i="7"/>
  <c r="G34" i="7"/>
  <c r="Q33" i="7"/>
  <c r="P33" i="7"/>
  <c r="M33" i="7"/>
  <c r="L33" i="7"/>
  <c r="H33" i="7"/>
  <c r="G33" i="7"/>
  <c r="Q32" i="7"/>
  <c r="P32" i="7"/>
  <c r="M32" i="7"/>
  <c r="L32" i="7"/>
  <c r="H32" i="7"/>
  <c r="G32" i="7"/>
  <c r="Q31" i="7"/>
  <c r="P31" i="7"/>
  <c r="M31" i="7"/>
  <c r="L31" i="7"/>
  <c r="H31" i="7"/>
  <c r="G31" i="7"/>
  <c r="Q30" i="7"/>
  <c r="P30" i="7"/>
  <c r="M30" i="7"/>
  <c r="L30" i="7"/>
  <c r="H30" i="7"/>
  <c r="G30" i="7"/>
  <c r="Q29" i="7"/>
  <c r="P29" i="7"/>
  <c r="M29" i="7"/>
  <c r="L29" i="7"/>
  <c r="H29" i="7"/>
  <c r="Q28" i="7"/>
  <c r="P28" i="7"/>
  <c r="M28" i="7"/>
  <c r="L28" i="7"/>
  <c r="H28" i="7"/>
  <c r="G28" i="7"/>
  <c r="Q27" i="7"/>
  <c r="P27" i="7"/>
  <c r="M27" i="7"/>
  <c r="L27" i="7"/>
  <c r="H27" i="7"/>
  <c r="G27" i="7"/>
  <c r="Q26" i="7"/>
  <c r="P26" i="7"/>
  <c r="M26" i="7"/>
  <c r="L26" i="7"/>
  <c r="H26" i="7"/>
  <c r="G26" i="7"/>
  <c r="Q25" i="7"/>
  <c r="P25" i="7"/>
  <c r="M25" i="7"/>
  <c r="L25" i="7"/>
  <c r="H25" i="7"/>
  <c r="G25" i="7"/>
  <c r="Q24" i="7"/>
  <c r="P24" i="7"/>
  <c r="M24" i="7"/>
  <c r="L24" i="7"/>
  <c r="H24" i="7"/>
  <c r="G24" i="7"/>
  <c r="Q23" i="7"/>
  <c r="P23" i="7"/>
  <c r="M23" i="7"/>
  <c r="L23" i="7"/>
  <c r="H23" i="7"/>
  <c r="G23" i="7"/>
  <c r="Q22" i="7"/>
  <c r="P22" i="7"/>
  <c r="M22" i="7"/>
  <c r="L22" i="7"/>
  <c r="H22" i="7"/>
  <c r="G22" i="7"/>
  <c r="Q21" i="7"/>
  <c r="P21" i="7"/>
  <c r="M21" i="7"/>
  <c r="L21" i="7"/>
  <c r="H21" i="7"/>
  <c r="G21" i="7"/>
  <c r="Q20" i="7"/>
  <c r="P20" i="7"/>
  <c r="M20" i="7"/>
  <c r="L20" i="7"/>
  <c r="H20" i="7"/>
  <c r="G20" i="7"/>
  <c r="Q19" i="7"/>
  <c r="P19" i="7"/>
  <c r="M19" i="7"/>
  <c r="L19" i="7"/>
  <c r="H19" i="7"/>
  <c r="G19" i="7"/>
  <c r="Q18" i="7"/>
  <c r="P18" i="7"/>
  <c r="M18" i="7"/>
  <c r="L18" i="7"/>
  <c r="H18" i="7"/>
  <c r="G18" i="7"/>
  <c r="P17" i="7"/>
  <c r="M17" i="7"/>
  <c r="L17" i="7"/>
  <c r="H17" i="7"/>
  <c r="G17" i="7"/>
  <c r="G13" i="7"/>
  <c r="K12" i="7"/>
  <c r="I12" i="7"/>
  <c r="G12" i="7"/>
  <c r="O10" i="7"/>
  <c r="G10" i="7"/>
  <c r="N57" i="6"/>
  <c r="L57" i="6"/>
  <c r="J57" i="6"/>
  <c r="G57" i="6"/>
  <c r="N56" i="6"/>
  <c r="L56" i="6"/>
  <c r="J56" i="6"/>
  <c r="G56" i="6"/>
  <c r="P55" i="6"/>
  <c r="N55" i="6"/>
  <c r="L55" i="6"/>
  <c r="J55" i="6"/>
  <c r="G55" i="6"/>
  <c r="Q48" i="6"/>
  <c r="P48" i="6"/>
  <c r="M48" i="6"/>
  <c r="L48" i="6"/>
  <c r="H48" i="6"/>
  <c r="G48" i="6"/>
  <c r="Q47" i="6"/>
  <c r="P47" i="6"/>
  <c r="M47" i="6"/>
  <c r="L47" i="6"/>
  <c r="H47" i="6"/>
  <c r="G47" i="6"/>
  <c r="Q42" i="6"/>
  <c r="P42" i="6"/>
  <c r="M42" i="6"/>
  <c r="L42" i="6"/>
  <c r="H42" i="6"/>
  <c r="G42" i="6"/>
  <c r="Q41" i="6"/>
  <c r="P41" i="6"/>
  <c r="M41" i="6"/>
  <c r="L41" i="6"/>
  <c r="H41" i="6"/>
  <c r="G41" i="6"/>
  <c r="Q40" i="6"/>
  <c r="P40" i="6"/>
  <c r="M40" i="6"/>
  <c r="L40" i="6"/>
  <c r="H40" i="6"/>
  <c r="G40" i="6"/>
  <c r="Q39" i="6"/>
  <c r="P39" i="6"/>
  <c r="M39" i="6"/>
  <c r="L39" i="6"/>
  <c r="H39" i="6"/>
  <c r="G39" i="6"/>
  <c r="Q38" i="6"/>
  <c r="P38" i="6"/>
  <c r="M38" i="6"/>
  <c r="L38" i="6"/>
  <c r="H38" i="6"/>
  <c r="G38" i="6"/>
  <c r="Q37" i="6"/>
  <c r="P37" i="6"/>
  <c r="M37" i="6"/>
  <c r="L37" i="6"/>
  <c r="H37" i="6"/>
  <c r="G37" i="6"/>
  <c r="Q36" i="6"/>
  <c r="P36" i="6"/>
  <c r="M36" i="6"/>
  <c r="L36" i="6"/>
  <c r="H36" i="6"/>
  <c r="G36" i="6"/>
  <c r="Q35" i="6"/>
  <c r="P35" i="6"/>
  <c r="M35" i="6"/>
  <c r="L35" i="6"/>
  <c r="H35" i="6"/>
  <c r="G35" i="6"/>
  <c r="Q34" i="6"/>
  <c r="P34" i="6"/>
  <c r="M34" i="6"/>
  <c r="L34" i="6"/>
  <c r="H34" i="6"/>
  <c r="G34" i="6"/>
  <c r="Q33" i="6"/>
  <c r="P33" i="6"/>
  <c r="M33" i="6"/>
  <c r="L33" i="6"/>
  <c r="H33" i="6"/>
  <c r="G33" i="6"/>
  <c r="Q32" i="6"/>
  <c r="P32" i="6"/>
  <c r="M32" i="6"/>
  <c r="L32" i="6"/>
  <c r="H32" i="6"/>
  <c r="G32" i="6"/>
  <c r="Q31" i="6"/>
  <c r="P31" i="6"/>
  <c r="M31" i="6"/>
  <c r="L31" i="6"/>
  <c r="H31" i="6"/>
  <c r="G31" i="6"/>
  <c r="Q30" i="6"/>
  <c r="P30" i="6"/>
  <c r="M30" i="6"/>
  <c r="L30" i="6"/>
  <c r="H30" i="6"/>
  <c r="G30" i="6"/>
  <c r="Q29" i="6"/>
  <c r="P29" i="6"/>
  <c r="M29" i="6"/>
  <c r="L29" i="6"/>
  <c r="H29" i="6"/>
  <c r="G29" i="6"/>
  <c r="Q28" i="6"/>
  <c r="P28" i="6"/>
  <c r="M28" i="6"/>
  <c r="L28" i="6"/>
  <c r="H28" i="6"/>
  <c r="G28" i="6"/>
  <c r="Q27" i="6"/>
  <c r="P27" i="6"/>
  <c r="M27" i="6"/>
  <c r="L27" i="6"/>
  <c r="H27" i="6"/>
  <c r="G27" i="6"/>
  <c r="Q26" i="6"/>
  <c r="P26" i="6"/>
  <c r="M26" i="6"/>
  <c r="L26" i="6"/>
  <c r="H26" i="6"/>
  <c r="G26" i="6"/>
  <c r="Q25" i="6"/>
  <c r="P25" i="6"/>
  <c r="M25" i="6"/>
  <c r="L25" i="6"/>
  <c r="H25" i="6"/>
  <c r="G25" i="6"/>
  <c r="Q24" i="6"/>
  <c r="P24" i="6"/>
  <c r="M24" i="6"/>
  <c r="L24" i="6"/>
  <c r="H24" i="6"/>
  <c r="G24" i="6"/>
  <c r="Q23" i="6"/>
  <c r="P23" i="6"/>
  <c r="M23" i="6"/>
  <c r="L23" i="6"/>
  <c r="H23" i="6"/>
  <c r="G23" i="6"/>
  <c r="Q22" i="6"/>
  <c r="P22" i="6"/>
  <c r="M22" i="6"/>
  <c r="L22" i="6"/>
  <c r="H22" i="6"/>
  <c r="G22" i="6"/>
  <c r="Q21" i="6"/>
  <c r="P21" i="6"/>
  <c r="M21" i="6"/>
  <c r="L21" i="6"/>
  <c r="H21" i="6"/>
  <c r="G21" i="6"/>
  <c r="Q20" i="6"/>
  <c r="P20" i="6"/>
  <c r="M20" i="6"/>
  <c r="L20" i="6"/>
  <c r="H20" i="6"/>
  <c r="G20" i="6"/>
  <c r="Q19" i="6"/>
  <c r="P19" i="6"/>
  <c r="M19" i="6"/>
  <c r="L19" i="6"/>
  <c r="H19" i="6"/>
  <c r="G19" i="6"/>
  <c r="Q18" i="6"/>
  <c r="P18" i="6"/>
  <c r="M18" i="6"/>
  <c r="L18" i="6"/>
  <c r="H18" i="6"/>
  <c r="G18" i="6"/>
  <c r="Q17" i="6"/>
  <c r="P17" i="6"/>
  <c r="M17" i="6"/>
  <c r="L17" i="6"/>
  <c r="H17" i="6"/>
  <c r="G17" i="6"/>
  <c r="G13" i="6"/>
  <c r="K12" i="6"/>
  <c r="I12" i="6"/>
  <c r="G12" i="6"/>
  <c r="O10" i="6"/>
  <c r="G10" i="6"/>
  <c r="N57" i="5"/>
  <c r="L57" i="5"/>
  <c r="J57" i="5"/>
  <c r="G57" i="5"/>
  <c r="N56" i="5"/>
  <c r="L56" i="5"/>
  <c r="J56" i="5"/>
  <c r="G56" i="5"/>
  <c r="P55" i="5"/>
  <c r="N55" i="5"/>
  <c r="L55" i="5"/>
  <c r="J55" i="5"/>
  <c r="G55" i="5"/>
  <c r="R48" i="5"/>
  <c r="Q48" i="5"/>
  <c r="M48" i="5"/>
  <c r="L48" i="5"/>
  <c r="H48" i="5"/>
  <c r="G48" i="5"/>
  <c r="R47" i="5"/>
  <c r="Q47" i="5"/>
  <c r="M47" i="5"/>
  <c r="L47" i="5"/>
  <c r="H47" i="5"/>
  <c r="G47" i="5"/>
  <c r="R42" i="5"/>
  <c r="Q42" i="5"/>
  <c r="M42" i="5"/>
  <c r="L42" i="5"/>
  <c r="H42" i="5"/>
  <c r="G42" i="5"/>
  <c r="R41" i="5"/>
  <c r="Q41" i="5"/>
  <c r="M41" i="5"/>
  <c r="L41" i="5"/>
  <c r="H41" i="5"/>
  <c r="G41" i="5"/>
  <c r="R40" i="5"/>
  <c r="Q40" i="5"/>
  <c r="M40" i="5"/>
  <c r="L40" i="5"/>
  <c r="H40" i="5"/>
  <c r="G40" i="5"/>
  <c r="R39" i="5"/>
  <c r="Q39" i="5"/>
  <c r="M39" i="5"/>
  <c r="L39" i="5"/>
  <c r="H39" i="5"/>
  <c r="G39" i="5"/>
  <c r="R38" i="5"/>
  <c r="Q38" i="5"/>
  <c r="M38" i="5"/>
  <c r="L38" i="5"/>
  <c r="H38" i="5"/>
  <c r="G38" i="5"/>
  <c r="R37" i="5"/>
  <c r="Q37" i="5"/>
  <c r="M37" i="5"/>
  <c r="L37" i="5"/>
  <c r="H37" i="5"/>
  <c r="G37" i="5"/>
  <c r="R36" i="5"/>
  <c r="Q36" i="5"/>
  <c r="M36" i="5"/>
  <c r="L36" i="5"/>
  <c r="H36" i="5"/>
  <c r="G36" i="5"/>
  <c r="R35" i="5"/>
  <c r="Q35" i="5"/>
  <c r="M35" i="5"/>
  <c r="L35" i="5"/>
  <c r="H35" i="5"/>
  <c r="G35" i="5"/>
  <c r="R34" i="5"/>
  <c r="Q34" i="5"/>
  <c r="M34" i="5"/>
  <c r="L34" i="5"/>
  <c r="H34" i="5"/>
  <c r="G34" i="5"/>
  <c r="R33" i="5"/>
  <c r="Q33" i="5"/>
  <c r="M33" i="5"/>
  <c r="L33" i="5"/>
  <c r="H33" i="5"/>
  <c r="G33" i="5"/>
  <c r="R32" i="5"/>
  <c r="Q32" i="5"/>
  <c r="M32" i="5"/>
  <c r="L32" i="5"/>
  <c r="H32" i="5"/>
  <c r="G32" i="5"/>
  <c r="R31" i="5"/>
  <c r="Q31" i="5"/>
  <c r="M31" i="5"/>
  <c r="L31" i="5"/>
  <c r="H31" i="5"/>
  <c r="G31" i="5"/>
  <c r="R30" i="5"/>
  <c r="Q30" i="5"/>
  <c r="M30" i="5"/>
  <c r="L30" i="5"/>
  <c r="H30" i="5"/>
  <c r="G30" i="5"/>
  <c r="R29" i="5"/>
  <c r="Q29" i="5"/>
  <c r="M29" i="5"/>
  <c r="L29" i="5"/>
  <c r="H29" i="5"/>
  <c r="G29" i="5"/>
  <c r="R28" i="5"/>
  <c r="Q28" i="5"/>
  <c r="M28" i="5"/>
  <c r="L28" i="5"/>
  <c r="H28" i="5"/>
  <c r="G28" i="5"/>
  <c r="R27" i="5"/>
  <c r="Q27" i="5"/>
  <c r="M27" i="5"/>
  <c r="L27" i="5"/>
  <c r="H27" i="5"/>
  <c r="G27" i="5"/>
  <c r="R26" i="5"/>
  <c r="Q26" i="5"/>
  <c r="M26" i="5"/>
  <c r="L26" i="5"/>
  <c r="H26" i="5"/>
  <c r="G26" i="5"/>
  <c r="R25" i="5"/>
  <c r="Q25" i="5"/>
  <c r="M25" i="5"/>
  <c r="L25" i="5"/>
  <c r="H25" i="5"/>
  <c r="G25" i="5"/>
  <c r="R24" i="5"/>
  <c r="Q24" i="5"/>
  <c r="M24" i="5"/>
  <c r="L24" i="5"/>
  <c r="H24" i="5"/>
  <c r="G24" i="5"/>
  <c r="R23" i="5"/>
  <c r="Q23" i="5"/>
  <c r="M23" i="5"/>
  <c r="L23" i="5"/>
  <c r="H23" i="5"/>
  <c r="G23" i="5"/>
  <c r="R22" i="5"/>
  <c r="Q22" i="5"/>
  <c r="M22" i="5"/>
  <c r="L22" i="5"/>
  <c r="H22" i="5"/>
  <c r="G22" i="5"/>
  <c r="R21" i="5"/>
  <c r="Q21" i="5"/>
  <c r="M21" i="5"/>
  <c r="L21" i="5"/>
  <c r="H21" i="5"/>
  <c r="G21" i="5"/>
  <c r="R20" i="5"/>
  <c r="Q20" i="5"/>
  <c r="M20" i="5"/>
  <c r="L20" i="5"/>
  <c r="H20" i="5"/>
  <c r="G20" i="5"/>
  <c r="R19" i="5"/>
  <c r="Q19" i="5"/>
  <c r="M19" i="5"/>
  <c r="L19" i="5"/>
  <c r="H19" i="5"/>
  <c r="G19" i="5"/>
  <c r="R18" i="5"/>
  <c r="Q18" i="5"/>
  <c r="M18" i="5"/>
  <c r="L18" i="5"/>
  <c r="H18" i="5"/>
  <c r="G18" i="5"/>
  <c r="R17" i="5"/>
  <c r="Q17" i="5"/>
  <c r="H17" i="5"/>
  <c r="G17" i="5"/>
  <c r="G13" i="5"/>
  <c r="K12" i="5"/>
  <c r="I12" i="5"/>
  <c r="G12" i="5"/>
  <c r="O10" i="5"/>
  <c r="G10" i="5"/>
  <c r="O47" i="2"/>
  <c r="H47" i="2"/>
  <c r="O46" i="2"/>
  <c r="H46" i="2"/>
  <c r="O45" i="2"/>
  <c r="H45" i="2"/>
  <c r="O44" i="2"/>
  <c r="H44" i="2"/>
  <c r="O43" i="2"/>
  <c r="H43" i="2"/>
  <c r="O42" i="2"/>
  <c r="H42" i="2"/>
  <c r="O48" i="1"/>
  <c r="H48" i="1"/>
  <c r="O47" i="1"/>
  <c r="H47" i="1"/>
  <c r="O46" i="1"/>
  <c r="H46" i="1"/>
  <c r="O45" i="1"/>
  <c r="H45" i="1"/>
  <c r="O44" i="1"/>
  <c r="H44" i="1"/>
  <c r="O43" i="1"/>
  <c r="H43" i="1"/>
  <c r="M17" i="5"/>
  <c r="L17" i="5"/>
  <c r="H49" i="1" l="1"/>
  <c r="O48" i="2"/>
  <c r="O49" i="1"/>
  <c r="H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7" authorId="0" shapeId="0" xr:uid="{00000000-0006-0000-0300-000001000000}">
      <text>
        <r>
          <rPr>
            <sz val="11"/>
            <color theme="1"/>
            <rFont val="Arial"/>
            <scheme val="minor"/>
          </rPr>
          <t>======
ID#AAAAzDIC_ZQ
Usuario de Windows    (2023-06-15 23:44:23)
EXTRA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sjP8hr919wOzaiqPppqjD/glD9A=="/>
    </ext>
  </extLst>
</comments>
</file>

<file path=xl/sharedStrings.xml><?xml version="1.0" encoding="utf-8"?>
<sst xmlns="http://schemas.openxmlformats.org/spreadsheetml/2006/main" count="7766" uniqueCount="658">
  <si>
    <t>LISTA DE ESTUDIANTES I TRIMESTRE</t>
  </si>
  <si>
    <t>CURSOS</t>
  </si>
  <si>
    <t>DPCC</t>
  </si>
  <si>
    <t>CIENCIAS SOCIALES</t>
  </si>
  <si>
    <t>ARTE Y CULTURA</t>
  </si>
  <si>
    <t>COMUNICACIÓN</t>
  </si>
  <si>
    <t>INGLES</t>
  </si>
  <si>
    <t>MATEMATICA</t>
  </si>
  <si>
    <t>CIENCIA Y TECNOLOGIA</t>
  </si>
  <si>
    <t>EDUCACION RELIGIOSA</t>
  </si>
  <si>
    <t>EDUCACION POR EL TRABAJO</t>
  </si>
  <si>
    <t>COMPETENCIAS TRANSVERSALES</t>
  </si>
  <si>
    <t>INASISTENCIA</t>
  </si>
  <si>
    <t>TARDANZAS</t>
  </si>
  <si>
    <t>COMPORTAMIENTO</t>
  </si>
  <si>
    <t>GRADO</t>
  </si>
  <si>
    <t>1°</t>
  </si>
  <si>
    <t>NOTA</t>
  </si>
  <si>
    <t>COMPETENCIA</t>
  </si>
  <si>
    <t>SECCIÓN</t>
  </si>
  <si>
    <t>A</t>
  </si>
  <si>
    <t>NIVEL DE LOGRO    (NL)</t>
  </si>
  <si>
    <t>CONSTRUYE SU 
IDENTIDAD</t>
  </si>
  <si>
    <t>CONVIVE Y PARTICIPA 
DEMOCRÁTICAMENTE EN LA BÚSQUEDA DEL BIEN COMÚN</t>
  </si>
  <si>
    <t>CONSTRUYE INTERPRETACIONES HISTÓRICAS.</t>
  </si>
  <si>
    <t>GESTIONA RESPONSABLEMENTE EL ESPACIO Y EL AMBIENTE</t>
  </si>
  <si>
    <t>GESTIONA RESPONSABLEMENTE LOS RECURSOS ECONÓMICOS</t>
  </si>
  <si>
    <t>SE DESENVUELVE DE MANERA AUTÓNOMA A TRAVÉS DE SU MOTRICIDAD</t>
  </si>
  <si>
    <t>INTERACTÚA A TRAVÉS DE SUS HABILIDADES SOCIOMOTRICES</t>
  </si>
  <si>
    <t>ASUME UNA VIDA SALUDABLE.</t>
  </si>
  <si>
    <t>APRECIA DE MANERA CRÍTICA MANIFESTACIONES ARTÍSTICO-CULTURALES</t>
  </si>
  <si>
    <t>CREA PROYECTOS DESDE LOS LENGUAJES ARTÍSTICOS</t>
  </si>
  <si>
    <t>SE COMUNICA ORALMENTE EN SU LENGUA MATERNA.</t>
  </si>
  <si>
    <t>LEE DIVERSOS TIPOS DE TEXTOS ESCRITOS EN LENGUA MATERNA.</t>
  </si>
  <si>
    <t>ESCRIBE DIVERSOS TIPOS DE TEXTOS EN LENGUA MATERNA</t>
  </si>
  <si>
    <t>SE COMUNICA ORALMENTE EN INGLÉS COMO LENGUA EXTRANJERO</t>
  </si>
  <si>
    <t>LEE DIVERSOS TIPOS DE TEXTOS ESCRITOS EN INGLÉS COMO LENGUA EXTRANJERA</t>
  </si>
  <si>
    <t>ESCRIBE DIVERSOS TIPOS DE TEXTOS EN INGLÉS COMO LENGUA EXTRANJERA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</si>
  <si>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</si>
  <si>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</si>
  <si>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</si>
  <si>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</si>
  <si>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</si>
  <si>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</si>
  <si>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</si>
  <si>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ASUME LA EXPERIENCIA DEL ENCUENTRO PERSONAL Y COMUNITARIO CON DIOS EN SU PROYECTO DE VIDA EN COHERENCIA CON SU CREENCIA RELIGIOSA</t>
  </si>
  <si>
    <t>CONSTRUYE SU IDENTIDAD COMO PERSONA HUMANA, AMADA POR DIOS, DIGNA, LIBRE Y TRASCENDENTE, COMPRENDIENDO LA DOCTRINA DE SU PROPIA RELIGIÓN, ABIERTO AL DIÁLOGO CON LAS QUE LE SON CERCANAS</t>
  </si>
  <si>
    <t>GESTIONA PROYECTOS DE EMPRENDIMIENTO ECONÓMICO O SOCIAL</t>
  </si>
  <si>
    <t>SE DESENVUELVE EN ENTORNOS VIRTUALES GENERADOS POR LAS TICS</t>
  </si>
  <si>
    <t>GESTIONA SU APRENDIZAJE DE FORMA AUTÓNOMA</t>
  </si>
  <si>
    <t>JUSTIFICADAS</t>
  </si>
  <si>
    <t>INJUSTIFICADAS</t>
  </si>
  <si>
    <t>AÑO ACADÉMICO</t>
  </si>
  <si>
    <t>TUTORA</t>
  </si>
  <si>
    <t>PROF. LUCELY PÉREZ PISCO</t>
  </si>
  <si>
    <t>Nº</t>
  </si>
  <si>
    <t>Apellidos y Nombres</t>
  </si>
  <si>
    <t>COLOCAR CONCLUSIÓN DESCRIPTIVA</t>
  </si>
  <si>
    <t>COLOCAR CONCLUSION DESCRIPTIVA</t>
  </si>
  <si>
    <t>COLOCAR 
INASISTENCIA</t>
  </si>
  <si>
    <t>COLOCAR 
TARDANZAS</t>
  </si>
  <si>
    <t xml:space="preserve">AMASIFEN </t>
  </si>
  <si>
    <t xml:space="preserve">HUANSI </t>
  </si>
  <si>
    <t>DILCIA BELKI</t>
  </si>
  <si>
    <t>B</t>
  </si>
  <si>
    <t xml:space="preserve">Esta en proceso de lograr la competencia </t>
  </si>
  <si>
    <t xml:space="preserve">Logró la competencia </t>
  </si>
  <si>
    <t xml:space="preserve">Está en proceso para lograr la competencia.  </t>
  </si>
  <si>
    <t>Demuestra un manejo satisfactorio de la competencia</t>
  </si>
  <si>
    <t>Demuestras tus habilidades motrices en la carrera de velocidad y al entregar el testimonio en la carrera de relevos.</t>
  </si>
  <si>
    <t>nteractúas de manera positiva para mejorar el trabajo en equipo, dando soluciones en los juegos predeportivos aplicados al fútbol.</t>
  </si>
  <si>
    <t>Practicas con responsabilidad la técnica Fosbury Flop en el salto alto.</t>
  </si>
  <si>
    <t>AD</t>
  </si>
  <si>
    <t>APRECIA  LAS DIVERSAS FUNCIONES QUE A CUMPLIDO EL ARTE</t>
  </si>
  <si>
    <t>Crea proyectos artísticos que comunican de manera efectiva.</t>
  </si>
  <si>
    <t>Obtiene información explicita, relevante y complementaria, interactúa oralmente en diferentes situaciones discursivas</t>
  </si>
  <si>
    <t>Obtiene información relevante y complementaria, explica el tema y los subtemas, sin embargo falta argumentar y explicar el sentido del texto.</t>
  </si>
  <si>
    <t>Desarrolla sus ideas en torno aún tema y de acuerdo al propósito comunicativo, ordena y jerarquiza sus ideas sin embargo es necesario trabajar la cohesión textual y el uso de conectores gramaticales.</t>
  </si>
  <si>
    <t xml:space="preserve">El estudiante se comunica en ingles de manera estable </t>
  </si>
  <si>
    <t>El estudiante comprende los textos que lee en ingles</t>
  </si>
  <si>
    <t xml:space="preserve">El estudiante escribe textos en ingles respetando la gramatica </t>
  </si>
  <si>
    <t>Tiene dificultades para resolver problemas de cantidad</t>
  </si>
  <si>
    <t>Tiene dificultades para resolver problemas de regularidad, equivalencia y cambio</t>
  </si>
  <si>
    <t>Tiene dificultades para resolver probemas de forma, movimiento y localización</t>
  </si>
  <si>
    <t>Tiene dificultades para resolver problemas de gestión de datos e incertidumbre</t>
  </si>
  <si>
    <t>Indaga a partir de preguntas e hipótesis que son verificables, presenta dificultad al identificar las variables y al plantear su hipótesis. Se sugiere mejorar algunas presiciones de las variables para plantear la hipótesis y recoger los datos de manera clara.</t>
  </si>
  <si>
    <t>Al explicar establece relaciones entre varios conceptos con respaldo y evidencia científica, los transfiere a nueva situaciones. Demuestra debilidad en defender su argumentación y postura. Pero, podrías esforzarte más.</t>
  </si>
  <si>
    <t>En la solución tecnológica propone alternativas, lo diseña, selecciona los materiales y herramientas, lo ejecuta, realiza sus ajustes y da a conocer los resultados de su alternativa de solución. !Sigue adelante!</t>
  </si>
  <si>
    <t xml:space="preserve">Ha expresado coherencia entre lo que cree, dice y hace en su compromiso personal con Dios por medio de la oración teniendo como ejemplo a Jesús. </t>
  </si>
  <si>
    <t>Ha logardo argumentar y comprender el Plan de Salvación descrito en la Biblia a partir del cumplimiento de la promesa de Salvación.</t>
  </si>
  <si>
    <t>MUY BIEN, HAS LOGRADO LA COMPETENCIA DE GESTIONAR UN PROYECTO DE EMPRENDIMIENTO ECONOMICO Y SOCIAL PORQUE HAS CREADO UNA PROPUESTA DE VALOR A PARTIR DE UNA NECESIDAD O PROBLEMA, ADEMAS UTILIZASTE HABILIDADES TECNICAS TRABAJANDO COOPERATIVAMENTE TODAS LAS ETAPAS DEL ,PROYECTO</t>
  </si>
  <si>
    <t>RECONOCE E INTERACTUA DE MODO SIGNIFICATIVO  EN LOS ENTORNOS TICS</t>
  </si>
  <si>
    <t>LOGRA AFIANZAR SUS CONOCIMIENTOS DE FORMA AUTODIDACTA Y PRACTICA.</t>
  </si>
  <si>
    <t xml:space="preserve">AREVALO  </t>
  </si>
  <si>
    <t>GONZALES</t>
  </si>
  <si>
    <t>LUIS SANTIAGO</t>
  </si>
  <si>
    <t>Esta en proceso de lograr la competencia</t>
  </si>
  <si>
    <t>EL ESTUDIANTE ESTA EN PROCESO EN ESTA CAPACIDAD</t>
  </si>
  <si>
    <t>ESTA EN PROCESO DE RECONOCER E INTERACTUAR DE MODO SIGNIFICATIVO  EN LOS ENTORNOS TICS</t>
  </si>
  <si>
    <t>CAHUAZA</t>
  </si>
  <si>
    <t>YAICATE</t>
  </si>
  <si>
    <t>MARCELO</t>
  </si>
  <si>
    <t>C</t>
  </si>
  <si>
    <t>Está en inicio, muestra un progreso mínimo en las capacidades para lograr la competencia</t>
  </si>
  <si>
    <t xml:space="preserve">Demuestra tus habilidades en la carrera de velocidad y al entregar el testimonio </t>
  </si>
  <si>
    <t>No logró la competencia esperada.</t>
  </si>
  <si>
    <t>Hace preguntas sobre fenómenos, sin embargo le cuesta precisar sus posibles respuestas. Es importante que practiques preguntas y respuestas sobre las cosas que te rodean.</t>
  </si>
  <si>
    <t>Identificas problemas tecnológicos, sin embargo es necesario que propongas y construyas alternativas de solución a dichos problemas. Infórmate más leyendo otros proyectos similares.</t>
  </si>
  <si>
    <t>No ha tenido la oportunidad de participar en el proceso de aprendizaje por diversos motivos.</t>
  </si>
  <si>
    <t>ESTA EN PROCESO DE LOGRAR Y AFIANZAR SUS CONOCIMIENTOS DE FORMA AUTODIDACTA Y PRACTICA.</t>
  </si>
  <si>
    <t>CALAMPA</t>
  </si>
  <si>
    <t xml:space="preserve">CAREAJANO </t>
  </si>
  <si>
    <t>ROY ANGEL</t>
  </si>
  <si>
    <t>Logró la competencia</t>
  </si>
  <si>
    <t>Demuestras interes en las practicas de velocidad y revelo, a seguir practicando</t>
  </si>
  <si>
    <t>Practicas los fundamentos técnicos del futbol, pero tienes que involucrarte a dar soluciones para mejorar el equipo.</t>
  </si>
  <si>
    <t>Participas del salto alto, tienes que mejorar la técnica Fosbury Flop.</t>
  </si>
  <si>
    <t xml:space="preserve">GESTIONA PROYECTOS DE EMPRENDIMIENTO ECONÓMICO O SOCIAL, Y EVALÚA EL LOGRO DE RESULTADOS PARCIALES RELACIONADOS AL PROYECTO, Y REALIZA MEJORAS DESDE SU PROPIA PERCEPCIÓN </t>
  </si>
  <si>
    <t>RECONOCE E INTERACTUA DE MODO SIGNIFICATIVO EN LOS ENTORNOS TICS</t>
  </si>
  <si>
    <t>CALLE</t>
  </si>
  <si>
    <t>RAMOS</t>
  </si>
  <si>
    <t>EDINSON ENOC</t>
  </si>
  <si>
    <t>Demuestars interes de las practicas de velocidad y revelo, a seguir mejorando</t>
  </si>
  <si>
    <t>Escribe diversos textos adecuandose al propósito, destinatario y registro, sin embargo falta orden, claridad y argumentos en las ideas que desarrolla.</t>
  </si>
  <si>
    <t>Indaga a partir de preguntas e hipótesis que son verificables, diseña un plan de recojo de datos, los analiza para luego obtener conclusiones y comunicarlos. !Sigue adelante!</t>
  </si>
  <si>
    <t>Al explicar establece relaciones entre conceptos y con respaldo científico y los transfiere a nuevas situaciones, asumiendo una postura crítica. !Siga adelante!</t>
  </si>
  <si>
    <t xml:space="preserve">Ha logrado elaborar y proponer accionesa sostenibles para un Paln de Vida comprendiendo y reflexionandop el encuentro con Dios en la construcción de un asociedad m{as humana. </t>
  </si>
  <si>
    <t>Ha logardo argumentar, comprender y proponer la presencia de Dios en la creación promoviendo acciones que promoevan el respeto por la vida huaman.</t>
  </si>
  <si>
    <t>DÁVILA</t>
  </si>
  <si>
    <t>NAVARRO</t>
  </si>
  <si>
    <t>MAILY NICOL</t>
  </si>
  <si>
    <t>Obtiene la información relevante del texto, infiere las situaciones comunicativas, explica el tema y la idea principal, sin embargo falta afianzar la elaboración de conclusiones del texto</t>
  </si>
  <si>
    <t>GARCIA</t>
  </si>
  <si>
    <t>URQUIA</t>
  </si>
  <si>
    <t>LUIS ANDRES</t>
  </si>
  <si>
    <t>Demuestra tus habilidades en la carrera de velocidad y al entregar el testimonio</t>
  </si>
  <si>
    <t>GONZALEZ</t>
  </si>
  <si>
    <t>PINEDO</t>
  </si>
  <si>
    <t xml:space="preserve"> FELIX ANDREY</t>
  </si>
  <si>
    <t xml:space="preserve">Demuestra tus habilidades en la carrera de velocidad y al entregar el testimonio  </t>
  </si>
  <si>
    <t xml:space="preserve">Ha logardo argumentar, comprender y proponer la presencia de Dios en la creación promoviendo acciones que promuevan el respeto por la vida humana. </t>
  </si>
  <si>
    <t>NOBEL ANTHONY</t>
  </si>
  <si>
    <t>GRANDEZ</t>
  </si>
  <si>
    <t>ROJAS</t>
  </si>
  <si>
    <t>MARIAN MERCEDES</t>
  </si>
  <si>
    <t>En la solución tecnológica propone alternativa de solución, selecciona sus materiales y herramientas, realiza los procedimientos de su prototipo. Presenta dificultades al realizar su gráfica, para ello investiga sobre propuestas viables para su ejecución.</t>
  </si>
  <si>
    <t>GESTIONA PROYECTOS DE EMPRENDIMIENTO ECONÓMICA O SOCIAL, SIN EMBARGO, TIENE DIFICULTADES AL MOMENTO DE EVALUAR LOS LOGROS Y REALIZAR MEJORAS A SUS PROPUESTAS DE PROYECTO.</t>
  </si>
  <si>
    <t>HURTADO</t>
  </si>
  <si>
    <t>LOMAS</t>
  </si>
  <si>
    <t>KARLA YESENIA</t>
  </si>
  <si>
    <t>Demuestras interes ne las practicas de velocidad y revelo, a segur practicando</t>
  </si>
  <si>
    <t xml:space="preserve">LANCHA  </t>
  </si>
  <si>
    <t>PIZANGO</t>
  </si>
  <si>
    <t>KETTY SUSAN</t>
  </si>
  <si>
    <t>MEGO</t>
  </si>
  <si>
    <t>TORRES</t>
  </si>
  <si>
    <t>MILY MIREYA</t>
  </si>
  <si>
    <t>Demuestars interes en las practicas de velocidad y revelo, a seguir practicando</t>
  </si>
  <si>
    <t xml:space="preserve">MORENO  </t>
  </si>
  <si>
    <t>RUIZ</t>
  </si>
  <si>
    <t>JHON ERICK</t>
  </si>
  <si>
    <t>Demuestra tus habilidades y al entregar el testimonio</t>
  </si>
  <si>
    <t>OJANAMA</t>
  </si>
  <si>
    <t>NOTENO</t>
  </si>
  <si>
    <t>NICOLE</t>
  </si>
  <si>
    <t>Demuestras ineters en las practicas de velocidad y revelo, a seguir parcticando</t>
  </si>
  <si>
    <t>PEZO</t>
  </si>
  <si>
    <t>YUMBATO</t>
  </si>
  <si>
    <t>LUZ CLARITA</t>
  </si>
  <si>
    <t>Tiene dificultades al crear proyectos  artísticos</t>
  </si>
  <si>
    <t xml:space="preserve">PILCO </t>
  </si>
  <si>
    <t xml:space="preserve">VALERA </t>
  </si>
  <si>
    <t>LIZ ESTHER</t>
  </si>
  <si>
    <t>QUEPQUE</t>
  </si>
  <si>
    <t>RAMÍREZ</t>
  </si>
  <si>
    <t>JACK</t>
  </si>
  <si>
    <t xml:space="preserve">el estudiante no logró la competencia </t>
  </si>
  <si>
    <t xml:space="preserve">REATEGUI </t>
  </si>
  <si>
    <t xml:space="preserve">MURAYARI </t>
  </si>
  <si>
    <t>KATERIN JAZMIN</t>
  </si>
  <si>
    <t xml:space="preserve">RIOS  </t>
  </si>
  <si>
    <t>RENGIFO</t>
  </si>
  <si>
    <t>ALISON CISILIANO</t>
  </si>
  <si>
    <t>RÍOS</t>
  </si>
  <si>
    <t>RUTH</t>
  </si>
  <si>
    <t>SALAZAR</t>
  </si>
  <si>
    <t>VILCA</t>
  </si>
  <si>
    <t>MARINA</t>
  </si>
  <si>
    <t>Demuestars interes enlas practicas de velocidad y revelo, a  seguir practicando</t>
  </si>
  <si>
    <t xml:space="preserve">SANTOYO </t>
  </si>
  <si>
    <t>ATOCHE</t>
  </si>
  <si>
    <t>JORGE FERMÍN</t>
  </si>
  <si>
    <t xml:space="preserve">SUAREZ </t>
  </si>
  <si>
    <t xml:space="preserve">CASTILLO </t>
  </si>
  <si>
    <t>JEISON LEANDRO</t>
  </si>
  <si>
    <t xml:space="preserve">El estudainte no logró la competencia </t>
  </si>
  <si>
    <t>Demuestars interes en las practicas de velocidad y revelo, a seguir mejorando</t>
  </si>
  <si>
    <t>Logra resolver problemas de cantidad</t>
  </si>
  <si>
    <t>Logra resolver problemas de regularidad, equivalencia y cambio</t>
  </si>
  <si>
    <t>Logra resolver probemas de forma, movimiento y localización</t>
  </si>
  <si>
    <t>Logra resolver problemas de gestión de datos e incertidumbre</t>
  </si>
  <si>
    <t xml:space="preserve">ESTA EN INICIO DE LOGRAR SU  APRENDIAZE AUTOTNOMO </t>
  </si>
  <si>
    <t>TANGOA</t>
  </si>
  <si>
    <t>LANCHA</t>
  </si>
  <si>
    <t>JHARIS LIZETH</t>
  </si>
  <si>
    <t>Demuestras interes en las practicas de velocidad y revelo, a seguir mejorando</t>
  </si>
  <si>
    <t>Al explicar el tema tratado lo hace sin ningún sustento científico, tiene dificultad para comprender, te sugiero que practiques la lectura.</t>
  </si>
  <si>
    <t>TAPAYURI</t>
  </si>
  <si>
    <t>ACUBINO</t>
  </si>
  <si>
    <t>STEVEN RICARDO</t>
  </si>
  <si>
    <t>TUESTA</t>
  </si>
  <si>
    <t>MONTES</t>
  </si>
  <si>
    <t>TOMMY ROY</t>
  </si>
  <si>
    <t>Demuestra tus habiliadades y al entregar el testimonio</t>
  </si>
  <si>
    <t>RAMIREZ</t>
  </si>
  <si>
    <t>MILCA TIRSA</t>
  </si>
  <si>
    <t>GESTIONA PROYECTOS DE EMPRENDIMIENTO ECONÓMICO O SOCIAL COMO UNA ALTERNATIVA DE SOLUCIÓN FRENTE A LA PROBLEMÁTICA QUE AFECTA A UN GRUPO DE USUARIO, EVALÚA EL LOGRO DE RESULTADO PARCIALES RELACIONADO AL PROYECTO, Y REALIZA MEJORAS CONSIDERANDO LAS OPCIONES APRENDIDAS.</t>
  </si>
  <si>
    <t>VARGAS</t>
  </si>
  <si>
    <t>LUCIANA CAMILA</t>
  </si>
  <si>
    <t>NIVELES DE LOGRO</t>
  </si>
  <si>
    <t>TRASL.</t>
  </si>
  <si>
    <t>NA</t>
  </si>
  <si>
    <t>TOTAL</t>
  </si>
  <si>
    <t>EDUCACION FISICA</t>
  </si>
  <si>
    <t>TUTOR</t>
  </si>
  <si>
    <t>PROF. PAULA MIROSLAVA CHÁVEZ GÁRATE</t>
  </si>
  <si>
    <t>ALEGRIA</t>
  </si>
  <si>
    <t>MEZA</t>
  </si>
  <si>
    <t>MARIA DE LOS ANGELES</t>
  </si>
  <si>
    <t>El estudiante logró la competencia</t>
  </si>
  <si>
    <t>Obtiene la información explicita y relevante, sin embargo es necesario practicar la interacción oral.</t>
  </si>
  <si>
    <t>Escribe sus ideas y las desarrolla en torno aún tema sin embargo falta claridad y orden así como el uso adecuado de conectores</t>
  </si>
  <si>
    <t>El estudiante  muestra necesidad en comunicarse en inglés. El volumen y la entonación en la pronunciación de las palabras requieren más tiempo de práctica</t>
  </si>
  <si>
    <t xml:space="preserve">El estudiante comprende los textos que lee en inglés, reconociendo relaciones lógicas (Clarroom language, All about me, my body) en la información entregada. </t>
  </si>
  <si>
    <t xml:space="preserve">El estudiante escribe oraciones en inglés, relacionando sus ideas con vocabulario cotidiano y construcciones gramaticales simples. </t>
  </si>
  <si>
    <t>Te desenvuelves en el campo virtual, desarrollando conocimientos actitudes y valores para elevar el nivel de tus aprendizajes.</t>
  </si>
  <si>
    <t>Gestionas aprendizaje de manera autónoma, tomando en cuenta metas personales para mejorar tus aprendizajes.</t>
  </si>
  <si>
    <t>BOCANEGRA</t>
  </si>
  <si>
    <t>AMASIFEN</t>
  </si>
  <si>
    <t>MAX ANTONI</t>
  </si>
  <si>
    <t>Esta en inicio para lograr la competencia</t>
  </si>
  <si>
    <t>El estudiante esta en proceso de lograr la competencia</t>
  </si>
  <si>
    <t>El estudiante muestra necesidad en comprender los textos que lee en inglés, aún necesita reconocer relaciones lógicas (classroom language, all about me, my body) para comprenderlas.</t>
  </si>
  <si>
    <t>Gestionas aprendizajes, pero tienes que involucrarte más para lograr objetivos claros en el proceso de aprendizajes</t>
  </si>
  <si>
    <t>BOLAÑOS</t>
  </si>
  <si>
    <t>ZIMARRA</t>
  </si>
  <si>
    <t>MÁXIMO GONZALO</t>
  </si>
  <si>
    <t>APRECIA  LAS DIVERSAS FUNCIONES QUE A CUMPLIDO EL ART</t>
  </si>
  <si>
    <t>DOMINGUEZ</t>
  </si>
  <si>
    <t>CHOTA</t>
  </si>
  <si>
    <t>GEISER</t>
  </si>
  <si>
    <t>ESPINOZA</t>
  </si>
  <si>
    <t>CELESTE MARIANA</t>
  </si>
  <si>
    <t xml:space="preserve">FACHIN </t>
  </si>
  <si>
    <t>YUYARIMA</t>
  </si>
  <si>
    <t>WILSON PAULO</t>
  </si>
  <si>
    <t xml:space="preserve">GESTIONA PROYECTOS DE EMPRENDIMIENTO ECONÓMICO O SOCIAL, Y EVALÚA EL LOGRO DE RESULTADOS PARCIALES RELACIONADOS AL PROYECTO, Y REALIZA MEJORAS DESDE SU PROPIA PERCEPCIÓN. </t>
  </si>
  <si>
    <t xml:space="preserve">FLORES </t>
  </si>
  <si>
    <t>ARIRAMA</t>
  </si>
  <si>
    <t>ALEN</t>
  </si>
  <si>
    <t>Escribe diversos textos adecuandose al propósito, destinatario y registro, sin embargo falta argumentos sólidos en las ideas que desarrolla.</t>
  </si>
  <si>
    <t>FLORES</t>
  </si>
  <si>
    <t>MURAYARI</t>
  </si>
  <si>
    <t>TALMA ALEXANDRA</t>
  </si>
  <si>
    <t>Tiene dificultades para desarrollar la Apreciación de manera critica</t>
  </si>
  <si>
    <t xml:space="preserve">El estudiante no cuenta con evidencias en comunicarse en inglés. </t>
  </si>
  <si>
    <t>EL ESTUDIANTE NO HA DESARROLLADO LAS ACCIONES NECESARIAS PARA EL LOGRO DE LA COMPETENCIA.</t>
  </si>
  <si>
    <t>GUERRA</t>
  </si>
  <si>
    <t>ANGULO</t>
  </si>
  <si>
    <t>FERNANDA MATIEL</t>
  </si>
  <si>
    <t>HUAYA</t>
  </si>
  <si>
    <t>SATALAYA</t>
  </si>
  <si>
    <t>JOB DAVID</t>
  </si>
  <si>
    <t>LOPEZ</t>
  </si>
  <si>
    <t>BAZAN</t>
  </si>
  <si>
    <t>IVAN ANDRES</t>
  </si>
  <si>
    <t xml:space="preserve">LÓPEZ </t>
  </si>
  <si>
    <t>MIGUEL</t>
  </si>
  <si>
    <t xml:space="preserve">MALAFAYA </t>
  </si>
  <si>
    <t xml:space="preserve">LINARES </t>
  </si>
  <si>
    <t>DEYVIS</t>
  </si>
  <si>
    <t>MANIHUARI</t>
  </si>
  <si>
    <t>INDAMA</t>
  </si>
  <si>
    <t>BRENDA MILAGROS</t>
  </si>
  <si>
    <t>MARQUEZ</t>
  </si>
  <si>
    <t>LINO</t>
  </si>
  <si>
    <t>Esta en inicio de lograr la competencia</t>
  </si>
  <si>
    <t>El estudiante no cuenta con evidencias en comprender los textos que lee en inglés.</t>
  </si>
  <si>
    <t>MENDEZ</t>
  </si>
  <si>
    <t>PISCO</t>
  </si>
  <si>
    <t>ESTEFANY SHANTAL</t>
  </si>
  <si>
    <t>Obtiene información explicita, relevante y complementaria, interactúa oralmente en diferentes situaciones discursivas.</t>
  </si>
  <si>
    <t>AURA AMPARO</t>
  </si>
  <si>
    <t>PEREZ</t>
  </si>
  <si>
    <t>GAIS</t>
  </si>
  <si>
    <t>KASU TOMY</t>
  </si>
  <si>
    <t>VALDIVIA</t>
  </si>
  <si>
    <t>ABRAHAM</t>
  </si>
  <si>
    <t>Demustra tus habilidades y al entregar el testimonio</t>
  </si>
  <si>
    <t xml:space="preserve">RODRIGUEZ  </t>
  </si>
  <si>
    <t>WILQUERSON PIERO</t>
  </si>
  <si>
    <t>SANANCINO</t>
  </si>
  <si>
    <t>HUANSI</t>
  </si>
  <si>
    <t>DIANA</t>
  </si>
  <si>
    <t>SANDOVAL</t>
  </si>
  <si>
    <t>FASANANDO</t>
  </si>
  <si>
    <t>LUILLI</t>
  </si>
  <si>
    <t>SHUÑA</t>
  </si>
  <si>
    <t>JESUS</t>
  </si>
  <si>
    <t>SILVA</t>
  </si>
  <si>
    <t>CABALLERO</t>
  </si>
  <si>
    <t>RUTH EVELIN</t>
  </si>
  <si>
    <t>Demumestras interes en las practicas de velocidad y revelo, a seguir practicando</t>
  </si>
  <si>
    <t xml:space="preserve">VARGAS  </t>
  </si>
  <si>
    <t>ANA BELEN</t>
  </si>
  <si>
    <t>Obtiene e integra la información relevante del texto, sin embargo falta afianzar la explicación del tema y los subtemas, la inferencia de las situaciones comunicativas</t>
  </si>
  <si>
    <t xml:space="preserve">VASQUEZ  </t>
  </si>
  <si>
    <t>CANCINO</t>
  </si>
  <si>
    <t>MAYRA</t>
  </si>
  <si>
    <t>YAHUARCANI</t>
  </si>
  <si>
    <t>LLERICK LLAMPIER</t>
  </si>
  <si>
    <t>ERICK ISAAC</t>
  </si>
  <si>
    <t>PROF. JESÚS BRIHAM TORRES PAIMA</t>
  </si>
  <si>
    <t>AMES</t>
  </si>
  <si>
    <t>CRISTOFER JHOAN</t>
  </si>
  <si>
    <t>Demuestra tus habilidades al entregar el testimonio</t>
  </si>
  <si>
    <t>Logra alcancar un nivel muy destacado al realizar todas sus actividades, demuestra buen desempeño al realizar individualmente todas sus actividades.</t>
  </si>
  <si>
    <t>Logra alcanzar los aprendizajes esperados, realiza sus actividades de manera autónoma.</t>
  </si>
  <si>
    <t xml:space="preserve">NO DESARROLLO A CONCIENCIA LA COMPENTENCIA EN MENCION. </t>
  </si>
  <si>
    <t>NO DESARROLLO A CONCIENCIA LA COMPETENCIA EN MENCION.</t>
  </si>
  <si>
    <t xml:space="preserve"> Relaciona  y comprende  los problemas  matemáticos. </t>
  </si>
  <si>
    <t>Desarrolla problemas con facilidad .</t>
  </si>
  <si>
    <t>Resuelve problemas matemáticon usando potenciación.</t>
  </si>
  <si>
    <t>Va mejorando en las actividades académicas.</t>
  </si>
  <si>
    <t>Gestionas aprendizajes, pero tienes que involucrarte más para lograr objetivos claros en el proceso de aprendizajes.</t>
  </si>
  <si>
    <t xml:space="preserve">ANDOA </t>
  </si>
  <si>
    <t xml:space="preserve">GUERRA </t>
  </si>
  <si>
    <t>LUZ CHARI</t>
  </si>
  <si>
    <t>El estudiante demostró capacidades para lograr la competencia</t>
  </si>
  <si>
    <t xml:space="preserve">Demuestaras interes en las practicas de velocidad y revelo, a seguir practicanado </t>
  </si>
  <si>
    <t>GESTIONA PROYECTOS DE EMPRENDIMIENTO ECONÓMICO O SOCIAL, Y EVALÚA EL LOGRO DE RESULTADOS PARCIALES RELACIONADOS AL PROYECTO, Y REALIZA MEJORAS DESDE SU PROPIA PERCEPCIÓN</t>
  </si>
  <si>
    <t>APUELA</t>
  </si>
  <si>
    <t>GONGORA</t>
  </si>
  <si>
    <t>KATERIN ARIANA</t>
  </si>
  <si>
    <t>Demuestras interes en las practicas de velocidad y revelo, a segur practicando</t>
  </si>
  <si>
    <t>NO DESARROLLO A CONCIENCIA LA COMPETENCIA EN MENCION</t>
  </si>
  <si>
    <t>Resuelve problemas matemáticos  usando raiz cúbica.</t>
  </si>
  <si>
    <t xml:space="preserve">AZANG </t>
  </si>
  <si>
    <t xml:space="preserve">CARDENAS </t>
  </si>
  <si>
    <t>NADIA ARLITH</t>
  </si>
  <si>
    <t xml:space="preserve">EL  ESTUDIANTE SE COMUNICA DE FORMA COHERENTE EN EL AREA  DE INGLES </t>
  </si>
  <si>
    <t>EL ESTUDIANTE LEE DE FORMA ORDENADA LOS DIVERSOS TIPOS  DE TEXTOS EN INGLES.</t>
  </si>
  <si>
    <t xml:space="preserve">EL ESTUDIANTE ESCRIBE DIVERSOS TIPOS DE TEXTOS EN EL IDIOMA INGLES </t>
  </si>
  <si>
    <t xml:space="preserve"> Establece relación y comprensión en los problemas matemáticos. </t>
  </si>
  <si>
    <t xml:space="preserve">CORDOVA  </t>
  </si>
  <si>
    <t>SANTOS</t>
  </si>
  <si>
    <t>OLGA GABRIELA</t>
  </si>
  <si>
    <t>EL ESTUDIANTE TIENE ALGUNA DIFICULTAD EN ALGUNOS TEXTOS EN INGLES.</t>
  </si>
  <si>
    <t>Logra con las actividades programadas dentro de clases.</t>
  </si>
  <si>
    <t xml:space="preserve">CRESPO </t>
  </si>
  <si>
    <t xml:space="preserve">TAMANI </t>
  </si>
  <si>
    <t>JULIA VALERIA ISABEL</t>
  </si>
  <si>
    <t>EL ESTUDIANTE LEE DE FORMA ORDENADA TEXTOS EN INGLES.</t>
  </si>
  <si>
    <t>EL ESTUDIANTE ESCRIBE TEXTOS EN INGLES RESPETANDO La GRAMATICA</t>
  </si>
  <si>
    <t>No resuelve operaciones matemáticos con multiplicacón y divisón.</t>
  </si>
  <si>
    <t>Falta mayor apoyo en casa , practicar la tabla de multiplicar.</t>
  </si>
  <si>
    <t>Va mejorando en el desarrollo de las actividades.</t>
  </si>
  <si>
    <t>Le falta mayor empeño en las tareas y practicar su tabla de multiplicar.</t>
  </si>
  <si>
    <t>DIAZ</t>
  </si>
  <si>
    <t>SALAS</t>
  </si>
  <si>
    <t>KIARA JHOANA</t>
  </si>
  <si>
    <t>EL ESTUDIANTE LEE DE FORMA CORRECTA LOS TEXTOS ESCRITOS EN INGLES.</t>
  </si>
  <si>
    <t>Mayor apoyo para el desarrollo de la actividades .</t>
  </si>
  <si>
    <t>Falta mas apoyo en casa.</t>
  </si>
  <si>
    <t>ESCOBEDO</t>
  </si>
  <si>
    <t>KETTY JHOSSELLY</t>
  </si>
  <si>
    <t>Tiene dificultades para desarrollar sus aprendizajes</t>
  </si>
  <si>
    <t>Falta cocnocer más sobre la potenciación. Practicar.</t>
  </si>
  <si>
    <t>OLIVA</t>
  </si>
  <si>
    <t>CARLOS OCTAVIO</t>
  </si>
  <si>
    <t>LOGRO COMUNICARSE DE MANERA CORRECTA Y COHERENTE</t>
  </si>
  <si>
    <t>EL ESTUDIANTE COMPRENDE Y ESCRIBE LOS TIPOS DE TEXTOS EN INGLES.</t>
  </si>
  <si>
    <t xml:space="preserve">HERRERA  </t>
  </si>
  <si>
    <t>LUIS PATRICK</t>
  </si>
  <si>
    <t>Demuetras interes en las parcticas de velocidad y revelo, a  seguir practicando</t>
  </si>
  <si>
    <t>EL ESTUDIANTE MUESTRA LA NECESIDAD DE COMUNICARSE EN INGLES.</t>
  </si>
  <si>
    <t>OBTIENE INFORMACION RELEVANTE Y COMPLEMENTARIA  EXPLICA EL TEMA Y LO SUSTENTA , PERO AUN ASI FALTA.</t>
  </si>
  <si>
    <t>YQUE</t>
  </si>
  <si>
    <t>ERICK JAIR</t>
  </si>
  <si>
    <t xml:space="preserve">EL ESTUDIANTE LOGRA COMUNICARSE PERFECTAMENTE DE FORMA ORAL </t>
  </si>
  <si>
    <t>EL ESTUDIANTE LEE E INTERPRETA ALGUNOS TEXTOS EN INGLES.</t>
  </si>
  <si>
    <t>EL ESTUDIANTE LEE TEXTOS EN INGLES.</t>
  </si>
  <si>
    <t>Usas el campo virtual para mejorar tus aprendizajes, también debes usarlo para mejorar las actitudes y los valores.</t>
  </si>
  <si>
    <t xml:space="preserve">INUMA </t>
  </si>
  <si>
    <t>RODRIGUEZ</t>
  </si>
  <si>
    <t xml:space="preserve"> ARACELI</t>
  </si>
  <si>
    <t>EL  ESTUDIANTE ESCRIBE TEXTOS Y TRATA DE COMPRENDERLOS EN EL IDIOMA INGLES.</t>
  </si>
  <si>
    <t>CANAQUIRI</t>
  </si>
  <si>
    <t>CRISTIAN KENEDY</t>
  </si>
  <si>
    <t>KATERIN SADITH</t>
  </si>
  <si>
    <t>Rconoce las operaciones  de cantidades con divisiones y multiplicaciones.</t>
  </si>
  <si>
    <t>CHRISTOPHER</t>
  </si>
  <si>
    <t>NO DESARROLLO A CONCIENCIA LA COMPETENCIA A DESARROLLAR.</t>
  </si>
  <si>
    <t>Tiene un buen nivel en las actividades  propuestas.</t>
  </si>
  <si>
    <t>Tiene un crecimiento en las potencias y operaciones combinadas.</t>
  </si>
  <si>
    <t>Tiene facilidad en comprender las actividades que se dearrollan en las clases.</t>
  </si>
  <si>
    <t xml:space="preserve">MARICHI  </t>
  </si>
  <si>
    <t>BRENDA KAORI</t>
  </si>
  <si>
    <t xml:space="preserve">Practicas los fundamentos técnicos del futbol, pero tienes que involucrarte a dar soluciones para mejorar el equipo. </t>
  </si>
  <si>
    <t xml:space="preserve">EL ESTUDIANTE DESARROLLA DIVERSOS TIPOS DE TEXTOS EN INGLES </t>
  </si>
  <si>
    <t>MEJIA</t>
  </si>
  <si>
    <t>RUBEN JUNIOR</t>
  </si>
  <si>
    <t xml:space="preserve"> B</t>
  </si>
  <si>
    <t>NO DESARROLLO A CONCIENCIA LA COMPETENCIA EN MENSION.</t>
  </si>
  <si>
    <t>Resuelve operaciones matemáticos con datos referidos.</t>
  </si>
  <si>
    <t>PALOMINO</t>
  </si>
  <si>
    <t>OLÓRTEGUI</t>
  </si>
  <si>
    <t>YEIKO YANELA</t>
  </si>
  <si>
    <t>PANDURO</t>
  </si>
  <si>
    <t>SAAVEDRA</t>
  </si>
  <si>
    <t>HERMENEGILDO</t>
  </si>
  <si>
    <t>EL ESTUDIANTE MUESTRA LA NECESIDAD DE COMUNICARSE EN INGLES</t>
  </si>
  <si>
    <t>OBTIENE INFORMACION RELEVANTE Y COMPLEMENTARIA EXPLICA EL TEMA Y LO SUSTENTA , PERO AUN ASI FALTA.</t>
  </si>
  <si>
    <t xml:space="preserve">Desarrolla con facilidad problemas con datos agrupados. </t>
  </si>
  <si>
    <t>Conoce  los temas y desarrolla con facilidad cada actividad.</t>
  </si>
  <si>
    <t>PERALTA</t>
  </si>
  <si>
    <t>REATEGUI</t>
  </si>
  <si>
    <t>CHASZ BENNY SAMUEL</t>
  </si>
  <si>
    <t>O DESARROLLO A CONCIENCIA LA COMPETENCIA EN MENCION.</t>
  </si>
  <si>
    <t>SAORI THAISA</t>
  </si>
  <si>
    <t>Falta de comprensión  de operaciones básicas.</t>
  </si>
  <si>
    <t xml:space="preserve">PINEDO </t>
  </si>
  <si>
    <t xml:space="preserve">SHUÑA </t>
  </si>
  <si>
    <t>CEEN ESTOYCO</t>
  </si>
  <si>
    <t xml:space="preserve">No conoce la las operaciones básicas </t>
  </si>
  <si>
    <t xml:space="preserve">PUA </t>
  </si>
  <si>
    <t xml:space="preserve">SANCHEZ </t>
  </si>
  <si>
    <t>GRIMALDO</t>
  </si>
  <si>
    <t>NAPO</t>
  </si>
  <si>
    <t>YANDER GABRIEL</t>
  </si>
  <si>
    <t>EL ESTUDIANTE SE COMUNICA  DE FORMA COHERENTE , ORDENADA EN LA FORMA ORAL.</t>
  </si>
  <si>
    <t>EL ESTUDIANTE LEE DIVERSOS TIPOS DE TEXTOS ESCRITOS EN INGLES</t>
  </si>
  <si>
    <t>EL ESTUDIANTE SE ESFUERZA Y ESCRIBE DIFERENTES TIPOS DE TEXTOS EN INGLES.</t>
  </si>
  <si>
    <t>Falta de comprensión  de operaciones agrupados.</t>
  </si>
  <si>
    <t>GIANELLA IVONNE</t>
  </si>
  <si>
    <t>EL ESTUDIANTE  SE PREPARA A LEER DIVERSOS TIPOS DE TEXTOS EN INGLES.</t>
  </si>
  <si>
    <t>EL ESTUDIANTES ESCRIBE TODO TIPO DE TEXTOS EN INGLES.</t>
  </si>
  <si>
    <t>SAYAGO</t>
  </si>
  <si>
    <t>ASIPALI</t>
  </si>
  <si>
    <t>LEO GERARD</t>
  </si>
  <si>
    <t>Demuetras interes en las practicas de velocidad y revelo, a seguir racticando</t>
  </si>
  <si>
    <t>NO PRECISA DESARROLLO DE LA COMPETENCIA EN MENCION</t>
  </si>
  <si>
    <t xml:space="preserve">NO PRECISA DESARROLLO DE LA COMPETENCIA EN MENCION </t>
  </si>
  <si>
    <t xml:space="preserve">NO PRECISA DESARROLLO DE LA COMPETENCIA </t>
  </si>
  <si>
    <t>APAGAGUEÑO</t>
  </si>
  <si>
    <t>LIZ NALLELY</t>
  </si>
  <si>
    <t>NO PRECISA EL DESARROLLO DE LA COMPETENCIA EN MENCION</t>
  </si>
  <si>
    <t>L ESTUDIANTE ESCRIBE DE MANERA AUTONOMA DIVERSOS TIPOS DE TEXTOS .</t>
  </si>
  <si>
    <t>Conoce  los temas que se van desrrollando de acuerdo a la programación.</t>
  </si>
  <si>
    <t>TAPULLIMA</t>
  </si>
  <si>
    <t>WENDI PATRICIA</t>
  </si>
  <si>
    <t>Demuestra tus  habilidades al entregar el testimonio</t>
  </si>
  <si>
    <t>EL ESTUDIANTE ESCRIBE DE MANERA AUTONOMA DIVERSOS TIPOS DE TEXTOS .</t>
  </si>
  <si>
    <t>D</t>
  </si>
  <si>
    <t>PROF. OSCAR TERRONES BARDALES</t>
  </si>
  <si>
    <t xml:space="preserve">CANALES </t>
  </si>
  <si>
    <t xml:space="preserve"> CURITIMA </t>
  </si>
  <si>
    <t>BREINER GILBERTO</t>
  </si>
  <si>
    <t>Demuestras interés en la práctica de la carrera de velocidad y relevos, a seguir practicando para mejorar en la técnica de entrega del testimonio.</t>
  </si>
  <si>
    <t>EL ESTUDIANTE ALCANZO EL LOGRO DE COMUNICARSE DE FORMA ORAL.</t>
  </si>
  <si>
    <t>EL ESTUDIANTE LOGRO DESARROLLAR LA COMPETENCIA LEE DIVERSOS TIPOS DE TEXTOS EN INGLES</t>
  </si>
  <si>
    <t>EL ESTUDIANTE NO LOGRA EN SU PLENITUD ESCRIBIR DIVERSOS TIPOS DE TEXTOS .</t>
  </si>
  <si>
    <t>Dasarrolla con facilidad los ejercios propuestos.</t>
  </si>
  <si>
    <t>Desarolla  operaciones combinadas con facilidad</t>
  </si>
  <si>
    <t>Resuelve  confacilidad  las operaciones usando la ley de signos.</t>
  </si>
  <si>
    <t>Conoce los datos  de las operaciones  y potencias.</t>
  </si>
  <si>
    <t>Demostró un manejo satisfactorio de la competencia</t>
  </si>
  <si>
    <t>Está en proceso de reconocer e interactuar en los entornos virtuales tics</t>
  </si>
  <si>
    <t>CELIS</t>
  </si>
  <si>
    <t>CLIVER FIDEL</t>
  </si>
  <si>
    <t xml:space="preserve">Demuestras interes en las practicas de la carrera de velocidad y revelos,a seguir practicando </t>
  </si>
  <si>
    <t>EL ESTUDIANTE NO  ALCANZO EL LOGRO DE COMUNICARSE DE FORMA ORAL.</t>
  </si>
  <si>
    <t>NO LOGRO LA COMPETENCIA ESPERADA</t>
  </si>
  <si>
    <t>Conoce las operaciones básicas   y desarrolla con facilidad.</t>
  </si>
  <si>
    <t>Desarrolla los temas con algunas difilcutades en la operaciones combinadas.</t>
  </si>
  <si>
    <t>Le falta desarrollar operaciones con multiplicaciones y divisiones .</t>
  </si>
  <si>
    <t>Va mejorando en la practica de las operaciones, poco a poco , pero  dar mayor apoyo  en casa.</t>
  </si>
  <si>
    <t>Muy bien, has logrado la competencia de gestionar su proyecto de emprendimiento economico y social por que has creado una propuesta de valor a partir de una necesidad o problema, ademas utilizaste habiliadades tecnicas trabajando cooperativamente en todas las etapas del proyecto.</t>
  </si>
  <si>
    <t>Reconoce e interactúa de modo significativo en los entornos virtuales tics</t>
  </si>
  <si>
    <t>KANDI</t>
  </si>
  <si>
    <t>Le falta más comprensión en las operaqciones básicas.</t>
  </si>
  <si>
    <t>Falta apoyo en casa   ,practicar la tabla de multiplicar.</t>
  </si>
  <si>
    <t>No reconoce las operaciones combinadas usando la ley de signos.</t>
  </si>
  <si>
    <t>Le falta mayor comprensión en el desarrollo de las oleraciones utilizando potencias y raices.</t>
  </si>
  <si>
    <t xml:space="preserve">FACHIN  </t>
  </si>
  <si>
    <t>MOZOMBITE</t>
  </si>
  <si>
    <t>JORDAN</t>
  </si>
  <si>
    <t>EL ESTUDIANTE TIENE DIFICULTAD DE COMUNICARSE DE FORMA ORAL.</t>
  </si>
  <si>
    <t>Falta más empeño en las operacion con datos agrupados.</t>
  </si>
  <si>
    <t>VELA</t>
  </si>
  <si>
    <t>LEYCITH</t>
  </si>
  <si>
    <t>No resuelve operaciones con datos agrupados.</t>
  </si>
  <si>
    <t>ACHO</t>
  </si>
  <si>
    <t>EDITH</t>
  </si>
  <si>
    <t>Demuestars interes en las practicas de la carrera de velocidad y revelos, a seguir practicando</t>
  </si>
  <si>
    <t xml:space="preserve">NO </t>
  </si>
  <si>
    <t>GIRNOL LIMBER</t>
  </si>
  <si>
    <t>NO LOGRO LA CAPACIDAD ESPERADA.</t>
  </si>
  <si>
    <t xml:space="preserve">HIDALGO  </t>
  </si>
  <si>
    <t>CENEPO</t>
  </si>
  <si>
    <t>RAYNER HAKER</t>
  </si>
  <si>
    <t xml:space="preserve">E ESTUDIANTE LOGRA CON DIFICULTAD ESCRIBIR DIVERSOS TIPOS DE TEXTOS EN INGLES </t>
  </si>
  <si>
    <t>Falta practicar más operaciones con multiplicación y división.</t>
  </si>
  <si>
    <t>Falto implementar tus ideas para crear una propuesta de valor a partir de una necesidad, utilizaste algunas habilidades tecnicas, sin embargo, no se evidencia el trabajo cooperativo y evaluacion de resultados, te animo  mejorar, tu puedes.</t>
  </si>
  <si>
    <t xml:space="preserve">IBAÑEZ  </t>
  </si>
  <si>
    <t>MACAHUACHI</t>
  </si>
  <si>
    <t>JESUS ALEXANDER</t>
  </si>
  <si>
    <t>ISHUIZA</t>
  </si>
  <si>
    <t>JANI ESTHER</t>
  </si>
  <si>
    <t>Le falta practicar la tabla de multiplicación para poder cumplir con todas las operciones matemáticos.</t>
  </si>
  <si>
    <t xml:space="preserve">LANCHA </t>
  </si>
  <si>
    <t xml:space="preserve">MANIHUARI </t>
  </si>
  <si>
    <t>RICHER JOAQUIN</t>
  </si>
  <si>
    <t>MORALES</t>
  </si>
  <si>
    <t>SONIA</t>
  </si>
  <si>
    <t>Demuestra interes enlas practicas de la carre de velocidad y revelos, a aseguir practicando</t>
  </si>
  <si>
    <t>Necesita ayuda para desarrollar de manera eficiente todas sus actividades.</t>
  </si>
  <si>
    <t>NO LOGRO DESARROLLAR LA COMPETENCIA</t>
  </si>
  <si>
    <t>NO LOGRO DESARROLLAR LA CAPACIDAD</t>
  </si>
  <si>
    <t>Tiene dificultades en lograr la competencia</t>
  </si>
  <si>
    <t xml:space="preserve">MOZOMBITE  </t>
  </si>
  <si>
    <t>CORAL</t>
  </si>
  <si>
    <t>ALICE MOREYLLA</t>
  </si>
  <si>
    <t>Demuestra habilidades al entregar el testimonio</t>
  </si>
  <si>
    <t>EL ESTUDIANTE NO LOGRO LEER LOS DIVERSOS TIPOS DE TEXTOS</t>
  </si>
  <si>
    <t xml:space="preserve">EL ESTUDIANTE ESCRIBE DIVERSOS TIPOS DE TEXTOS EN INGLES </t>
  </si>
  <si>
    <t>DEL AGUILA</t>
  </si>
  <si>
    <t>SARITA ALEXANDRA</t>
  </si>
  <si>
    <t xml:space="preserve">NO LOGRO LA COMPETENCIA </t>
  </si>
  <si>
    <t xml:space="preserve">PILCO  </t>
  </si>
  <si>
    <t>CUBAS</t>
  </si>
  <si>
    <t>EIGEN ANDERSON</t>
  </si>
  <si>
    <t xml:space="preserve">PISCO  </t>
  </si>
  <si>
    <t>DARWIN ALEXIS</t>
  </si>
  <si>
    <t>El estudiante destacó en la competencia</t>
  </si>
  <si>
    <t>Demuestas interes en las practicas de velocidad y revelo, a seguir practicando</t>
  </si>
  <si>
    <t>APRECIA LAS DIVERSAS FUNCIONES QUE A CUMPLIDO EL ARTE</t>
  </si>
  <si>
    <t>Tiene  un alto nivel en la comprensión  de operaciones matemaáticas.</t>
  </si>
  <si>
    <t>Desarrolla con facilidad operaciones  combinadas.</t>
  </si>
  <si>
    <t>Desarrolla todas las actividades con dominio  natural.</t>
  </si>
  <si>
    <t>Resuelve con  propiedad las operaciones con raiz cúbica</t>
  </si>
  <si>
    <t>REYNA</t>
  </si>
  <si>
    <t>HUALINGA</t>
  </si>
  <si>
    <t>DILVER</t>
  </si>
  <si>
    <t>Falta mayor concentración en las actividades a desarrollar.</t>
  </si>
  <si>
    <t xml:space="preserve">DÍAZ </t>
  </si>
  <si>
    <t>KEIKO</t>
  </si>
  <si>
    <t>SABOYA</t>
  </si>
  <si>
    <t>MACA</t>
  </si>
  <si>
    <t>WILLIAN</t>
  </si>
  <si>
    <t xml:space="preserve">SABOYA  </t>
  </si>
  <si>
    <t>DÍAZ</t>
  </si>
  <si>
    <t>GUILLER</t>
  </si>
  <si>
    <t xml:space="preserve">NO LOGRO DESARROLLAR LA COMPETENCIA </t>
  </si>
  <si>
    <t>CHE CARLITOS</t>
  </si>
  <si>
    <t>NO  LOGRO DESARROLLAR LA COMPETENCIA</t>
  </si>
  <si>
    <t>EL ESTUDIANTE INTENTA LEER DIVERSOS TIPOS DE TEXTOS ESCRITOS EN INGLES.</t>
  </si>
  <si>
    <t xml:space="preserve">SILVA  </t>
  </si>
  <si>
    <t>LAURI</t>
  </si>
  <si>
    <t>JOSUE DAVID</t>
  </si>
  <si>
    <t xml:space="preserve">NO LOGRO DESARROLAR LA COMPETENCIA </t>
  </si>
  <si>
    <t xml:space="preserve">TANGOA </t>
  </si>
  <si>
    <t xml:space="preserve">JIMENEZ </t>
  </si>
  <si>
    <t>FRANK</t>
  </si>
  <si>
    <t>BARRERA</t>
  </si>
  <si>
    <t>JACK ANLLELO</t>
  </si>
  <si>
    <t>VILLACORTA</t>
  </si>
  <si>
    <t>MARCOS JESÚS</t>
  </si>
  <si>
    <t>Demuestra tus habilidades al entregar al testimomio</t>
  </si>
  <si>
    <t xml:space="preserve">EL ESTUDIANTE INTENTA ESCRIBIR DIVERSOS TIPOS DE TEXTOS EN INGLES </t>
  </si>
  <si>
    <t xml:space="preserve">YUMBATO  </t>
  </si>
  <si>
    <t>GIMY MICHAEL</t>
  </si>
  <si>
    <t>Demuestras intres en las practicas de velocidad y revelo, a seguir practicando</t>
  </si>
  <si>
    <t>NO DESARROLLO LA COMPETENCIA EN MENCION</t>
  </si>
  <si>
    <t>NO DESARROLLO  LA COMPETENCIA REQUERIDA</t>
  </si>
  <si>
    <t>Resuelve  confacilidad  las operaciones usando la ley de signos</t>
  </si>
  <si>
    <t>Resuelve con  propiedad las operaciones con raiz cúbica.</t>
  </si>
  <si>
    <t>NADIA YOJANA</t>
  </si>
  <si>
    <t>La estudiante demostró capacidades para lograr la competencia</t>
  </si>
  <si>
    <t xml:space="preserve">NO DESARROLLO LA COMPETENCIA EN MENCION </t>
  </si>
  <si>
    <t>baja</t>
  </si>
  <si>
    <t>INFORME DE PROGRESO DE LAS COMPETENCIAS DEL ESTUDIANTE - 2023</t>
  </si>
  <si>
    <t>DRE:</t>
  </si>
  <si>
    <t>LORETO</t>
  </si>
  <si>
    <t>UGEL:</t>
  </si>
  <si>
    <t>ALTO AMAZONAS</t>
  </si>
  <si>
    <t>NIVEL:</t>
  </si>
  <si>
    <t>SECUNDARIA</t>
  </si>
  <si>
    <t>INSTITUCIÓN EDUCA60TIVA:</t>
  </si>
  <si>
    <t>AGROPECUARIO N° 110</t>
  </si>
  <si>
    <t>CÓDIGO MODULAR:</t>
  </si>
  <si>
    <t>GRADO:</t>
  </si>
  <si>
    <t>SECCIÓN:</t>
  </si>
  <si>
    <t>CÓDIGO DEL ESTUDIANTE:</t>
  </si>
  <si>
    <t>DNI:</t>
  </si>
  <si>
    <t>APELLIDOS Y NOMBRES 
DEL ESTUDIANTE:</t>
  </si>
  <si>
    <t>APELLIDOS Y NOMBRES 
DEL DOCENTE TUTOR:</t>
  </si>
  <si>
    <t>COLOCAR NUMERO DE ORDEN</t>
  </si>
  <si>
    <t>ÁREA CURRICULAR</t>
  </si>
  <si>
    <t>COMPETENCIAS</t>
  </si>
  <si>
    <t>I TRIMESTRE</t>
  </si>
  <si>
    <t>II TRIMESTRE</t>
  </si>
  <si>
    <t>III TRIMESTRE</t>
  </si>
  <si>
    <t>Nivel de logro</t>
  </si>
  <si>
    <t>Conclusiones descriptivas</t>
  </si>
  <si>
    <t>DESARROLLO PERSONAL CIUDADANÍA Y CÍVICA</t>
  </si>
  <si>
    <t>Construye su 
identidad</t>
  </si>
  <si>
    <t>Convive y participa democráticamente en la búsqueda del bien común</t>
  </si>
  <si>
    <t>Construye interpretaciones históricas.</t>
  </si>
  <si>
    <t xml:space="preserve"> Gestiona responsablemente el espacio y el ambiente</t>
  </si>
  <si>
    <t xml:space="preserve"> Gestiona responsablemente los recursos económicos</t>
  </si>
  <si>
    <t>EDUCACIÓN FÍSICA</t>
  </si>
  <si>
    <t>Se desenvuelve de manera autónoma a través de su motricidad</t>
  </si>
  <si>
    <t xml:space="preserve"> Interactúa a través de sus habilidades sociomotrices</t>
  </si>
  <si>
    <t>Asume una vida saludable.</t>
  </si>
  <si>
    <t>Aprecia de manera crítica manifestaciones artístico-culturales</t>
  </si>
  <si>
    <t xml:space="preserve"> Crea proyectos desde los lenguajes artísticos</t>
  </si>
  <si>
    <t xml:space="preserve"> Se comunica oralmente en su lengua materna.</t>
  </si>
  <si>
    <t>Lee diversos tipos de textos escritos en lengua materna.</t>
  </si>
  <si>
    <t>Escribe diversos tipos de textos en lengua materna</t>
  </si>
  <si>
    <t>INGLÉS</t>
  </si>
  <si>
    <t>Se   comunica oralmente en inglés como lengua extranjer</t>
  </si>
  <si>
    <t xml:space="preserve">   Lee diversos tipos de textos escritos en inglés como lengua extranjera </t>
  </si>
  <si>
    <t>Escribe diversos tipos de textos en inglés como lengua extranjera</t>
  </si>
  <si>
    <t>MATEMÁTICA</t>
  </si>
  <si>
    <t>Resuelve problemas de cantidad</t>
  </si>
  <si>
    <t>Resuelve problemas de regularidad, equivalencia y cambio</t>
  </si>
  <si>
    <t>Resuelve problemas de forma, movimiento y localización</t>
  </si>
  <si>
    <t>Resuelve problemas de gestión de datos e incertidumbre</t>
  </si>
  <si>
    <t>CIENCIA y TECNOLOGÍA</t>
  </si>
  <si>
    <t>Indaga mediante métodos científicos para construir conocimientos.</t>
  </si>
  <si>
    <t>Explica el mundo físico basándose en conocimientos sobre los seres vivos, materia y energía, biodiversidad, Tierra y universo</t>
  </si>
  <si>
    <t>Diseña y construye soluciones tecnológicas para resolver problemas de su entorno.</t>
  </si>
  <si>
    <t>EDUC. RELIGIOSA</t>
  </si>
  <si>
    <t>Asume la experiencia del encuentro personal y comunitario con Dios en su proyecto de vida en coherencia con su creencia religiosa</t>
  </si>
  <si>
    <t xml:space="preserve">Construye su identidad como persona humana, amada por Dios, digna,libre y trascendente, comprendiendo la doctrina de su propia religión, abierto al diálogo con las que le son cercanas </t>
  </si>
  <si>
    <t>ED. PARA EL TRABAJO</t>
  </si>
  <si>
    <t>Gestiona proyectos de emprendimiento económico o social</t>
  </si>
  <si>
    <t>Se desenvuelve en entornos virtuales generados por las  TIC.</t>
  </si>
  <si>
    <t>Gestiona su aprendizaje de forma autónoma</t>
  </si>
  <si>
    <t>RESUMEN DE ASISTENCIA DEL ESTUDIANTE</t>
  </si>
  <si>
    <t>PERIODOS</t>
  </si>
  <si>
    <t>SITUACIÓN AL FINALIZAR EL PERIODO LECTIVO</t>
  </si>
  <si>
    <t>PRO (para promovido de grado), PER (para permanece en el grado) o RR (para requiere recuperación)</t>
  </si>
  <si>
    <t>INSTITUCIÓN EDUCATIVA:</t>
  </si>
  <si>
    <t>0579086</t>
  </si>
  <si>
    <t xml:space="preserve"> COLOCAR NUMERO DE ORDEN</t>
  </si>
  <si>
    <t>No participa de las actividades físicas, demostrando desinterés.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</si>
</sst>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57">
    <font>
      <sz val="11"/>
      <color theme="1"/>
      <name val="Arial"/>
      <scheme val="minor"/>
    </font>
    <font>
      <sz val="31"/>
      <color theme="1"/>
      <name val="Arial Black"/>
    </font>
    <font>
      <sz val="36"/>
      <color theme="1"/>
      <name val="Arial Black"/>
    </font>
    <font>
      <sz val="28"/>
      <color theme="1"/>
      <name val="Arial Black"/>
    </font>
    <font>
      <sz val="11"/>
      <name val="Arial"/>
    </font>
    <font>
      <sz val="36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1"/>
      <color theme="1"/>
      <name val="Arial Narrow"/>
    </font>
    <font>
      <b/>
      <sz val="12"/>
      <color theme="1"/>
      <name val="Calibri"/>
    </font>
    <font>
      <sz val="9"/>
      <color theme="1"/>
      <name val="Calibri"/>
    </font>
    <font>
      <b/>
      <sz val="16"/>
      <color theme="0"/>
      <name val="Calibri"/>
    </font>
    <font>
      <sz val="12"/>
      <color theme="1"/>
      <name val="Quattrocento Sans"/>
    </font>
    <font>
      <sz val="12"/>
      <color theme="1"/>
      <name val="Calibri"/>
    </font>
    <font>
      <b/>
      <sz val="12"/>
      <color theme="1"/>
      <name val="Quattrocento Sans"/>
    </font>
    <font>
      <b/>
      <sz val="14"/>
      <color theme="1"/>
      <name val="Arial"/>
    </font>
    <font>
      <b/>
      <sz val="12"/>
      <color theme="0"/>
      <name val="Calibri"/>
    </font>
    <font>
      <sz val="12"/>
      <color theme="0"/>
      <name val="Calibri"/>
    </font>
    <font>
      <sz val="12"/>
      <color theme="1"/>
      <name val="Arial"/>
    </font>
    <font>
      <sz val="18"/>
      <color theme="1"/>
      <name val="Trebuchet MS"/>
    </font>
    <font>
      <sz val="18"/>
      <color rgb="FF000000"/>
      <name val="Trebuchet MS"/>
    </font>
    <font>
      <sz val="12"/>
      <color rgb="FF000000"/>
      <name val="Calibri"/>
    </font>
    <font>
      <sz val="12"/>
      <color rgb="FF000000"/>
      <name val="Docs-Calibri"/>
    </font>
    <font>
      <b/>
      <sz val="12"/>
      <color rgb="FF000000"/>
      <name val="Calibri"/>
    </font>
    <font>
      <sz val="11"/>
      <color theme="1"/>
      <name val="Arial"/>
      <scheme val="minor"/>
    </font>
    <font>
      <sz val="11"/>
      <color rgb="FF000000"/>
      <name val="Calibri"/>
    </font>
    <font>
      <sz val="17"/>
      <color theme="1"/>
      <name val="Arial"/>
    </font>
    <font>
      <b/>
      <sz val="12"/>
      <color rgb="FF000000"/>
      <name val="Docs-Calibri"/>
    </font>
    <font>
      <sz val="10"/>
      <color theme="1"/>
      <name val="Calibri"/>
    </font>
    <font>
      <sz val="11"/>
      <color theme="1"/>
      <name val="Arial"/>
    </font>
    <font>
      <sz val="16"/>
      <color rgb="FF000000"/>
      <name val="Trebuchet MS"/>
    </font>
    <font>
      <sz val="16"/>
      <color theme="1"/>
      <name val="Trebuchet MS"/>
    </font>
    <font>
      <sz val="11"/>
      <color rgb="FF000000"/>
      <name val="Roboto"/>
    </font>
    <font>
      <b/>
      <sz val="12"/>
      <color rgb="FFFFFFFF"/>
      <name val="Calibri"/>
    </font>
    <font>
      <b/>
      <sz val="11"/>
      <color rgb="FF000000"/>
      <name val="Calibri"/>
    </font>
    <font>
      <sz val="16"/>
      <color theme="1"/>
      <name val="Arial"/>
    </font>
    <font>
      <sz val="11"/>
      <color rgb="FF666666"/>
      <name val="Open Sans"/>
    </font>
    <font>
      <b/>
      <sz val="11"/>
      <color rgb="FF000000"/>
      <name val="Docs-Calibri"/>
    </font>
    <font>
      <sz val="18"/>
      <color theme="1"/>
      <name val="Arial"/>
    </font>
    <font>
      <b/>
      <sz val="24"/>
      <color theme="1"/>
      <name val="Calibri"/>
    </font>
    <font>
      <b/>
      <sz val="71"/>
      <color rgb="FFFF5050"/>
      <name val="Cambria"/>
    </font>
    <font>
      <sz val="14"/>
      <color theme="1"/>
      <name val="Calibri"/>
    </font>
    <font>
      <sz val="16"/>
      <color theme="1"/>
      <name val="Calibri"/>
    </font>
    <font>
      <b/>
      <sz val="22"/>
      <color theme="1"/>
      <name val="Calibri"/>
    </font>
    <font>
      <b/>
      <sz val="18"/>
      <color theme="1"/>
      <name val="Calibri"/>
    </font>
    <font>
      <b/>
      <sz val="18"/>
      <color theme="1"/>
      <name val="Arial"/>
    </font>
    <font>
      <b/>
      <sz val="16"/>
      <color theme="1"/>
      <name val="Calibri"/>
    </font>
    <font>
      <b/>
      <sz val="11"/>
      <color theme="1"/>
      <name val="Arial"/>
    </font>
    <font>
      <b/>
      <sz val="22"/>
      <color rgb="FFFFFF00"/>
      <name val="Calibri"/>
    </font>
    <font>
      <sz val="12"/>
      <color theme="1"/>
      <name val="Arial"/>
      <family val="2"/>
      <scheme val="minor"/>
    </font>
    <font>
      <sz val="12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974806"/>
        <bgColor rgb="FF974806"/>
      </patternFill>
    </fill>
    <fill>
      <patternFill patternType="solid">
        <fgColor rgb="FF92D050"/>
        <bgColor rgb="FF92D050"/>
      </patternFill>
    </fill>
    <fill>
      <patternFill patternType="solid">
        <fgColor rgb="FF993300"/>
        <bgColor rgb="FF993300"/>
      </patternFill>
    </fill>
    <fill>
      <patternFill patternType="solid">
        <fgColor rgb="FF0070C0"/>
        <bgColor rgb="FF0070C0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66FF66"/>
        <bgColor rgb="FF66FF66"/>
      </patternFill>
    </fill>
    <fill>
      <patternFill patternType="solid">
        <fgColor rgb="FF99FFCC"/>
        <bgColor rgb="FF99FFCC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0" fillId="6" borderId="11" xfId="0" applyFont="1" applyFill="1" applyBorder="1" applyAlignment="1">
      <alignment vertical="center" wrapText="1"/>
    </xf>
    <xf numFmtId="0" fontId="10" fillId="6" borderId="12" xfId="0" applyFont="1" applyFill="1" applyBorder="1" applyAlignment="1">
      <alignment vertical="center" wrapText="1"/>
    </xf>
    <xf numFmtId="0" fontId="11" fillId="0" borderId="0" xfId="0" applyFont="1" applyAlignment="1"/>
    <xf numFmtId="0" fontId="13" fillId="8" borderId="17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5" fillId="3" borderId="25" xfId="0" applyFont="1" applyFill="1" applyBorder="1" applyAlignment="1">
      <alignment vertical="center"/>
    </xf>
    <xf numFmtId="0" fontId="15" fillId="3" borderId="26" xfId="0" applyFont="1" applyFill="1" applyBorder="1" applyAlignment="1">
      <alignment vertical="center"/>
    </xf>
    <xf numFmtId="0" fontId="14" fillId="6" borderId="11" xfId="0" applyFont="1" applyFill="1" applyBorder="1" applyAlignment="1">
      <alignment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8" fillId="10" borderId="35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left" vertical="center"/>
    </xf>
    <xf numFmtId="0" fontId="21" fillId="11" borderId="19" xfId="0" applyFont="1" applyFill="1" applyBorder="1" applyAlignment="1">
      <alignment horizontal="left" vertical="center" wrapText="1" readingOrder="1"/>
    </xf>
    <xf numFmtId="0" fontId="14" fillId="12" borderId="25" xfId="0" applyFont="1" applyFill="1" applyBorder="1" applyAlignment="1">
      <alignment horizontal="center" vertical="center" wrapText="1"/>
    </xf>
    <xf numFmtId="1" fontId="10" fillId="13" borderId="19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1" fontId="22" fillId="13" borderId="19" xfId="0" applyNumberFormat="1" applyFont="1" applyFill="1" applyBorder="1" applyAlignment="1">
      <alignment horizontal="left" vertical="center" wrapText="1"/>
    </xf>
    <xf numFmtId="1" fontId="23" fillId="13" borderId="0" xfId="0" applyNumberFormat="1" applyFont="1" applyFill="1" applyAlignment="1">
      <alignment horizontal="left"/>
    </xf>
    <xf numFmtId="1" fontId="11" fillId="0" borderId="0" xfId="0" applyNumberFormat="1" applyFont="1" applyAlignment="1"/>
    <xf numFmtId="0" fontId="14" fillId="12" borderId="19" xfId="0" applyFont="1" applyFill="1" applyBorder="1" applyAlignment="1">
      <alignment horizontal="center" vertical="center" wrapText="1"/>
    </xf>
    <xf numFmtId="1" fontId="10" fillId="13" borderId="17" xfId="0" applyNumberFormat="1" applyFont="1" applyFill="1" applyBorder="1" applyAlignment="1">
      <alignment horizontal="center" vertical="center" wrapText="1"/>
    </xf>
    <xf numFmtId="1" fontId="6" fillId="13" borderId="19" xfId="0" applyNumberFormat="1" applyFont="1" applyFill="1" applyBorder="1" applyAlignment="1">
      <alignment horizontal="center" vertical="center" wrapText="1"/>
    </xf>
    <xf numFmtId="0" fontId="24" fillId="12" borderId="19" xfId="0" applyFont="1" applyFill="1" applyBorder="1" applyAlignment="1">
      <alignment horizontal="center"/>
    </xf>
    <xf numFmtId="0" fontId="25" fillId="13" borderId="0" xfId="0" applyFont="1" applyFill="1" applyAlignment="1"/>
    <xf numFmtId="1" fontId="22" fillId="13" borderId="31" xfId="0" applyNumberFormat="1" applyFont="1" applyFill="1" applyBorder="1" applyAlignment="1">
      <alignment horizontal="center"/>
    </xf>
    <xf numFmtId="1" fontId="26" fillId="13" borderId="19" xfId="0" applyNumberFormat="1" applyFont="1" applyFill="1" applyBorder="1" applyAlignment="1"/>
    <xf numFmtId="1" fontId="10" fillId="13" borderId="19" xfId="0" applyNumberFormat="1" applyFont="1" applyFill="1" applyBorder="1" applyAlignment="1">
      <alignment horizontal="center" vertical="center" wrapText="1"/>
    </xf>
    <xf numFmtId="0" fontId="27" fillId="13" borderId="19" xfId="0" applyFont="1" applyFill="1" applyBorder="1" applyAlignment="1">
      <alignment horizontal="center" vertical="center"/>
    </xf>
    <xf numFmtId="1" fontId="28" fillId="13" borderId="0" xfId="0" applyNumberFormat="1" applyFont="1" applyFill="1" applyAlignment="1">
      <alignment horizontal="center"/>
    </xf>
    <xf numFmtId="0" fontId="29" fillId="12" borderId="25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/>
    </xf>
    <xf numFmtId="0" fontId="24" fillId="12" borderId="33" xfId="0" applyFont="1" applyFill="1" applyBorder="1" applyAlignment="1">
      <alignment horizontal="center"/>
    </xf>
    <xf numFmtId="1" fontId="11" fillId="0" borderId="19" xfId="0" applyNumberFormat="1" applyFont="1" applyBorder="1" applyAlignment="1">
      <alignment vertical="top"/>
    </xf>
    <xf numFmtId="0" fontId="24" fillId="12" borderId="32" xfId="0" applyFont="1" applyFill="1" applyBorder="1" applyAlignment="1">
      <alignment horizontal="center"/>
    </xf>
    <xf numFmtId="1" fontId="24" fillId="13" borderId="0" xfId="0" applyNumberFormat="1" applyFont="1" applyFill="1" applyAlignment="1">
      <alignment horizontal="center"/>
    </xf>
    <xf numFmtId="0" fontId="14" fillId="12" borderId="25" xfId="0" applyFont="1" applyFill="1" applyBorder="1" applyAlignment="1">
      <alignment horizontal="center" vertical="center" wrapText="1"/>
    </xf>
    <xf numFmtId="1" fontId="6" fillId="13" borderId="19" xfId="0" applyNumberFormat="1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left" vertical="center" readingOrder="1"/>
    </xf>
    <xf numFmtId="0" fontId="14" fillId="12" borderId="7" xfId="0" applyFont="1" applyFill="1" applyBorder="1" applyAlignment="1">
      <alignment horizontal="center" vertical="center" wrapText="1"/>
    </xf>
    <xf numFmtId="1" fontId="28" fillId="13" borderId="19" xfId="0" applyNumberFormat="1" applyFont="1" applyFill="1" applyBorder="1" applyAlignment="1">
      <alignment horizontal="center"/>
    </xf>
    <xf numFmtId="1" fontId="24" fillId="13" borderId="11" xfId="0" applyNumberFormat="1" applyFont="1" applyFill="1" applyBorder="1" applyAlignment="1">
      <alignment horizontal="center"/>
    </xf>
    <xf numFmtId="0" fontId="25" fillId="0" borderId="0" xfId="0" applyFont="1" applyAlignment="1"/>
    <xf numFmtId="0" fontId="20" fillId="0" borderId="19" xfId="0" applyFont="1" applyBorder="1" applyAlignment="1">
      <alignment vertical="center"/>
    </xf>
    <xf numFmtId="0" fontId="19" fillId="3" borderId="25" xfId="0" applyFont="1" applyFill="1" applyBorder="1" applyAlignment="1">
      <alignment horizontal="center" vertical="center"/>
    </xf>
    <xf numFmtId="0" fontId="24" fillId="12" borderId="40" xfId="0" applyFont="1" applyFill="1" applyBorder="1" applyAlignment="1">
      <alignment horizontal="center"/>
    </xf>
    <xf numFmtId="0" fontId="7" fillId="0" borderId="19" xfId="0" applyFont="1" applyBorder="1" applyAlignment="1">
      <alignment wrapText="1"/>
    </xf>
    <xf numFmtId="0" fontId="30" fillId="0" borderId="19" xfId="0" applyFont="1" applyBorder="1"/>
    <xf numFmtId="0" fontId="7" fillId="0" borderId="0" xfId="0" applyFont="1" applyAlignment="1">
      <alignment wrapText="1"/>
    </xf>
    <xf numFmtId="0" fontId="30" fillId="0" borderId="0" xfId="0" applyFont="1"/>
    <xf numFmtId="0" fontId="7" fillId="0" borderId="23" xfId="0" applyFont="1" applyBorder="1" applyAlignment="1">
      <alignment wrapText="1"/>
    </xf>
    <xf numFmtId="0" fontId="30" fillId="13" borderId="11" xfId="0" applyFont="1" applyFill="1" applyBorder="1"/>
    <xf numFmtId="0" fontId="14" fillId="13" borderId="19" xfId="0" applyFont="1" applyFill="1" applyBorder="1" applyAlignment="1">
      <alignment horizontal="center" vertical="center" wrapText="1"/>
    </xf>
    <xf numFmtId="0" fontId="31" fillId="11" borderId="19" xfId="0" applyFont="1" applyFill="1" applyBorder="1" applyAlignment="1">
      <alignment horizontal="left" vertical="center" readingOrder="1"/>
    </xf>
    <xf numFmtId="0" fontId="31" fillId="0" borderId="19" xfId="0" applyFont="1" applyBorder="1" applyAlignment="1">
      <alignment horizontal="left" vertical="center" readingOrder="1"/>
    </xf>
    <xf numFmtId="0" fontId="31" fillId="0" borderId="7" xfId="0" applyFont="1" applyBorder="1" applyAlignment="1">
      <alignment horizontal="left" vertical="center" wrapText="1" readingOrder="1"/>
    </xf>
    <xf numFmtId="0" fontId="26" fillId="12" borderId="19" xfId="0" applyFont="1" applyFill="1" applyBorder="1" applyAlignment="1">
      <alignment horizontal="center"/>
    </xf>
    <xf numFmtId="1" fontId="14" fillId="13" borderId="19" xfId="0" applyNumberFormat="1" applyFont="1" applyFill="1" applyBorder="1" applyAlignment="1">
      <alignment horizontal="center" vertical="center" wrapText="1"/>
    </xf>
    <xf numFmtId="0" fontId="31" fillId="11" borderId="19" xfId="0" applyFont="1" applyFill="1" applyBorder="1" applyAlignment="1">
      <alignment horizontal="left" vertical="center" wrapText="1" readingOrder="1"/>
    </xf>
    <xf numFmtId="0" fontId="31" fillId="0" borderId="19" xfId="0" applyFont="1" applyBorder="1" applyAlignment="1">
      <alignment horizontal="left" vertical="center" wrapText="1" readingOrder="1"/>
    </xf>
    <xf numFmtId="0" fontId="31" fillId="11" borderId="25" xfId="0" applyFont="1" applyFill="1" applyBorder="1" applyAlignment="1">
      <alignment horizontal="left" vertical="center" wrapText="1" readingOrder="1"/>
    </xf>
    <xf numFmtId="0" fontId="32" fillId="11" borderId="19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1" fillId="11" borderId="17" xfId="0" applyFont="1" applyFill="1" applyBorder="1" applyAlignment="1">
      <alignment horizontal="left" vertical="center" readingOrder="1"/>
    </xf>
    <xf numFmtId="0" fontId="31" fillId="0" borderId="16" xfId="0" applyFont="1" applyBorder="1" applyAlignment="1">
      <alignment horizontal="left" vertical="center" readingOrder="1"/>
    </xf>
    <xf numFmtId="0" fontId="31" fillId="0" borderId="1" xfId="0" applyFont="1" applyBorder="1" applyAlignment="1">
      <alignment horizontal="left" vertical="center" readingOrder="1"/>
    </xf>
    <xf numFmtId="1" fontId="33" fillId="13" borderId="19" xfId="0" applyNumberFormat="1" applyFont="1" applyFill="1" applyBorder="1" applyAlignment="1"/>
    <xf numFmtId="1" fontId="26" fillId="13" borderId="19" xfId="0" applyNumberFormat="1" applyFont="1" applyFill="1" applyBorder="1" applyAlignment="1">
      <alignment horizontal="center"/>
    </xf>
    <xf numFmtId="0" fontId="31" fillId="11" borderId="25" xfId="0" applyFont="1" applyFill="1" applyBorder="1" applyAlignment="1">
      <alignment horizontal="left" vertical="center" readingOrder="1"/>
    </xf>
    <xf numFmtId="0" fontId="32" fillId="11" borderId="19" xfId="0" applyFont="1" applyFill="1" applyBorder="1" applyAlignment="1">
      <alignment horizontal="left" vertical="center" wrapText="1"/>
    </xf>
    <xf numFmtId="0" fontId="32" fillId="11" borderId="25" xfId="0" applyFont="1" applyFill="1" applyBorder="1" applyAlignment="1">
      <alignment horizontal="left" vertical="center" wrapText="1"/>
    </xf>
    <xf numFmtId="0" fontId="30" fillId="11" borderId="11" xfId="0" applyFont="1" applyFill="1" applyBorder="1"/>
    <xf numFmtId="0" fontId="34" fillId="10" borderId="31" xfId="0" applyFont="1" applyFill="1" applyBorder="1" applyAlignment="1">
      <alignment horizontal="center" vertical="center" wrapText="1"/>
    </xf>
    <xf numFmtId="0" fontId="17" fillId="10" borderId="35" xfId="0" applyFont="1" applyFill="1" applyBorder="1" applyAlignment="1">
      <alignment horizontal="center" vertical="center" wrapText="1"/>
    </xf>
    <xf numFmtId="0" fontId="17" fillId="10" borderId="41" xfId="0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left" vertical="center" readingOrder="1"/>
    </xf>
    <xf numFmtId="0" fontId="21" fillId="0" borderId="19" xfId="0" applyFont="1" applyBorder="1" applyAlignment="1">
      <alignment horizontal="left" vertical="center" readingOrder="1"/>
    </xf>
    <xf numFmtId="0" fontId="21" fillId="0" borderId="19" xfId="0" applyFont="1" applyBorder="1" applyAlignment="1">
      <alignment horizontal="left" vertical="center" wrapText="1" readingOrder="1"/>
    </xf>
    <xf numFmtId="0" fontId="14" fillId="12" borderId="19" xfId="0" applyFont="1" applyFill="1" applyBorder="1" applyAlignment="1">
      <alignment vertical="center" wrapText="1"/>
    </xf>
    <xf numFmtId="1" fontId="10" fillId="13" borderId="19" xfId="0" applyNumberFormat="1" applyFont="1" applyFill="1" applyBorder="1" applyAlignment="1">
      <alignment wrapText="1"/>
    </xf>
    <xf numFmtId="1" fontId="10" fillId="14" borderId="19" xfId="0" applyNumberFormat="1" applyFont="1" applyFill="1" applyBorder="1" applyAlignment="1">
      <alignment vertical="center" wrapText="1"/>
    </xf>
    <xf numFmtId="0" fontId="20" fillId="11" borderId="19" xfId="0" applyFont="1" applyFill="1" applyBorder="1" applyAlignment="1">
      <alignment vertical="center"/>
    </xf>
    <xf numFmtId="0" fontId="20" fillId="11" borderId="19" xfId="0" applyFont="1" applyFill="1" applyBorder="1" applyAlignment="1">
      <alignment horizontal="left" vertical="center" wrapText="1"/>
    </xf>
    <xf numFmtId="0" fontId="14" fillId="14" borderId="19" xfId="0" applyFont="1" applyFill="1" applyBorder="1" applyAlignment="1">
      <alignment vertical="center" wrapText="1"/>
    </xf>
    <xf numFmtId="0" fontId="14" fillId="14" borderId="19" xfId="0" applyFont="1" applyFill="1" applyBorder="1" applyAlignment="1">
      <alignment vertical="center" wrapText="1"/>
    </xf>
    <xf numFmtId="0" fontId="14" fillId="12" borderId="42" xfId="0" applyFont="1" applyFill="1" applyBorder="1" applyAlignment="1">
      <alignment horizontal="center" vertical="center" wrapText="1"/>
    </xf>
    <xf numFmtId="1" fontId="6" fillId="13" borderId="17" xfId="0" applyNumberFormat="1" applyFont="1" applyFill="1" applyBorder="1" applyAlignment="1">
      <alignment horizontal="center" vertical="center" wrapText="1"/>
    </xf>
    <xf numFmtId="1" fontId="35" fillId="13" borderId="17" xfId="0" applyNumberFormat="1" applyFont="1" applyFill="1" applyBorder="1" applyAlignment="1">
      <alignment horizontal="center" wrapText="1"/>
    </xf>
    <xf numFmtId="0" fontId="36" fillId="13" borderId="19" xfId="0" applyFont="1" applyFill="1" applyBorder="1" applyAlignment="1">
      <alignment horizontal="center" vertical="center"/>
    </xf>
    <xf numFmtId="0" fontId="14" fillId="12" borderId="43" xfId="0" applyFont="1" applyFill="1" applyBorder="1" applyAlignment="1">
      <alignment horizontal="center" vertical="center" wrapText="1"/>
    </xf>
    <xf numFmtId="1" fontId="6" fillId="13" borderId="19" xfId="0" applyNumberFormat="1" applyFont="1" applyFill="1" applyBorder="1" applyAlignment="1">
      <alignment vertical="center" wrapText="1"/>
    </xf>
    <xf numFmtId="1" fontId="35" fillId="13" borderId="19" xfId="0" applyNumberFormat="1" applyFont="1" applyFill="1" applyBorder="1" applyAlignment="1">
      <alignment horizontal="center" wrapText="1"/>
    </xf>
    <xf numFmtId="0" fontId="20" fillId="11" borderId="17" xfId="0" applyFont="1" applyFill="1" applyBorder="1" applyAlignment="1">
      <alignment horizontal="left" vertical="center" wrapText="1"/>
    </xf>
    <xf numFmtId="1" fontId="6" fillId="13" borderId="31" xfId="0" applyNumberFormat="1" applyFont="1" applyFill="1" applyBorder="1" applyAlignment="1">
      <alignment horizontal="center" vertical="center" wrapText="1"/>
    </xf>
    <xf numFmtId="0" fontId="20" fillId="11" borderId="11" xfId="0" applyFont="1" applyFill="1" applyBorder="1" applyAlignment="1">
      <alignment vertical="center"/>
    </xf>
    <xf numFmtId="0" fontId="20" fillId="11" borderId="11" xfId="0" applyFont="1" applyFill="1" applyBorder="1" applyAlignment="1">
      <alignment horizontal="left" vertical="center" wrapText="1"/>
    </xf>
    <xf numFmtId="1" fontId="35" fillId="13" borderId="0" xfId="0" applyNumberFormat="1" applyFont="1" applyFill="1" applyAlignment="1">
      <alignment horizontal="center"/>
    </xf>
    <xf numFmtId="1" fontId="35" fillId="13" borderId="11" xfId="0" applyNumberFormat="1" applyFont="1" applyFill="1" applyBorder="1" applyAlignment="1">
      <alignment horizontal="center"/>
    </xf>
    <xf numFmtId="1" fontId="29" fillId="13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vertical="center" wrapText="1"/>
    </xf>
    <xf numFmtId="0" fontId="20" fillId="0" borderId="16" xfId="0" applyFont="1" applyBorder="1" applyAlignment="1">
      <alignment vertical="center"/>
    </xf>
    <xf numFmtId="0" fontId="21" fillId="0" borderId="0" xfId="0" applyFont="1" applyAlignment="1">
      <alignment horizontal="left" vertical="center" wrapText="1" readingOrder="1"/>
    </xf>
    <xf numFmtId="0" fontId="21" fillId="0" borderId="27" xfId="0" applyFont="1" applyBorder="1" applyAlignment="1">
      <alignment horizontal="left" vertical="center" readingOrder="1"/>
    </xf>
    <xf numFmtId="0" fontId="34" fillId="10" borderId="19" xfId="0" applyFont="1" applyFill="1" applyBorder="1" applyAlignment="1">
      <alignment horizontal="center" vertical="center" wrapText="1"/>
    </xf>
    <xf numFmtId="1" fontId="37" fillId="13" borderId="11" xfId="0" applyNumberFormat="1" applyFont="1" applyFill="1" applyBorder="1" applyAlignment="1">
      <alignment horizontal="left"/>
    </xf>
    <xf numFmtId="0" fontId="21" fillId="11" borderId="35" xfId="0" applyFont="1" applyFill="1" applyBorder="1" applyAlignment="1">
      <alignment horizontal="left" vertical="center" readingOrder="1"/>
    </xf>
    <xf numFmtId="0" fontId="21" fillId="0" borderId="20" xfId="0" applyFont="1" applyBorder="1" applyAlignment="1">
      <alignment horizontal="left" vertical="center" readingOrder="1"/>
    </xf>
    <xf numFmtId="0" fontId="21" fillId="0" borderId="23" xfId="0" applyFont="1" applyBorder="1" applyAlignment="1">
      <alignment horizontal="left" vertical="center" readingOrder="1"/>
    </xf>
    <xf numFmtId="1" fontId="38" fillId="13" borderId="0" xfId="0" applyNumberFormat="1" applyFont="1" applyFill="1" applyAlignment="1">
      <alignment horizontal="center"/>
    </xf>
    <xf numFmtId="0" fontId="20" fillId="11" borderId="25" xfId="0" applyFont="1" applyFill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" fontId="22" fillId="13" borderId="0" xfId="0" applyNumberFormat="1" applyFont="1" applyFill="1" applyAlignment="1">
      <alignment horizontal="left"/>
    </xf>
    <xf numFmtId="0" fontId="20" fillId="11" borderId="25" xfId="0" applyFont="1" applyFill="1" applyBorder="1" applyAlignment="1">
      <alignment horizontal="left" vertical="center"/>
    </xf>
    <xf numFmtId="0" fontId="20" fillId="11" borderId="35" xfId="0" applyFont="1" applyFill="1" applyBorder="1" applyAlignment="1">
      <alignment horizontal="left" vertical="center"/>
    </xf>
    <xf numFmtId="0" fontId="39" fillId="0" borderId="19" xfId="0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 wrapText="1" readingOrder="1"/>
    </xf>
    <xf numFmtId="0" fontId="19" fillId="3" borderId="19" xfId="0" applyFont="1" applyFill="1" applyBorder="1" applyAlignment="1">
      <alignment horizontal="center" vertical="center"/>
    </xf>
    <xf numFmtId="0" fontId="20" fillId="11" borderId="19" xfId="0" applyFont="1" applyFill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" fontId="22" fillId="13" borderId="0" xfId="0" applyNumberFormat="1" applyFont="1" applyFill="1" applyAlignment="1">
      <alignment horizontal="left" vertical="center" wrapText="1"/>
    </xf>
    <xf numFmtId="0" fontId="20" fillId="11" borderId="19" xfId="0" applyFont="1" applyFill="1" applyBorder="1" applyAlignment="1">
      <alignment horizontal="left" vertical="center" wrapText="1"/>
    </xf>
    <xf numFmtId="0" fontId="20" fillId="11" borderId="25" xfId="0" applyFont="1" applyFill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readingOrder="1"/>
    </xf>
    <xf numFmtId="1" fontId="24" fillId="13" borderId="11" xfId="0" applyNumberFormat="1" applyFont="1" applyFill="1" applyBorder="1" applyAlignment="1">
      <alignment horizontal="center"/>
    </xf>
    <xf numFmtId="0" fontId="21" fillId="15" borderId="19" xfId="0" applyFont="1" applyFill="1" applyBorder="1" applyAlignment="1">
      <alignment horizontal="left" vertical="center" readingOrder="1"/>
    </xf>
    <xf numFmtId="0" fontId="21" fillId="15" borderId="25" xfId="0" applyFont="1" applyFill="1" applyBorder="1" applyAlignment="1">
      <alignment horizontal="left" vertical="center" readingOrder="1"/>
    </xf>
    <xf numFmtId="0" fontId="40" fillId="0" borderId="0" xfId="0" applyFont="1" applyAlignment="1">
      <alignment vertical="center"/>
    </xf>
    <xf numFmtId="0" fontId="10" fillId="0" borderId="19" xfId="0" applyFont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43" fillId="0" borderId="22" xfId="0" applyFont="1" applyBorder="1" applyAlignment="1">
      <alignment vertical="center"/>
    </xf>
    <xf numFmtId="0" fontId="10" fillId="0" borderId="1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0" fillId="0" borderId="0" xfId="0" applyFont="1" applyAlignment="1">
      <alignment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43" fillId="0" borderId="1" xfId="0" applyFont="1" applyBorder="1" applyAlignment="1">
      <alignment horizontal="left" vertical="center"/>
    </xf>
    <xf numFmtId="0" fontId="43" fillId="0" borderId="2" xfId="0" applyFont="1" applyBorder="1" applyAlignment="1">
      <alignment horizontal="left" vertical="center"/>
    </xf>
    <xf numFmtId="0" fontId="49" fillId="0" borderId="0" xfId="0" applyFont="1" applyAlignment="1">
      <alignment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43" fillId="0" borderId="7" xfId="0" applyFont="1" applyBorder="1" applyAlignment="1">
      <alignment vertical="center"/>
    </xf>
    <xf numFmtId="0" fontId="43" fillId="0" borderId="8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52" fillId="0" borderId="19" xfId="0" applyFont="1" applyBorder="1" applyAlignment="1">
      <alignment wrapText="1"/>
    </xf>
    <xf numFmtId="0" fontId="55" fillId="0" borderId="0" xfId="0" applyFont="1" applyAlignment="1"/>
    <xf numFmtId="0" fontId="53" fillId="14" borderId="19" xfId="0" applyFont="1" applyFill="1" applyBorder="1" applyAlignment="1">
      <alignment vertical="center" wrapText="1"/>
    </xf>
    <xf numFmtId="1" fontId="55" fillId="0" borderId="0" xfId="0" applyNumberFormat="1" applyFont="1" applyAlignment="1"/>
    <xf numFmtId="1" fontId="56" fillId="13" borderId="19" xfId="0" applyNumberFormat="1" applyFont="1" applyFill="1" applyBorder="1" applyAlignment="1">
      <alignment horizontal="center" vertical="center" wrapText="1"/>
    </xf>
    <xf numFmtId="1" fontId="54" fillId="13" borderId="19" xfId="0" applyNumberFormat="1" applyFont="1" applyFill="1" applyBorder="1" applyAlignment="1">
      <alignment horizontal="center" vertical="center" wrapText="1"/>
    </xf>
    <xf numFmtId="0" fontId="14" fillId="12" borderId="25" xfId="0" applyFont="1" applyFill="1" applyBorder="1" applyAlignment="1">
      <alignment vertical="center" wrapText="1"/>
    </xf>
    <xf numFmtId="0" fontId="53" fillId="14" borderId="17" xfId="0" applyFont="1" applyFill="1" applyBorder="1" applyAlignment="1">
      <alignment vertical="center" wrapText="1"/>
    </xf>
    <xf numFmtId="0" fontId="11" fillId="0" borderId="44" xfId="0" applyFont="1" applyBorder="1" applyAlignment="1"/>
    <xf numFmtId="0" fontId="30" fillId="0" borderId="22" xfId="0" applyFont="1" applyBorder="1" applyAlignment="1">
      <alignment horizontal="center"/>
    </xf>
    <xf numFmtId="0" fontId="4" fillId="0" borderId="24" xfId="0" applyFont="1" applyBorder="1"/>
    <xf numFmtId="0" fontId="14" fillId="0" borderId="16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27" xfId="0" applyFont="1" applyBorder="1"/>
    <xf numFmtId="0" fontId="10" fillId="0" borderId="1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10" fillId="5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/>
    </xf>
    <xf numFmtId="0" fontId="4" fillId="0" borderId="18" xfId="0" applyFont="1" applyBorder="1"/>
    <xf numFmtId="0" fontId="4" fillId="0" borderId="37" xfId="0" applyFont="1" applyBorder="1"/>
    <xf numFmtId="0" fontId="10" fillId="6" borderId="14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4" fillId="0" borderId="39" xfId="0" applyFont="1" applyBorder="1"/>
    <xf numFmtId="0" fontId="14" fillId="6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9" fillId="4" borderId="1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10" fillId="6" borderId="13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left" vertical="center"/>
    </xf>
    <xf numFmtId="0" fontId="16" fillId="3" borderId="16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54" fillId="18" borderId="44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4" fillId="0" borderId="23" xfId="0" applyFont="1" applyBorder="1"/>
    <xf numFmtId="0" fontId="10" fillId="0" borderId="22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0" fontId="14" fillId="13" borderId="16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14" fillId="0" borderId="7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textRotation="90" wrapText="1"/>
    </xf>
    <xf numFmtId="0" fontId="45" fillId="0" borderId="16" xfId="0" applyFont="1" applyBorder="1" applyAlignment="1">
      <alignment horizontal="center" vertical="center" textRotation="90" wrapText="1"/>
    </xf>
    <xf numFmtId="0" fontId="45" fillId="0" borderId="16" xfId="0" applyFont="1" applyBorder="1" applyAlignment="1">
      <alignment horizontal="center" vertical="center" textRotation="90"/>
    </xf>
    <xf numFmtId="0" fontId="4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7" fillId="0" borderId="1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44" fillId="1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8" fillId="0" borderId="0" xfId="0" applyFont="1"/>
    <xf numFmtId="0" fontId="10" fillId="0" borderId="7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left" vertical="center" wrapText="1"/>
    </xf>
    <xf numFmtId="0" fontId="51" fillId="0" borderId="8" xfId="0" applyFont="1" applyBorder="1" applyAlignment="1">
      <alignment horizontal="left"/>
    </xf>
    <xf numFmtId="0" fontId="45" fillId="0" borderId="1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textRotation="90"/>
    </xf>
    <xf numFmtId="164" fontId="10" fillId="0" borderId="7" xfId="0" applyNumberFormat="1" applyFont="1" applyBorder="1" applyAlignment="1">
      <alignment horizontal="center" vertical="center"/>
    </xf>
    <xf numFmtId="0" fontId="42" fillId="0" borderId="28" xfId="0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42" fillId="0" borderId="7" xfId="0" applyFont="1" applyBorder="1" applyAlignment="1">
      <alignment horizontal="center"/>
    </xf>
    <xf numFmtId="0" fontId="44" fillId="16" borderId="1" xfId="0" applyFont="1" applyFill="1" applyBorder="1" applyAlignment="1">
      <alignment horizontal="center" vertical="center" wrapText="1"/>
    </xf>
    <xf numFmtId="0" fontId="4" fillId="17" borderId="22" xfId="0" applyFont="1" applyFill="1" applyBorder="1"/>
    <xf numFmtId="0" fontId="4" fillId="17" borderId="23" xfId="0" applyFont="1" applyFill="1" applyBorder="1"/>
    <xf numFmtId="0" fontId="4" fillId="17" borderId="24" xfId="0" applyFont="1" applyFill="1" applyBorder="1"/>
    <xf numFmtId="0" fontId="4" fillId="17" borderId="28" xfId="0" applyFont="1" applyFill="1" applyBorder="1"/>
    <xf numFmtId="0" fontId="4" fillId="17" borderId="30" xfId="0" applyFont="1" applyFill="1" applyBorder="1"/>
    <xf numFmtId="49" fontId="10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4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62593</xdr:colOff>
      <xdr:row>6</xdr:row>
      <xdr:rowOff>144236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54200" y="926647"/>
          <a:ext cx="1047750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2</xdr:row>
      <xdr:rowOff>76200</xdr:rowOff>
    </xdr:from>
    <xdr:ext cx="2628900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638175</xdr:colOff>
      <xdr:row>0</xdr:row>
      <xdr:rowOff>0</xdr:rowOff>
    </xdr:from>
    <xdr:ext cx="2314575" cy="666750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496925" y="0"/>
          <a:ext cx="2314575" cy="666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200025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2</xdr:row>
      <xdr:rowOff>66675</xdr:rowOff>
    </xdr:from>
    <xdr:ext cx="2647950" cy="590550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666750</xdr:colOff>
      <xdr:row>2</xdr:row>
      <xdr:rowOff>38100</xdr:rowOff>
    </xdr:from>
    <xdr:ext cx="2314575" cy="676275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133350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2</xdr:row>
      <xdr:rowOff>85725</xdr:rowOff>
    </xdr:from>
    <xdr:ext cx="2647950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2</xdr:row>
      <xdr:rowOff>66675</xdr:rowOff>
    </xdr:from>
    <xdr:ext cx="2324100" cy="666750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209550</xdr:colOff>
      <xdr:row>6</xdr:row>
      <xdr:rowOff>190500</xdr:rowOff>
    </xdr:from>
    <xdr:ext cx="1047750" cy="1304925"/>
    <xdr:pic>
      <xdr:nvPicPr>
        <xdr:cNvPr id="2" name="image1.jpg" descr="C:\Users\SECRETARIA\Desktop\Sin título-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76200</xdr:rowOff>
    </xdr:from>
    <xdr:ext cx="2647950" cy="581025"/>
    <xdr:pic>
      <xdr:nvPicPr>
        <xdr:cNvPr id="3" name="image3.png" descr="Funciones | Minedu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295275</xdr:colOff>
      <xdr:row>2</xdr:row>
      <xdr:rowOff>19050</xdr:rowOff>
    </xdr:from>
    <xdr:ext cx="2333625" cy="666750"/>
    <xdr:pic>
      <xdr:nvPicPr>
        <xdr:cNvPr id="4" name="image2.png" descr="UGELAA - INICI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N1000"/>
  <sheetViews>
    <sheetView showGridLines="0" topLeftCell="A7" zoomScale="110" zoomScaleNormal="110" workbookViewId="0">
      <pane xSplit="5" topLeftCell="BE1" activePane="topRight" state="frozen"/>
      <selection pane="topRight" activeCell="BF22" sqref="BF22"/>
    </sheetView>
  </sheetViews>
  <sheetFormatPr baseColWidth="10" defaultColWidth="12.59765625" defaultRowHeight="15" customHeight="1"/>
  <cols>
    <col min="1" max="1" width="5.09765625" customWidth="1"/>
    <col min="2" max="2" width="18.09765625" customWidth="1"/>
    <col min="3" max="3" width="18" customWidth="1"/>
    <col min="4" max="4" width="20.3984375" customWidth="1"/>
    <col min="5" max="5" width="1.5" customWidth="1"/>
    <col min="6" max="6" width="16.3984375" customWidth="1"/>
    <col min="7" max="7" width="44.3984375" customWidth="1"/>
    <col min="8" max="8" width="16.3984375" customWidth="1"/>
    <col min="9" max="9" width="44.3984375" customWidth="1"/>
    <col min="10" max="10" width="1.5" customWidth="1"/>
    <col min="11" max="11" width="16.3984375" customWidth="1"/>
    <col min="12" max="12" width="44.3984375" customWidth="1"/>
    <col min="13" max="13" width="16.3984375" customWidth="1"/>
    <col min="14" max="14" width="44.3984375" customWidth="1"/>
    <col min="15" max="15" width="16.3984375" customWidth="1"/>
    <col min="16" max="16" width="44.3984375" customWidth="1"/>
    <col min="17" max="17" width="1.5" customWidth="1"/>
    <col min="18" max="18" width="16.3984375" customWidth="1"/>
    <col min="19" max="19" width="44.3984375" customWidth="1"/>
    <col min="20" max="20" width="16.3984375" customWidth="1"/>
    <col min="21" max="21" width="44.3984375" customWidth="1"/>
    <col min="22" max="22" width="16.3984375" customWidth="1"/>
    <col min="23" max="23" width="44.3984375" customWidth="1"/>
    <col min="24" max="24" width="1.5" customWidth="1"/>
    <col min="25" max="25" width="16.3984375" customWidth="1"/>
    <col min="26" max="26" width="44.3984375" customWidth="1"/>
    <col min="27" max="27" width="16.3984375" customWidth="1"/>
    <col min="28" max="28" width="44.3984375" customWidth="1"/>
    <col min="29" max="29" width="1.5" customWidth="1"/>
    <col min="30" max="30" width="16.3984375" customWidth="1"/>
    <col min="31" max="31" width="44.3984375" customWidth="1"/>
    <col min="32" max="32" width="16.3984375" customWidth="1"/>
    <col min="33" max="33" width="44.3984375" customWidth="1"/>
    <col min="34" max="34" width="16.3984375" customWidth="1"/>
    <col min="35" max="35" width="44.3984375" customWidth="1"/>
    <col min="36" max="36" width="1.5" customWidth="1"/>
    <col min="37" max="37" width="16.3984375" customWidth="1"/>
    <col min="38" max="38" width="44.3984375" customWidth="1"/>
    <col min="39" max="39" width="16.3984375" customWidth="1"/>
    <col min="40" max="40" width="44.3984375" customWidth="1"/>
    <col min="41" max="41" width="16.3984375" customWidth="1"/>
    <col min="42" max="42" width="44.3984375" customWidth="1"/>
    <col min="43" max="43" width="1.5" customWidth="1"/>
    <col min="44" max="44" width="16.3984375" customWidth="1"/>
    <col min="45" max="45" width="44.3984375" customWidth="1"/>
    <col min="46" max="46" width="16.3984375" customWidth="1"/>
    <col min="47" max="47" width="44.3984375" customWidth="1"/>
    <col min="48" max="48" width="16.3984375" customWidth="1"/>
    <col min="49" max="49" width="44.3984375" customWidth="1"/>
    <col min="50" max="50" width="16.3984375" customWidth="1"/>
    <col min="51" max="51" width="44.3984375" customWidth="1"/>
    <col min="52" max="52" width="1.5" customWidth="1"/>
    <col min="53" max="53" width="16.3984375" customWidth="1"/>
    <col min="54" max="54" width="44.3984375" customWidth="1"/>
    <col min="55" max="55" width="16.3984375" customWidth="1"/>
    <col min="56" max="56" width="44.3984375" customWidth="1"/>
    <col min="57" max="57" width="16.3984375" customWidth="1"/>
    <col min="58" max="58" width="44.3984375" customWidth="1"/>
    <col min="59" max="59" width="1.5" customWidth="1"/>
    <col min="60" max="60" width="16.3984375" customWidth="1"/>
    <col min="61" max="61" width="44.3984375" customWidth="1"/>
    <col min="62" max="62" width="16.3984375" customWidth="1"/>
    <col min="63" max="63" width="44.3984375" customWidth="1"/>
    <col min="64" max="64" width="0.3984375" customWidth="1"/>
    <col min="65" max="65" width="13.59765625" customWidth="1"/>
    <col min="66" max="66" width="37.19921875" customWidth="1"/>
    <col min="67" max="67" width="1.5" customWidth="1"/>
    <col min="68" max="68" width="10.5" customWidth="1"/>
    <col min="69" max="69" width="33.19921875" customWidth="1"/>
    <col min="70" max="70" width="10.8984375" customWidth="1"/>
    <col min="71" max="71" width="44.3984375" customWidth="1"/>
    <col min="72" max="72" width="1.5" customWidth="1"/>
    <col min="73" max="73" width="16.69921875" customWidth="1"/>
    <col min="74" max="74" width="18.69921875" customWidth="1"/>
    <col min="75" max="75" width="1.5" customWidth="1"/>
    <col min="76" max="76" width="16.69921875" customWidth="1"/>
    <col min="77" max="77" width="18.69921875" customWidth="1"/>
    <col min="78" max="78" width="1.5" customWidth="1"/>
    <col min="79" max="79" width="24.59765625" customWidth="1"/>
    <col min="80" max="80" width="29.69921875" customWidth="1"/>
    <col min="81" max="92" width="9.3984375" customWidth="1"/>
  </cols>
  <sheetData>
    <row r="1" spans="1:92" ht="39" customHeight="1">
      <c r="A1" s="1" t="s">
        <v>0</v>
      </c>
      <c r="B1" s="2"/>
      <c r="C1" s="2"/>
      <c r="D1" s="2"/>
      <c r="E1" s="2"/>
      <c r="F1" s="2"/>
      <c r="G1" s="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92" ht="19.5" customHeight="1">
      <c r="A2" s="203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5"/>
    </row>
    <row r="3" spans="1:92" ht="1.5" customHeight="1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8"/>
    </row>
    <row r="4" spans="1:92" ht="19.5" customHeigh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</row>
    <row r="5" spans="1:92" ht="1.5" customHeight="1">
      <c r="A5" s="210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210"/>
      <c r="BN5" s="210"/>
      <c r="BO5" s="210"/>
      <c r="BP5" s="210"/>
      <c r="BQ5" s="210"/>
      <c r="BR5" s="210"/>
      <c r="BS5" s="210"/>
      <c r="BT5" s="210"/>
      <c r="BU5" s="210"/>
      <c r="BV5" s="210"/>
      <c r="BW5" s="210"/>
      <c r="BX5" s="210"/>
      <c r="BY5" s="210"/>
      <c r="BZ5" s="210"/>
      <c r="CA5" s="4"/>
      <c r="CB5" s="5"/>
      <c r="CC5" s="5"/>
      <c r="CD5" s="5"/>
      <c r="CE5" s="6"/>
      <c r="CF5" s="5"/>
      <c r="CG5" s="5"/>
      <c r="CH5" s="5"/>
      <c r="CI5" s="5"/>
      <c r="CJ5" s="6"/>
      <c r="CK5" s="5"/>
      <c r="CL5" s="5"/>
      <c r="CM5" s="5"/>
      <c r="CN5" s="5"/>
    </row>
    <row r="6" spans="1:92" ht="19.5" customHeight="1">
      <c r="A6" s="193" t="s">
        <v>1</v>
      </c>
      <c r="B6" s="190"/>
      <c r="C6" s="190"/>
      <c r="D6" s="191"/>
      <c r="E6" s="211"/>
      <c r="F6" s="192" t="s">
        <v>2</v>
      </c>
      <c r="G6" s="190"/>
      <c r="H6" s="190"/>
      <c r="I6" s="191"/>
      <c r="J6" s="7"/>
      <c r="K6" s="192" t="s">
        <v>3</v>
      </c>
      <c r="L6" s="190"/>
      <c r="M6" s="190"/>
      <c r="N6" s="190"/>
      <c r="O6" s="190"/>
      <c r="P6" s="191"/>
      <c r="Q6" s="8"/>
      <c r="R6" s="222" t="s">
        <v>621</v>
      </c>
      <c r="S6" s="222"/>
      <c r="T6" s="222"/>
      <c r="U6" s="222"/>
      <c r="V6" s="222"/>
      <c r="W6" s="222"/>
      <c r="X6" s="212"/>
      <c r="Y6" s="192" t="s">
        <v>4</v>
      </c>
      <c r="Z6" s="190"/>
      <c r="AA6" s="190"/>
      <c r="AB6" s="191"/>
      <c r="AC6" s="199"/>
      <c r="AD6" s="192" t="s">
        <v>5</v>
      </c>
      <c r="AE6" s="190"/>
      <c r="AF6" s="190"/>
      <c r="AG6" s="190"/>
      <c r="AH6" s="190"/>
      <c r="AI6" s="191"/>
      <c r="AJ6" s="199"/>
      <c r="AK6" s="192" t="s">
        <v>6</v>
      </c>
      <c r="AL6" s="190"/>
      <c r="AM6" s="190"/>
      <c r="AN6" s="190"/>
      <c r="AO6" s="190"/>
      <c r="AP6" s="191"/>
      <c r="AQ6" s="199"/>
      <c r="AR6" s="192" t="s">
        <v>7</v>
      </c>
      <c r="AS6" s="190"/>
      <c r="AT6" s="190"/>
      <c r="AU6" s="190"/>
      <c r="AV6" s="190"/>
      <c r="AW6" s="190"/>
      <c r="AX6" s="190"/>
      <c r="AY6" s="191"/>
      <c r="AZ6" s="199"/>
      <c r="BA6" s="192" t="s">
        <v>8</v>
      </c>
      <c r="BB6" s="190"/>
      <c r="BC6" s="190"/>
      <c r="BD6" s="190"/>
      <c r="BE6" s="190"/>
      <c r="BF6" s="191"/>
      <c r="BG6" s="214"/>
      <c r="BH6" s="192" t="s">
        <v>9</v>
      </c>
      <c r="BI6" s="190"/>
      <c r="BJ6" s="190"/>
      <c r="BK6" s="191"/>
      <c r="BL6" s="7"/>
      <c r="BM6" s="192" t="s">
        <v>10</v>
      </c>
      <c r="BN6" s="191"/>
      <c r="BO6" s="7"/>
      <c r="BP6" s="192" t="s">
        <v>11</v>
      </c>
      <c r="BQ6" s="190"/>
      <c r="BR6" s="190"/>
      <c r="BS6" s="191"/>
      <c r="BT6" s="199"/>
      <c r="BU6" s="192" t="s">
        <v>12</v>
      </c>
      <c r="BV6" s="191"/>
      <c r="BW6" s="199"/>
      <c r="BX6" s="192" t="s">
        <v>13</v>
      </c>
      <c r="BY6" s="191"/>
      <c r="BZ6" s="196"/>
      <c r="CA6" s="194" t="s">
        <v>14</v>
      </c>
    </row>
    <row r="7" spans="1:92" ht="19.5" customHeight="1">
      <c r="A7" s="189" t="s">
        <v>15</v>
      </c>
      <c r="B7" s="190"/>
      <c r="C7" s="191"/>
      <c r="D7" s="10" t="s">
        <v>16</v>
      </c>
      <c r="E7" s="197"/>
      <c r="F7" s="11" t="s">
        <v>17</v>
      </c>
      <c r="G7" s="11" t="s">
        <v>18</v>
      </c>
      <c r="H7" s="11" t="s">
        <v>17</v>
      </c>
      <c r="I7" s="11" t="s">
        <v>18</v>
      </c>
      <c r="J7" s="7"/>
      <c r="K7" s="11" t="s">
        <v>17</v>
      </c>
      <c r="L7" s="11" t="s">
        <v>18</v>
      </c>
      <c r="M7" s="11" t="s">
        <v>17</v>
      </c>
      <c r="N7" s="11" t="s">
        <v>18</v>
      </c>
      <c r="O7" s="11" t="s">
        <v>17</v>
      </c>
      <c r="P7" s="11" t="s">
        <v>18</v>
      </c>
      <c r="Q7" s="7"/>
      <c r="R7" s="173" t="s">
        <v>17</v>
      </c>
      <c r="S7" s="173" t="s">
        <v>18</v>
      </c>
      <c r="T7" s="173" t="s">
        <v>17</v>
      </c>
      <c r="U7" s="173" t="s">
        <v>18</v>
      </c>
      <c r="V7" s="173" t="s">
        <v>17</v>
      </c>
      <c r="W7" s="173" t="s">
        <v>18</v>
      </c>
      <c r="X7" s="186"/>
      <c r="Y7" s="11" t="s">
        <v>17</v>
      </c>
      <c r="Z7" s="11" t="s">
        <v>18</v>
      </c>
      <c r="AA7" s="11" t="s">
        <v>17</v>
      </c>
      <c r="AB7" s="11" t="s">
        <v>18</v>
      </c>
      <c r="AC7" s="200"/>
      <c r="AD7" s="11" t="s">
        <v>17</v>
      </c>
      <c r="AE7" s="11" t="s">
        <v>18</v>
      </c>
      <c r="AF7" s="11" t="s">
        <v>17</v>
      </c>
      <c r="AG7" s="11" t="s">
        <v>18</v>
      </c>
      <c r="AH7" s="11" t="s">
        <v>17</v>
      </c>
      <c r="AI7" s="11" t="s">
        <v>18</v>
      </c>
      <c r="AJ7" s="200"/>
      <c r="AK7" s="11" t="s">
        <v>17</v>
      </c>
      <c r="AL7" s="11" t="s">
        <v>18</v>
      </c>
      <c r="AM7" s="11" t="s">
        <v>17</v>
      </c>
      <c r="AN7" s="11" t="s">
        <v>18</v>
      </c>
      <c r="AO7" s="11" t="s">
        <v>17</v>
      </c>
      <c r="AP7" s="11" t="s">
        <v>18</v>
      </c>
      <c r="AQ7" s="200"/>
      <c r="AR7" s="11" t="s">
        <v>17</v>
      </c>
      <c r="AS7" s="11" t="s">
        <v>18</v>
      </c>
      <c r="AT7" s="11" t="s">
        <v>17</v>
      </c>
      <c r="AU7" s="11" t="s">
        <v>18</v>
      </c>
      <c r="AV7" s="11" t="s">
        <v>17</v>
      </c>
      <c r="AW7" s="11" t="s">
        <v>18</v>
      </c>
      <c r="AX7" s="11" t="s">
        <v>17</v>
      </c>
      <c r="AY7" s="11" t="s">
        <v>18</v>
      </c>
      <c r="AZ7" s="200"/>
      <c r="BA7" s="11" t="s">
        <v>17</v>
      </c>
      <c r="BB7" s="11" t="s">
        <v>18</v>
      </c>
      <c r="BC7" s="11" t="s">
        <v>17</v>
      </c>
      <c r="BD7" s="11" t="s">
        <v>18</v>
      </c>
      <c r="BE7" s="11" t="s">
        <v>17</v>
      </c>
      <c r="BF7" s="11" t="s">
        <v>18</v>
      </c>
      <c r="BG7" s="186"/>
      <c r="BH7" s="11" t="s">
        <v>17</v>
      </c>
      <c r="BI7" s="11" t="s">
        <v>18</v>
      </c>
      <c r="BJ7" s="11" t="s">
        <v>17</v>
      </c>
      <c r="BK7" s="11" t="s">
        <v>18</v>
      </c>
      <c r="BL7" s="7"/>
      <c r="BM7" s="11" t="s">
        <v>17</v>
      </c>
      <c r="BN7" s="12" t="s">
        <v>18</v>
      </c>
      <c r="BO7" s="214"/>
      <c r="BP7" s="11" t="s">
        <v>17</v>
      </c>
      <c r="BQ7" s="11" t="s">
        <v>18</v>
      </c>
      <c r="BR7" s="11" t="s">
        <v>17</v>
      </c>
      <c r="BS7" s="11" t="s">
        <v>18</v>
      </c>
      <c r="BT7" s="200"/>
      <c r="BU7" s="195"/>
      <c r="BV7" s="191"/>
      <c r="BW7" s="200"/>
      <c r="BX7" s="195"/>
      <c r="BY7" s="191"/>
      <c r="BZ7" s="197"/>
      <c r="CA7" s="186"/>
    </row>
    <row r="8" spans="1:92" ht="19.5" customHeight="1">
      <c r="A8" s="189" t="s">
        <v>19</v>
      </c>
      <c r="B8" s="190"/>
      <c r="C8" s="191"/>
      <c r="D8" s="13" t="s">
        <v>20</v>
      </c>
      <c r="E8" s="197"/>
      <c r="F8" s="185" t="s">
        <v>21</v>
      </c>
      <c r="G8" s="188" t="s">
        <v>22</v>
      </c>
      <c r="H8" s="185" t="s">
        <v>21</v>
      </c>
      <c r="I8" s="188" t="s">
        <v>23</v>
      </c>
      <c r="J8" s="7"/>
      <c r="K8" s="185" t="s">
        <v>21</v>
      </c>
      <c r="L8" s="188" t="s">
        <v>24</v>
      </c>
      <c r="M8" s="185" t="s">
        <v>21</v>
      </c>
      <c r="N8" s="188" t="s">
        <v>25</v>
      </c>
      <c r="O8" s="185" t="s">
        <v>21</v>
      </c>
      <c r="P8" s="188" t="s">
        <v>26</v>
      </c>
      <c r="Q8" s="7"/>
      <c r="R8" s="185" t="s">
        <v>21</v>
      </c>
      <c r="S8" s="188" t="s">
        <v>27</v>
      </c>
      <c r="T8" s="185" t="s">
        <v>21</v>
      </c>
      <c r="U8" s="188" t="s">
        <v>28</v>
      </c>
      <c r="V8" s="185" t="s">
        <v>21</v>
      </c>
      <c r="W8" s="188" t="s">
        <v>29</v>
      </c>
      <c r="X8" s="186"/>
      <c r="Y8" s="185" t="s">
        <v>21</v>
      </c>
      <c r="Z8" s="223" t="s">
        <v>30</v>
      </c>
      <c r="AA8" s="185" t="s">
        <v>21</v>
      </c>
      <c r="AB8" s="225" t="s">
        <v>31</v>
      </c>
      <c r="AC8" s="200"/>
      <c r="AD8" s="185" t="s">
        <v>21</v>
      </c>
      <c r="AE8" s="188" t="s">
        <v>32</v>
      </c>
      <c r="AF8" s="185" t="s">
        <v>21</v>
      </c>
      <c r="AG8" s="188" t="s">
        <v>33</v>
      </c>
      <c r="AH8" s="185" t="s">
        <v>21</v>
      </c>
      <c r="AI8" s="188" t="s">
        <v>34</v>
      </c>
      <c r="AJ8" s="200"/>
      <c r="AK8" s="185" t="s">
        <v>21</v>
      </c>
      <c r="AL8" s="188" t="s">
        <v>35</v>
      </c>
      <c r="AM8" s="185" t="s">
        <v>21</v>
      </c>
      <c r="AN8" s="188" t="s">
        <v>36</v>
      </c>
      <c r="AO8" s="185" t="s">
        <v>21</v>
      </c>
      <c r="AP8" s="188" t="s">
        <v>37</v>
      </c>
      <c r="AQ8" s="200"/>
      <c r="AR8" s="185" t="s">
        <v>21</v>
      </c>
      <c r="AS8" s="188" t="s">
        <v>38</v>
      </c>
      <c r="AT8" s="185" t="s">
        <v>21</v>
      </c>
      <c r="AU8" s="188" t="s">
        <v>39</v>
      </c>
      <c r="AV8" s="185" t="s">
        <v>21</v>
      </c>
      <c r="AW8" s="188" t="s">
        <v>40</v>
      </c>
      <c r="AX8" s="185" t="s">
        <v>21</v>
      </c>
      <c r="AY8" s="188" t="s">
        <v>41</v>
      </c>
      <c r="AZ8" s="200"/>
      <c r="BA8" s="185" t="s">
        <v>21</v>
      </c>
      <c r="BB8" s="188" t="s">
        <v>42</v>
      </c>
      <c r="BC8" s="185" t="s">
        <v>21</v>
      </c>
      <c r="BD8" s="188" t="s">
        <v>43</v>
      </c>
      <c r="BE8" s="185" t="s">
        <v>21</v>
      </c>
      <c r="BF8" s="188" t="s">
        <v>44</v>
      </c>
      <c r="BG8" s="186"/>
      <c r="BH8" s="185" t="s">
        <v>21</v>
      </c>
      <c r="BI8" s="188" t="s">
        <v>45</v>
      </c>
      <c r="BJ8" s="185" t="s">
        <v>21</v>
      </c>
      <c r="BK8" s="188" t="s">
        <v>46</v>
      </c>
      <c r="BL8" s="7"/>
      <c r="BM8" s="185" t="s">
        <v>21</v>
      </c>
      <c r="BN8" s="185" t="s">
        <v>47</v>
      </c>
      <c r="BO8" s="186"/>
      <c r="BP8" s="185" t="s">
        <v>21</v>
      </c>
      <c r="BQ8" s="188" t="s">
        <v>48</v>
      </c>
      <c r="BR8" s="185" t="s">
        <v>21</v>
      </c>
      <c r="BS8" s="188" t="s">
        <v>49</v>
      </c>
      <c r="BT8" s="200"/>
      <c r="BU8" s="188" t="s">
        <v>50</v>
      </c>
      <c r="BV8" s="188" t="s">
        <v>51</v>
      </c>
      <c r="BW8" s="200"/>
      <c r="BX8" s="188" t="s">
        <v>50</v>
      </c>
      <c r="BY8" s="188" t="s">
        <v>51</v>
      </c>
      <c r="BZ8" s="197"/>
      <c r="CA8" s="186"/>
    </row>
    <row r="9" spans="1:92" ht="19.5" customHeight="1">
      <c r="A9" s="189" t="s">
        <v>52</v>
      </c>
      <c r="B9" s="190"/>
      <c r="C9" s="191"/>
      <c r="D9" s="13">
        <v>2023</v>
      </c>
      <c r="E9" s="197"/>
      <c r="F9" s="186"/>
      <c r="G9" s="186"/>
      <c r="H9" s="186"/>
      <c r="I9" s="186"/>
      <c r="J9" s="7"/>
      <c r="K9" s="186"/>
      <c r="L9" s="186"/>
      <c r="M9" s="186"/>
      <c r="N9" s="186"/>
      <c r="O9" s="186"/>
      <c r="P9" s="186"/>
      <c r="Q9" s="7"/>
      <c r="R9" s="186"/>
      <c r="S9" s="186"/>
      <c r="T9" s="186"/>
      <c r="U9" s="186"/>
      <c r="V9" s="186"/>
      <c r="W9" s="186"/>
      <c r="X9" s="186"/>
      <c r="Y9" s="186"/>
      <c r="Z9" s="224"/>
      <c r="AA9" s="186"/>
      <c r="AB9" s="184"/>
      <c r="AC9" s="200"/>
      <c r="AD9" s="186"/>
      <c r="AE9" s="186"/>
      <c r="AF9" s="186"/>
      <c r="AG9" s="186"/>
      <c r="AH9" s="186"/>
      <c r="AI9" s="186"/>
      <c r="AJ9" s="200"/>
      <c r="AK9" s="186"/>
      <c r="AL9" s="186"/>
      <c r="AM9" s="186"/>
      <c r="AN9" s="186"/>
      <c r="AO9" s="186"/>
      <c r="AP9" s="186"/>
      <c r="AQ9" s="200"/>
      <c r="AR9" s="186"/>
      <c r="AS9" s="186"/>
      <c r="AT9" s="186"/>
      <c r="AU9" s="186"/>
      <c r="AV9" s="186"/>
      <c r="AW9" s="186"/>
      <c r="AX9" s="186"/>
      <c r="AY9" s="186"/>
      <c r="AZ9" s="200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7"/>
      <c r="BM9" s="186"/>
      <c r="BN9" s="186"/>
      <c r="BO9" s="186"/>
      <c r="BP9" s="186"/>
      <c r="BQ9" s="186"/>
      <c r="BR9" s="186"/>
      <c r="BS9" s="186"/>
      <c r="BT9" s="200"/>
      <c r="BU9" s="186"/>
      <c r="BV9" s="186"/>
      <c r="BW9" s="200"/>
      <c r="BX9" s="186"/>
      <c r="BY9" s="186"/>
      <c r="BZ9" s="197"/>
      <c r="CA9" s="186"/>
    </row>
    <row r="10" spans="1:92" ht="19.5" customHeight="1">
      <c r="A10" s="215" t="s">
        <v>53</v>
      </c>
      <c r="B10" s="191"/>
      <c r="C10" s="15" t="s">
        <v>54</v>
      </c>
      <c r="D10" s="16"/>
      <c r="E10" s="197"/>
      <c r="F10" s="186"/>
      <c r="G10" s="186"/>
      <c r="H10" s="186"/>
      <c r="I10" s="186"/>
      <c r="J10" s="7"/>
      <c r="K10" s="186"/>
      <c r="L10" s="186"/>
      <c r="M10" s="186"/>
      <c r="N10" s="186"/>
      <c r="O10" s="186"/>
      <c r="P10" s="186"/>
      <c r="Q10" s="7"/>
      <c r="R10" s="186"/>
      <c r="S10" s="186"/>
      <c r="T10" s="186"/>
      <c r="U10" s="186"/>
      <c r="V10" s="186"/>
      <c r="W10" s="186"/>
      <c r="X10" s="186"/>
      <c r="Y10" s="186"/>
      <c r="Z10" s="224"/>
      <c r="AA10" s="186"/>
      <c r="AB10" s="184"/>
      <c r="AC10" s="200"/>
      <c r="AD10" s="186"/>
      <c r="AE10" s="186"/>
      <c r="AF10" s="186"/>
      <c r="AG10" s="186"/>
      <c r="AH10" s="186"/>
      <c r="AI10" s="186"/>
      <c r="AJ10" s="200"/>
      <c r="AK10" s="186"/>
      <c r="AL10" s="186"/>
      <c r="AM10" s="186"/>
      <c r="AN10" s="186"/>
      <c r="AO10" s="186"/>
      <c r="AP10" s="186"/>
      <c r="AQ10" s="200"/>
      <c r="AR10" s="186"/>
      <c r="AS10" s="186"/>
      <c r="AT10" s="186"/>
      <c r="AU10" s="186"/>
      <c r="AV10" s="186"/>
      <c r="AW10" s="186"/>
      <c r="AX10" s="186"/>
      <c r="AY10" s="186"/>
      <c r="AZ10" s="20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7"/>
      <c r="BM10" s="186"/>
      <c r="BN10" s="186"/>
      <c r="BO10" s="186"/>
      <c r="BP10" s="186"/>
      <c r="BQ10" s="186"/>
      <c r="BR10" s="186"/>
      <c r="BS10" s="186"/>
      <c r="BT10" s="200"/>
      <c r="BU10" s="186"/>
      <c r="BV10" s="186"/>
      <c r="BW10" s="200"/>
      <c r="BX10" s="186"/>
      <c r="BY10" s="186"/>
      <c r="BZ10" s="197"/>
      <c r="CA10" s="186"/>
    </row>
    <row r="11" spans="1:92" ht="19.5" customHeight="1">
      <c r="A11" s="216" t="s">
        <v>55</v>
      </c>
      <c r="B11" s="217" t="s">
        <v>56</v>
      </c>
      <c r="C11" s="204"/>
      <c r="D11" s="218"/>
      <c r="E11" s="197"/>
      <c r="F11" s="186"/>
      <c r="G11" s="187"/>
      <c r="H11" s="186"/>
      <c r="I11" s="187"/>
      <c r="J11" s="17"/>
      <c r="K11" s="186"/>
      <c r="L11" s="187"/>
      <c r="M11" s="186"/>
      <c r="N11" s="187"/>
      <c r="O11" s="186"/>
      <c r="P11" s="187"/>
      <c r="Q11" s="17"/>
      <c r="R11" s="186"/>
      <c r="S11" s="187"/>
      <c r="T11" s="186"/>
      <c r="U11" s="187"/>
      <c r="V11" s="186"/>
      <c r="W11" s="187"/>
      <c r="X11" s="186"/>
      <c r="Y11" s="186"/>
      <c r="Z11" s="224"/>
      <c r="AA11" s="186"/>
      <c r="AB11" s="184"/>
      <c r="AC11" s="200"/>
      <c r="AD11" s="186"/>
      <c r="AE11" s="187"/>
      <c r="AF11" s="186"/>
      <c r="AG11" s="187"/>
      <c r="AH11" s="186"/>
      <c r="AI11" s="187"/>
      <c r="AJ11" s="200"/>
      <c r="AK11" s="186"/>
      <c r="AL11" s="187"/>
      <c r="AM11" s="186"/>
      <c r="AN11" s="187"/>
      <c r="AO11" s="186"/>
      <c r="AP11" s="187"/>
      <c r="AQ11" s="200"/>
      <c r="AR11" s="186"/>
      <c r="AS11" s="187"/>
      <c r="AT11" s="186"/>
      <c r="AU11" s="187"/>
      <c r="AV11" s="186"/>
      <c r="AW11" s="187"/>
      <c r="AX11" s="186"/>
      <c r="AY11" s="187"/>
      <c r="AZ11" s="200"/>
      <c r="BA11" s="186"/>
      <c r="BB11" s="187"/>
      <c r="BC11" s="186"/>
      <c r="BD11" s="187"/>
      <c r="BE11" s="186"/>
      <c r="BF11" s="187"/>
      <c r="BG11" s="186"/>
      <c r="BH11" s="186"/>
      <c r="BI11" s="187"/>
      <c r="BJ11" s="186"/>
      <c r="BK11" s="187"/>
      <c r="BL11" s="202"/>
      <c r="BM11" s="186"/>
      <c r="BN11" s="187"/>
      <c r="BO11" s="186"/>
      <c r="BP11" s="186"/>
      <c r="BQ11" s="187"/>
      <c r="BR11" s="186"/>
      <c r="BS11" s="187"/>
      <c r="BT11" s="200"/>
      <c r="BU11" s="187"/>
      <c r="BV11" s="187"/>
      <c r="BW11" s="200"/>
      <c r="BX11" s="187"/>
      <c r="BY11" s="187"/>
      <c r="BZ11" s="197"/>
      <c r="CA11" s="186"/>
    </row>
    <row r="12" spans="1:92" ht="32.25" customHeight="1">
      <c r="A12" s="187"/>
      <c r="B12" s="219"/>
      <c r="C12" s="220"/>
      <c r="D12" s="221"/>
      <c r="E12" s="197"/>
      <c r="F12" s="187"/>
      <c r="G12" s="18" t="s">
        <v>57</v>
      </c>
      <c r="H12" s="187"/>
      <c r="I12" s="19" t="s">
        <v>57</v>
      </c>
      <c r="J12" s="17"/>
      <c r="K12" s="187"/>
      <c r="L12" s="18" t="s">
        <v>57</v>
      </c>
      <c r="M12" s="187"/>
      <c r="N12" s="18" t="s">
        <v>57</v>
      </c>
      <c r="O12" s="187"/>
      <c r="P12" s="18" t="s">
        <v>57</v>
      </c>
      <c r="Q12" s="17"/>
      <c r="R12" s="187"/>
      <c r="S12" s="18" t="s">
        <v>57</v>
      </c>
      <c r="T12" s="187"/>
      <c r="U12" s="18" t="s">
        <v>57</v>
      </c>
      <c r="V12" s="187"/>
      <c r="W12" s="18" t="s">
        <v>57</v>
      </c>
      <c r="X12" s="186"/>
      <c r="Y12" s="187"/>
      <c r="Z12" s="19" t="s">
        <v>57</v>
      </c>
      <c r="AA12" s="187"/>
      <c r="AB12" s="19" t="s">
        <v>58</v>
      </c>
      <c r="AC12" s="200"/>
      <c r="AD12" s="187"/>
      <c r="AE12" s="20" t="s">
        <v>58</v>
      </c>
      <c r="AF12" s="187"/>
      <c r="AG12" s="21" t="s">
        <v>58</v>
      </c>
      <c r="AH12" s="187"/>
      <c r="AI12" s="22" t="s">
        <v>58</v>
      </c>
      <c r="AJ12" s="200"/>
      <c r="AK12" s="187"/>
      <c r="AL12" s="19" t="s">
        <v>58</v>
      </c>
      <c r="AM12" s="187"/>
      <c r="AN12" s="19" t="s">
        <v>58</v>
      </c>
      <c r="AO12" s="187"/>
      <c r="AP12" s="19" t="s">
        <v>58</v>
      </c>
      <c r="AQ12" s="200"/>
      <c r="AR12" s="187"/>
      <c r="AS12" s="18" t="s">
        <v>57</v>
      </c>
      <c r="AT12" s="187"/>
      <c r="AU12" s="18" t="s">
        <v>57</v>
      </c>
      <c r="AV12" s="187"/>
      <c r="AW12" s="18" t="s">
        <v>57</v>
      </c>
      <c r="AX12" s="187"/>
      <c r="AY12" s="18" t="s">
        <v>57</v>
      </c>
      <c r="AZ12" s="200"/>
      <c r="BA12" s="187"/>
      <c r="BB12" s="18" t="s">
        <v>57</v>
      </c>
      <c r="BC12" s="187"/>
      <c r="BD12" s="18" t="s">
        <v>57</v>
      </c>
      <c r="BE12" s="187"/>
      <c r="BF12" s="18" t="s">
        <v>57</v>
      </c>
      <c r="BG12" s="186"/>
      <c r="BH12" s="187"/>
      <c r="BI12" s="18" t="s">
        <v>57</v>
      </c>
      <c r="BJ12" s="187"/>
      <c r="BK12" s="18" t="s">
        <v>57</v>
      </c>
      <c r="BL12" s="200"/>
      <c r="BM12" s="187"/>
      <c r="BN12" s="23" t="s">
        <v>57</v>
      </c>
      <c r="BO12" s="186"/>
      <c r="BP12" s="187"/>
      <c r="BQ12" s="18" t="s">
        <v>57</v>
      </c>
      <c r="BR12" s="187"/>
      <c r="BS12" s="18" t="s">
        <v>57</v>
      </c>
      <c r="BT12" s="200"/>
      <c r="BU12" s="18" t="s">
        <v>59</v>
      </c>
      <c r="BV12" s="18" t="s">
        <v>59</v>
      </c>
      <c r="BW12" s="200"/>
      <c r="BX12" s="18" t="s">
        <v>60</v>
      </c>
      <c r="BY12" s="18" t="s">
        <v>60</v>
      </c>
      <c r="BZ12" s="197"/>
      <c r="CA12" s="187"/>
    </row>
    <row r="13" spans="1:92" ht="45.75" customHeight="1">
      <c r="A13" s="24">
        <v>1</v>
      </c>
      <c r="B13" s="25" t="s">
        <v>61</v>
      </c>
      <c r="C13" s="26" t="s">
        <v>62</v>
      </c>
      <c r="D13" s="26" t="s">
        <v>63</v>
      </c>
      <c r="E13" s="197"/>
      <c r="F13" s="27" t="s">
        <v>64</v>
      </c>
      <c r="G13" s="28" t="s">
        <v>65</v>
      </c>
      <c r="H13" s="27" t="s">
        <v>20</v>
      </c>
      <c r="I13" s="28" t="s">
        <v>66</v>
      </c>
      <c r="J13" s="29"/>
      <c r="K13" s="27" t="s">
        <v>64</v>
      </c>
      <c r="L13" s="30" t="s">
        <v>67</v>
      </c>
      <c r="M13" s="27" t="s">
        <v>64</v>
      </c>
      <c r="N13" s="30" t="s">
        <v>67</v>
      </c>
      <c r="O13" s="27" t="s">
        <v>20</v>
      </c>
      <c r="P13" s="31" t="s">
        <v>68</v>
      </c>
      <c r="Q13" s="17"/>
      <c r="R13" s="27" t="s">
        <v>20</v>
      </c>
      <c r="S13" s="32" t="s">
        <v>69</v>
      </c>
      <c r="T13" s="33" t="s">
        <v>20</v>
      </c>
      <c r="U13" s="32" t="s">
        <v>70</v>
      </c>
      <c r="V13" s="33" t="s">
        <v>20</v>
      </c>
      <c r="W13" s="32" t="s">
        <v>71</v>
      </c>
      <c r="X13" s="186"/>
      <c r="Y13" s="33" t="s">
        <v>72</v>
      </c>
      <c r="Z13" s="28" t="s">
        <v>73</v>
      </c>
      <c r="AA13" s="27" t="s">
        <v>72</v>
      </c>
      <c r="AB13" s="28" t="s">
        <v>74</v>
      </c>
      <c r="AC13" s="200"/>
      <c r="AD13" s="27" t="s">
        <v>64</v>
      </c>
      <c r="AE13" s="34" t="s">
        <v>75</v>
      </c>
      <c r="AF13" s="27" t="s">
        <v>64</v>
      </c>
      <c r="AG13" s="28" t="s">
        <v>76</v>
      </c>
      <c r="AH13" s="27" t="s">
        <v>20</v>
      </c>
      <c r="AI13" s="28" t="s">
        <v>77</v>
      </c>
      <c r="AJ13" s="200"/>
      <c r="AK13" s="27" t="s">
        <v>20</v>
      </c>
      <c r="AL13" s="35" t="s">
        <v>78</v>
      </c>
      <c r="AM13" s="27" t="s">
        <v>20</v>
      </c>
      <c r="AN13" s="28" t="s">
        <v>79</v>
      </c>
      <c r="AO13" s="27" t="s">
        <v>20</v>
      </c>
      <c r="AP13" s="28" t="s">
        <v>80</v>
      </c>
      <c r="AQ13" s="200"/>
      <c r="AR13" s="27" t="s">
        <v>64</v>
      </c>
      <c r="AS13" s="28" t="s">
        <v>81</v>
      </c>
      <c r="AT13" s="27" t="s">
        <v>64</v>
      </c>
      <c r="AU13" s="28" t="s">
        <v>82</v>
      </c>
      <c r="AV13" s="27" t="s">
        <v>64</v>
      </c>
      <c r="AW13" s="28" t="s">
        <v>83</v>
      </c>
      <c r="AX13" s="27" t="s">
        <v>64</v>
      </c>
      <c r="AY13" s="28" t="s">
        <v>84</v>
      </c>
      <c r="AZ13" s="200"/>
      <c r="BA13" s="27" t="s">
        <v>64</v>
      </c>
      <c r="BB13" s="28" t="s">
        <v>85</v>
      </c>
      <c r="BC13" s="27" t="s">
        <v>64</v>
      </c>
      <c r="BD13" s="28" t="s">
        <v>86</v>
      </c>
      <c r="BE13" s="27" t="s">
        <v>20</v>
      </c>
      <c r="BF13" s="28" t="s">
        <v>87</v>
      </c>
      <c r="BG13" s="186"/>
      <c r="BH13" s="36" t="s">
        <v>64</v>
      </c>
      <c r="BI13" s="37" t="s">
        <v>88</v>
      </c>
      <c r="BJ13" s="36" t="s">
        <v>64</v>
      </c>
      <c r="BK13" s="38" t="s">
        <v>89</v>
      </c>
      <c r="BL13" s="200"/>
      <c r="BM13" s="27" t="s">
        <v>20</v>
      </c>
      <c r="BN13" s="39" t="s">
        <v>90</v>
      </c>
      <c r="BO13" s="186"/>
      <c r="BP13" s="27" t="s">
        <v>20</v>
      </c>
      <c r="BQ13" s="28" t="s">
        <v>91</v>
      </c>
      <c r="BR13" s="27" t="s">
        <v>20</v>
      </c>
      <c r="BS13" s="28" t="s">
        <v>92</v>
      </c>
      <c r="BT13" s="200"/>
      <c r="BU13" s="40"/>
      <c r="BV13" s="40"/>
      <c r="BW13" s="200"/>
      <c r="BX13" s="40"/>
      <c r="BY13" s="28">
        <v>3</v>
      </c>
      <c r="BZ13" s="197"/>
      <c r="CA13" s="41" t="s">
        <v>20</v>
      </c>
    </row>
    <row r="14" spans="1:92" ht="50.25" customHeight="1">
      <c r="A14" s="24">
        <v>2</v>
      </c>
      <c r="B14" s="25" t="s">
        <v>93</v>
      </c>
      <c r="C14" s="25" t="s">
        <v>94</v>
      </c>
      <c r="D14" s="25" t="s">
        <v>95</v>
      </c>
      <c r="E14" s="197"/>
      <c r="F14" s="27" t="s">
        <v>64</v>
      </c>
      <c r="G14" s="28" t="s">
        <v>96</v>
      </c>
      <c r="H14" s="27" t="s">
        <v>64</v>
      </c>
      <c r="I14" s="42" t="s">
        <v>96</v>
      </c>
      <c r="J14" s="29"/>
      <c r="K14" s="27" t="s">
        <v>64</v>
      </c>
      <c r="L14" s="30" t="s">
        <v>67</v>
      </c>
      <c r="M14" s="27" t="s">
        <v>64</v>
      </c>
      <c r="N14" s="30" t="s">
        <v>67</v>
      </c>
      <c r="O14" s="27" t="s">
        <v>64</v>
      </c>
      <c r="P14" s="30" t="s">
        <v>67</v>
      </c>
      <c r="Q14" s="17"/>
      <c r="R14" s="27" t="s">
        <v>20</v>
      </c>
      <c r="S14" s="32" t="s">
        <v>69</v>
      </c>
      <c r="T14" s="33" t="s">
        <v>20</v>
      </c>
      <c r="U14" s="32" t="s">
        <v>70</v>
      </c>
      <c r="V14" s="33" t="s">
        <v>20</v>
      </c>
      <c r="W14" s="32" t="s">
        <v>71</v>
      </c>
      <c r="X14" s="186"/>
      <c r="Y14" s="27" t="s">
        <v>20</v>
      </c>
      <c r="Z14" s="28" t="s">
        <v>73</v>
      </c>
      <c r="AA14" s="27" t="s">
        <v>64</v>
      </c>
      <c r="AB14" s="28" t="s">
        <v>97</v>
      </c>
      <c r="AC14" s="200"/>
      <c r="AD14" s="43" t="s">
        <v>64</v>
      </c>
      <c r="AE14" s="28" t="s">
        <v>75</v>
      </c>
      <c r="AF14" s="27" t="s">
        <v>64</v>
      </c>
      <c r="AG14" s="28" t="s">
        <v>76</v>
      </c>
      <c r="AH14" s="27" t="s">
        <v>20</v>
      </c>
      <c r="AI14" s="28" t="s">
        <v>77</v>
      </c>
      <c r="AJ14" s="200"/>
      <c r="AK14" s="27" t="s">
        <v>20</v>
      </c>
      <c r="AL14" s="35" t="s">
        <v>78</v>
      </c>
      <c r="AM14" s="27" t="s">
        <v>20</v>
      </c>
      <c r="AN14" s="28" t="s">
        <v>79</v>
      </c>
      <c r="AO14" s="27" t="s">
        <v>20</v>
      </c>
      <c r="AP14" s="28" t="s">
        <v>80</v>
      </c>
      <c r="AQ14" s="200"/>
      <c r="AR14" s="27" t="s">
        <v>64</v>
      </c>
      <c r="AS14" s="28" t="s">
        <v>81</v>
      </c>
      <c r="AT14" s="27" t="s">
        <v>64</v>
      </c>
      <c r="AU14" s="28" t="s">
        <v>82</v>
      </c>
      <c r="AV14" s="27" t="s">
        <v>64</v>
      </c>
      <c r="AW14" s="28" t="s">
        <v>83</v>
      </c>
      <c r="AX14" s="27" t="s">
        <v>64</v>
      </c>
      <c r="AY14" s="28" t="s">
        <v>84</v>
      </c>
      <c r="AZ14" s="200"/>
      <c r="BA14" s="27" t="s">
        <v>64</v>
      </c>
      <c r="BB14" s="28" t="s">
        <v>85</v>
      </c>
      <c r="BC14" s="27" t="s">
        <v>64</v>
      </c>
      <c r="BD14" s="28" t="s">
        <v>86</v>
      </c>
      <c r="BE14" s="27" t="s">
        <v>20</v>
      </c>
      <c r="BF14" s="28" t="s">
        <v>87</v>
      </c>
      <c r="BG14" s="186"/>
      <c r="BH14" s="36" t="s">
        <v>64</v>
      </c>
      <c r="BI14" s="37" t="s">
        <v>88</v>
      </c>
      <c r="BJ14" s="44" t="s">
        <v>64</v>
      </c>
      <c r="BK14" s="38" t="s">
        <v>89</v>
      </c>
      <c r="BL14" s="200"/>
      <c r="BM14" s="27" t="s">
        <v>20</v>
      </c>
      <c r="BN14" s="39" t="s">
        <v>90</v>
      </c>
      <c r="BO14" s="186"/>
      <c r="BP14" s="27" t="s">
        <v>64</v>
      </c>
      <c r="BQ14" s="28" t="s">
        <v>98</v>
      </c>
      <c r="BR14" s="27" t="s">
        <v>20</v>
      </c>
      <c r="BS14" s="28" t="s">
        <v>92</v>
      </c>
      <c r="BT14" s="200"/>
      <c r="BU14" s="40"/>
      <c r="BV14" s="40"/>
      <c r="BW14" s="200"/>
      <c r="BX14" s="40"/>
      <c r="BY14" s="28">
        <v>3</v>
      </c>
      <c r="BZ14" s="197"/>
      <c r="CA14" s="41" t="s">
        <v>20</v>
      </c>
    </row>
    <row r="15" spans="1:92" ht="45.75" customHeight="1">
      <c r="A15" s="24">
        <v>3</v>
      </c>
      <c r="B15" s="26" t="s">
        <v>99</v>
      </c>
      <c r="C15" s="26" t="s">
        <v>100</v>
      </c>
      <c r="D15" s="26" t="s">
        <v>101</v>
      </c>
      <c r="E15" s="197"/>
      <c r="F15" s="27" t="s">
        <v>64</v>
      </c>
      <c r="G15" s="42" t="s">
        <v>96</v>
      </c>
      <c r="H15" s="27" t="s">
        <v>64</v>
      </c>
      <c r="I15" s="42" t="s">
        <v>96</v>
      </c>
      <c r="J15" s="29"/>
      <c r="K15" s="27" t="s">
        <v>102</v>
      </c>
      <c r="L15" s="28" t="s">
        <v>103</v>
      </c>
      <c r="M15" s="27" t="s">
        <v>102</v>
      </c>
      <c r="N15" s="28" t="s">
        <v>103</v>
      </c>
      <c r="O15" s="27" t="s">
        <v>102</v>
      </c>
      <c r="P15" s="28" t="s">
        <v>103</v>
      </c>
      <c r="Q15" s="17"/>
      <c r="R15" s="27" t="s">
        <v>20</v>
      </c>
      <c r="S15" s="35" t="s">
        <v>104</v>
      </c>
      <c r="T15" s="33" t="s">
        <v>20</v>
      </c>
      <c r="U15" s="32" t="s">
        <v>70</v>
      </c>
      <c r="V15" s="33" t="s">
        <v>20</v>
      </c>
      <c r="W15" s="32" t="s">
        <v>71</v>
      </c>
      <c r="X15" s="186"/>
      <c r="Y15" s="27" t="s">
        <v>20</v>
      </c>
      <c r="Z15" s="28" t="s">
        <v>73</v>
      </c>
      <c r="AA15" s="27" t="s">
        <v>20</v>
      </c>
      <c r="AB15" s="28" t="s">
        <v>74</v>
      </c>
      <c r="AC15" s="200"/>
      <c r="AD15" s="27" t="s">
        <v>64</v>
      </c>
      <c r="AE15" s="34" t="s">
        <v>75</v>
      </c>
      <c r="AF15" s="27" t="s">
        <v>102</v>
      </c>
      <c r="AG15" s="28" t="s">
        <v>105</v>
      </c>
      <c r="AH15" s="27" t="s">
        <v>102</v>
      </c>
      <c r="AI15" s="28" t="s">
        <v>105</v>
      </c>
      <c r="AJ15" s="200"/>
      <c r="AK15" s="27" t="s">
        <v>20</v>
      </c>
      <c r="AL15" s="35" t="s">
        <v>78</v>
      </c>
      <c r="AM15" s="27" t="s">
        <v>20</v>
      </c>
      <c r="AN15" s="28" t="s">
        <v>79</v>
      </c>
      <c r="AO15" s="27" t="s">
        <v>20</v>
      </c>
      <c r="AP15" s="28" t="s">
        <v>80</v>
      </c>
      <c r="AQ15" s="200"/>
      <c r="AR15" s="27" t="s">
        <v>64</v>
      </c>
      <c r="AS15" s="28" t="s">
        <v>81</v>
      </c>
      <c r="AT15" s="27" t="s">
        <v>64</v>
      </c>
      <c r="AU15" s="28" t="s">
        <v>82</v>
      </c>
      <c r="AV15" s="27" t="s">
        <v>64</v>
      </c>
      <c r="AW15" s="28" t="s">
        <v>83</v>
      </c>
      <c r="AX15" s="27" t="s">
        <v>64</v>
      </c>
      <c r="AY15" s="28" t="s">
        <v>84</v>
      </c>
      <c r="AZ15" s="200"/>
      <c r="BA15" s="27" t="s">
        <v>102</v>
      </c>
      <c r="BB15" s="28" t="s">
        <v>106</v>
      </c>
      <c r="BC15" s="27" t="s">
        <v>64</v>
      </c>
      <c r="BD15" s="28" t="s">
        <v>86</v>
      </c>
      <c r="BE15" s="27" t="s">
        <v>102</v>
      </c>
      <c r="BF15" s="28" t="s">
        <v>107</v>
      </c>
      <c r="BG15" s="186"/>
      <c r="BH15" s="44" t="s">
        <v>102</v>
      </c>
      <c r="BI15" s="38" t="s">
        <v>108</v>
      </c>
      <c r="BJ15" s="45" t="s">
        <v>102</v>
      </c>
      <c r="BK15" s="38" t="s">
        <v>108</v>
      </c>
      <c r="BL15" s="200"/>
      <c r="BM15" s="27" t="s">
        <v>20</v>
      </c>
      <c r="BN15" s="39" t="s">
        <v>90</v>
      </c>
      <c r="BO15" s="186"/>
      <c r="BP15" s="27" t="s">
        <v>20</v>
      </c>
      <c r="BQ15" s="28" t="s">
        <v>91</v>
      </c>
      <c r="BR15" s="27" t="s">
        <v>64</v>
      </c>
      <c r="BS15" s="28" t="s">
        <v>109</v>
      </c>
      <c r="BT15" s="200"/>
      <c r="BU15" s="40"/>
      <c r="BV15" s="28">
        <v>4</v>
      </c>
      <c r="BW15" s="200"/>
      <c r="BX15" s="40"/>
      <c r="BY15" s="28">
        <v>2</v>
      </c>
      <c r="BZ15" s="197"/>
      <c r="CA15" s="41" t="s">
        <v>20</v>
      </c>
    </row>
    <row r="16" spans="1:92" ht="34.5" customHeight="1">
      <c r="A16" s="24">
        <v>4</v>
      </c>
      <c r="B16" s="26" t="s">
        <v>110</v>
      </c>
      <c r="C16" s="26" t="s">
        <v>111</v>
      </c>
      <c r="D16" s="26" t="s">
        <v>112</v>
      </c>
      <c r="E16" s="197"/>
      <c r="F16" s="27" t="s">
        <v>20</v>
      </c>
      <c r="G16" s="42" t="s">
        <v>113</v>
      </c>
      <c r="H16" s="27" t="s">
        <v>20</v>
      </c>
      <c r="I16" s="42" t="s">
        <v>113</v>
      </c>
      <c r="J16" s="29"/>
      <c r="K16" s="27" t="s">
        <v>102</v>
      </c>
      <c r="L16" s="28" t="s">
        <v>103</v>
      </c>
      <c r="M16" s="27" t="s">
        <v>102</v>
      </c>
      <c r="N16" s="28" t="s">
        <v>103</v>
      </c>
      <c r="O16" s="27" t="s">
        <v>102</v>
      </c>
      <c r="P16" s="28" t="s">
        <v>103</v>
      </c>
      <c r="Q16" s="29"/>
      <c r="R16" s="27" t="s">
        <v>64</v>
      </c>
      <c r="S16" s="28" t="s">
        <v>114</v>
      </c>
      <c r="T16" s="27" t="s">
        <v>64</v>
      </c>
      <c r="U16" s="32" t="s">
        <v>115</v>
      </c>
      <c r="V16" s="27" t="s">
        <v>64</v>
      </c>
      <c r="W16" s="46" t="s">
        <v>116</v>
      </c>
      <c r="X16" s="186"/>
      <c r="Y16" s="27" t="s">
        <v>20</v>
      </c>
      <c r="Z16" s="28" t="s">
        <v>73</v>
      </c>
      <c r="AA16" s="27" t="s">
        <v>20</v>
      </c>
      <c r="AB16" s="28" t="s">
        <v>74</v>
      </c>
      <c r="AC16" s="200"/>
      <c r="AD16" s="27" t="s">
        <v>64</v>
      </c>
      <c r="AE16" s="34" t="s">
        <v>75</v>
      </c>
      <c r="AF16" s="27" t="s">
        <v>102</v>
      </c>
      <c r="AG16" s="28" t="s">
        <v>105</v>
      </c>
      <c r="AH16" s="27" t="s">
        <v>102</v>
      </c>
      <c r="AI16" s="28" t="s">
        <v>105</v>
      </c>
      <c r="AJ16" s="200"/>
      <c r="AK16" s="27" t="s">
        <v>20</v>
      </c>
      <c r="AL16" s="35" t="s">
        <v>78</v>
      </c>
      <c r="AM16" s="27" t="s">
        <v>20</v>
      </c>
      <c r="AN16" s="28" t="s">
        <v>79</v>
      </c>
      <c r="AO16" s="27" t="s">
        <v>20</v>
      </c>
      <c r="AP16" s="28" t="s">
        <v>80</v>
      </c>
      <c r="AQ16" s="200"/>
      <c r="AR16" s="27" t="s">
        <v>64</v>
      </c>
      <c r="AS16" s="28" t="s">
        <v>81</v>
      </c>
      <c r="AT16" s="27" t="s">
        <v>64</v>
      </c>
      <c r="AU16" s="28" t="s">
        <v>82</v>
      </c>
      <c r="AV16" s="27" t="s">
        <v>64</v>
      </c>
      <c r="AW16" s="28" t="s">
        <v>83</v>
      </c>
      <c r="AX16" s="27" t="s">
        <v>64</v>
      </c>
      <c r="AY16" s="28" t="s">
        <v>84</v>
      </c>
      <c r="AZ16" s="200"/>
      <c r="BA16" s="27" t="s">
        <v>64</v>
      </c>
      <c r="BB16" s="28" t="s">
        <v>85</v>
      </c>
      <c r="BC16" s="27" t="s">
        <v>64</v>
      </c>
      <c r="BD16" s="28" t="s">
        <v>86</v>
      </c>
      <c r="BE16" s="27" t="s">
        <v>102</v>
      </c>
      <c r="BF16" s="28" t="s">
        <v>107</v>
      </c>
      <c r="BG16" s="186"/>
      <c r="BH16" s="47" t="s">
        <v>102</v>
      </c>
      <c r="BI16" s="38" t="s">
        <v>108</v>
      </c>
      <c r="BJ16" s="45" t="s">
        <v>64</v>
      </c>
      <c r="BK16" s="38" t="s">
        <v>89</v>
      </c>
      <c r="BL16" s="200"/>
      <c r="BM16" s="27" t="s">
        <v>20</v>
      </c>
      <c r="BN16" s="39" t="s">
        <v>117</v>
      </c>
      <c r="BO16" s="186"/>
      <c r="BP16" s="27" t="s">
        <v>20</v>
      </c>
      <c r="BQ16" s="42" t="s">
        <v>118</v>
      </c>
      <c r="BR16" s="27" t="s">
        <v>64</v>
      </c>
      <c r="BS16" s="48" t="s">
        <v>109</v>
      </c>
      <c r="BT16" s="200"/>
      <c r="BU16" s="40"/>
      <c r="BV16" s="40"/>
      <c r="BW16" s="200"/>
      <c r="BX16" s="40"/>
      <c r="BY16" s="28">
        <v>1</v>
      </c>
      <c r="BZ16" s="197"/>
      <c r="CA16" s="41" t="s">
        <v>20</v>
      </c>
    </row>
    <row r="17" spans="1:79" ht="46.5" customHeight="1">
      <c r="A17" s="24">
        <v>5</v>
      </c>
      <c r="B17" s="26" t="s">
        <v>119</v>
      </c>
      <c r="C17" s="26" t="s">
        <v>120</v>
      </c>
      <c r="D17" s="26" t="s">
        <v>121</v>
      </c>
      <c r="E17" s="197"/>
      <c r="F17" s="27" t="s">
        <v>20</v>
      </c>
      <c r="G17" s="28" t="s">
        <v>66</v>
      </c>
      <c r="H17" s="27" t="s">
        <v>20</v>
      </c>
      <c r="I17" s="42" t="s">
        <v>113</v>
      </c>
      <c r="J17" s="29"/>
      <c r="K17" s="27" t="s">
        <v>20</v>
      </c>
      <c r="L17" s="31" t="s">
        <v>68</v>
      </c>
      <c r="M17" s="27" t="s">
        <v>20</v>
      </c>
      <c r="N17" s="31" t="s">
        <v>68</v>
      </c>
      <c r="O17" s="27" t="s">
        <v>64</v>
      </c>
      <c r="P17" s="31" t="s">
        <v>68</v>
      </c>
      <c r="Q17" s="29"/>
      <c r="R17" s="49" t="s">
        <v>64</v>
      </c>
      <c r="S17" s="35" t="s">
        <v>122</v>
      </c>
      <c r="T17" s="27" t="s">
        <v>20</v>
      </c>
      <c r="U17" s="32" t="s">
        <v>70</v>
      </c>
      <c r="V17" s="27" t="s">
        <v>20</v>
      </c>
      <c r="W17" s="32" t="s">
        <v>71</v>
      </c>
      <c r="X17" s="186"/>
      <c r="Y17" s="27" t="s">
        <v>20</v>
      </c>
      <c r="Z17" s="28" t="s">
        <v>73</v>
      </c>
      <c r="AA17" s="27" t="s">
        <v>20</v>
      </c>
      <c r="AB17" s="28" t="s">
        <v>74</v>
      </c>
      <c r="AC17" s="200"/>
      <c r="AD17" s="27" t="s">
        <v>64</v>
      </c>
      <c r="AE17" s="34" t="s">
        <v>75</v>
      </c>
      <c r="AF17" s="27" t="s">
        <v>64</v>
      </c>
      <c r="AG17" s="28" t="s">
        <v>76</v>
      </c>
      <c r="AH17" s="27" t="s">
        <v>64</v>
      </c>
      <c r="AI17" s="28" t="s">
        <v>123</v>
      </c>
      <c r="AJ17" s="200"/>
      <c r="AK17" s="27" t="s">
        <v>20</v>
      </c>
      <c r="AL17" s="35" t="s">
        <v>78</v>
      </c>
      <c r="AM17" s="27" t="s">
        <v>20</v>
      </c>
      <c r="AN17" s="28" t="s">
        <v>79</v>
      </c>
      <c r="AO17" s="27" t="s">
        <v>20</v>
      </c>
      <c r="AP17" s="28" t="s">
        <v>80</v>
      </c>
      <c r="AQ17" s="200"/>
      <c r="AR17" s="27" t="s">
        <v>64</v>
      </c>
      <c r="AS17" s="28" t="s">
        <v>81</v>
      </c>
      <c r="AT17" s="27" t="s">
        <v>64</v>
      </c>
      <c r="AU17" s="28" t="s">
        <v>82</v>
      </c>
      <c r="AV17" s="27" t="s">
        <v>64</v>
      </c>
      <c r="AW17" s="28" t="s">
        <v>83</v>
      </c>
      <c r="AX17" s="27" t="s">
        <v>64</v>
      </c>
      <c r="AY17" s="28" t="s">
        <v>84</v>
      </c>
      <c r="AZ17" s="200"/>
      <c r="BA17" s="27" t="s">
        <v>20</v>
      </c>
      <c r="BB17" s="28" t="s">
        <v>124</v>
      </c>
      <c r="BC17" s="27" t="s">
        <v>20</v>
      </c>
      <c r="BD17" s="28" t="s">
        <v>125</v>
      </c>
      <c r="BE17" s="27" t="s">
        <v>20</v>
      </c>
      <c r="BF17" s="28" t="s">
        <v>87</v>
      </c>
      <c r="BG17" s="186"/>
      <c r="BH17" s="47" t="s">
        <v>20</v>
      </c>
      <c r="BI17" s="38" t="s">
        <v>126</v>
      </c>
      <c r="BJ17" s="45" t="s">
        <v>20</v>
      </c>
      <c r="BK17" s="38" t="s">
        <v>127</v>
      </c>
      <c r="BL17" s="200"/>
      <c r="BM17" s="27" t="s">
        <v>20</v>
      </c>
      <c r="BN17" s="39" t="s">
        <v>90</v>
      </c>
      <c r="BO17" s="186"/>
      <c r="BP17" s="27" t="s">
        <v>20</v>
      </c>
      <c r="BQ17" s="28" t="s">
        <v>91</v>
      </c>
      <c r="BR17" s="27" t="s">
        <v>20</v>
      </c>
      <c r="BS17" s="28" t="s">
        <v>92</v>
      </c>
      <c r="BT17" s="200"/>
      <c r="BU17" s="40"/>
      <c r="BV17" s="40"/>
      <c r="BW17" s="200"/>
      <c r="BX17" s="40"/>
      <c r="BY17" s="28">
        <v>2</v>
      </c>
      <c r="BZ17" s="197"/>
      <c r="CA17" s="41" t="s">
        <v>20</v>
      </c>
    </row>
    <row r="18" spans="1:79" ht="34.5" customHeight="1">
      <c r="A18" s="24">
        <v>6</v>
      </c>
      <c r="B18" s="25" t="s">
        <v>128</v>
      </c>
      <c r="C18" s="25" t="s">
        <v>129</v>
      </c>
      <c r="D18" s="25" t="s">
        <v>130</v>
      </c>
      <c r="E18" s="197"/>
      <c r="F18" s="27" t="s">
        <v>64</v>
      </c>
      <c r="G18" s="42" t="s">
        <v>96</v>
      </c>
      <c r="H18" s="27" t="s">
        <v>20</v>
      </c>
      <c r="I18" s="42" t="s">
        <v>113</v>
      </c>
      <c r="J18" s="29"/>
      <c r="K18" s="27" t="s">
        <v>20</v>
      </c>
      <c r="L18" s="31" t="s">
        <v>68</v>
      </c>
      <c r="M18" s="27" t="s">
        <v>20</v>
      </c>
      <c r="N18" s="31" t="s">
        <v>68</v>
      </c>
      <c r="O18" s="27" t="s">
        <v>20</v>
      </c>
      <c r="P18" s="31" t="s">
        <v>68</v>
      </c>
      <c r="Q18" s="29"/>
      <c r="R18" s="49" t="s">
        <v>102</v>
      </c>
      <c r="S18" s="178" t="s">
        <v>122</v>
      </c>
      <c r="T18" s="27" t="s">
        <v>20</v>
      </c>
      <c r="U18" s="32" t="s">
        <v>70</v>
      </c>
      <c r="V18" s="27" t="s">
        <v>20</v>
      </c>
      <c r="W18" s="32" t="s">
        <v>71</v>
      </c>
      <c r="X18" s="186"/>
      <c r="Y18" s="27" t="s">
        <v>20</v>
      </c>
      <c r="Z18" s="28" t="s">
        <v>73</v>
      </c>
      <c r="AA18" s="27" t="s">
        <v>64</v>
      </c>
      <c r="AB18" s="28" t="s">
        <v>97</v>
      </c>
      <c r="AC18" s="200"/>
      <c r="AD18" s="27" t="s">
        <v>64</v>
      </c>
      <c r="AE18" s="28" t="s">
        <v>75</v>
      </c>
      <c r="AF18" s="27" t="s">
        <v>20</v>
      </c>
      <c r="AG18" s="28" t="s">
        <v>131</v>
      </c>
      <c r="AH18" s="27" t="s">
        <v>64</v>
      </c>
      <c r="AI18" s="28" t="s">
        <v>123</v>
      </c>
      <c r="AJ18" s="200"/>
      <c r="AK18" s="27" t="s">
        <v>20</v>
      </c>
      <c r="AL18" s="35" t="s">
        <v>78</v>
      </c>
      <c r="AM18" s="27" t="s">
        <v>20</v>
      </c>
      <c r="AN18" s="28" t="s">
        <v>79</v>
      </c>
      <c r="AO18" s="27" t="s">
        <v>20</v>
      </c>
      <c r="AP18" s="28" t="s">
        <v>80</v>
      </c>
      <c r="AQ18" s="200"/>
      <c r="AR18" s="27" t="s">
        <v>64</v>
      </c>
      <c r="AS18" s="28" t="s">
        <v>81</v>
      </c>
      <c r="AT18" s="27" t="s">
        <v>64</v>
      </c>
      <c r="AU18" s="28" t="s">
        <v>82</v>
      </c>
      <c r="AV18" s="27" t="s">
        <v>64</v>
      </c>
      <c r="AW18" s="28" t="s">
        <v>83</v>
      </c>
      <c r="AX18" s="27" t="s">
        <v>64</v>
      </c>
      <c r="AY18" s="28" t="s">
        <v>84</v>
      </c>
      <c r="AZ18" s="200"/>
      <c r="BA18" s="27" t="s">
        <v>64</v>
      </c>
      <c r="BB18" s="28" t="s">
        <v>85</v>
      </c>
      <c r="BC18" s="27" t="s">
        <v>20</v>
      </c>
      <c r="BD18" s="28" t="s">
        <v>125</v>
      </c>
      <c r="BE18" s="27" t="s">
        <v>20</v>
      </c>
      <c r="BF18" s="28" t="s">
        <v>87</v>
      </c>
      <c r="BG18" s="186"/>
      <c r="BH18" s="47" t="s">
        <v>20</v>
      </c>
      <c r="BI18" s="38" t="s">
        <v>126</v>
      </c>
      <c r="BJ18" s="47" t="s">
        <v>64</v>
      </c>
      <c r="BK18" s="38" t="s">
        <v>89</v>
      </c>
      <c r="BL18" s="200"/>
      <c r="BM18" s="27" t="s">
        <v>20</v>
      </c>
      <c r="BN18" s="39" t="s">
        <v>117</v>
      </c>
      <c r="BO18" s="186"/>
      <c r="BP18" s="27" t="s">
        <v>20</v>
      </c>
      <c r="BQ18" s="42" t="s">
        <v>118</v>
      </c>
      <c r="BR18" s="27" t="s">
        <v>20</v>
      </c>
      <c r="BS18" s="42" t="s">
        <v>118</v>
      </c>
      <c r="BT18" s="200"/>
      <c r="BU18" s="40"/>
      <c r="BV18" s="28">
        <v>1</v>
      </c>
      <c r="BW18" s="200"/>
      <c r="BX18" s="40"/>
      <c r="BY18" s="40"/>
      <c r="BZ18" s="197"/>
      <c r="CA18" s="41" t="s">
        <v>20</v>
      </c>
    </row>
    <row r="19" spans="1:79" ht="34.5" customHeight="1">
      <c r="A19" s="24">
        <v>7</v>
      </c>
      <c r="B19" s="26" t="s">
        <v>132</v>
      </c>
      <c r="C19" s="26" t="s">
        <v>133</v>
      </c>
      <c r="D19" s="26" t="s">
        <v>134</v>
      </c>
      <c r="E19" s="197"/>
      <c r="F19" s="27" t="s">
        <v>20</v>
      </c>
      <c r="G19" s="42" t="s">
        <v>113</v>
      </c>
      <c r="H19" s="27" t="s">
        <v>64</v>
      </c>
      <c r="I19" s="42" t="s">
        <v>96</v>
      </c>
      <c r="J19" s="29"/>
      <c r="K19" s="27" t="s">
        <v>64</v>
      </c>
      <c r="L19" s="30" t="s">
        <v>67</v>
      </c>
      <c r="M19" s="27" t="s">
        <v>64</v>
      </c>
      <c r="N19" s="30" t="s">
        <v>67</v>
      </c>
      <c r="O19" s="27" t="s">
        <v>64</v>
      </c>
      <c r="P19" s="30" t="s">
        <v>67</v>
      </c>
      <c r="Q19" s="29"/>
      <c r="R19" s="49" t="s">
        <v>20</v>
      </c>
      <c r="S19" s="35" t="s">
        <v>135</v>
      </c>
      <c r="T19" s="27" t="s">
        <v>64</v>
      </c>
      <c r="U19" s="32" t="s">
        <v>115</v>
      </c>
      <c r="V19" s="27" t="s">
        <v>64</v>
      </c>
      <c r="W19" s="46" t="s">
        <v>116</v>
      </c>
      <c r="X19" s="186"/>
      <c r="Y19" s="27" t="s">
        <v>20</v>
      </c>
      <c r="Z19" s="28" t="s">
        <v>73</v>
      </c>
      <c r="AA19" s="27" t="s">
        <v>20</v>
      </c>
      <c r="AB19" s="28" t="s">
        <v>74</v>
      </c>
      <c r="AC19" s="200"/>
      <c r="AD19" s="27" t="s">
        <v>102</v>
      </c>
      <c r="AE19" s="28" t="s">
        <v>105</v>
      </c>
      <c r="AF19" s="27" t="s">
        <v>20</v>
      </c>
      <c r="AG19" s="28" t="s">
        <v>131</v>
      </c>
      <c r="AH19" s="27" t="s">
        <v>64</v>
      </c>
      <c r="AI19" s="28" t="s">
        <v>123</v>
      </c>
      <c r="AJ19" s="200"/>
      <c r="AK19" s="27" t="s">
        <v>20</v>
      </c>
      <c r="AL19" s="35" t="s">
        <v>78</v>
      </c>
      <c r="AM19" s="27" t="s">
        <v>20</v>
      </c>
      <c r="AN19" s="28" t="s">
        <v>79</v>
      </c>
      <c r="AO19" s="27" t="s">
        <v>20</v>
      </c>
      <c r="AP19" s="28" t="s">
        <v>80</v>
      </c>
      <c r="AQ19" s="200"/>
      <c r="AR19" s="27" t="s">
        <v>64</v>
      </c>
      <c r="AS19" s="28" t="s">
        <v>81</v>
      </c>
      <c r="AT19" s="27" t="s">
        <v>64</v>
      </c>
      <c r="AU19" s="28" t="s">
        <v>82</v>
      </c>
      <c r="AV19" s="27" t="s">
        <v>64</v>
      </c>
      <c r="AW19" s="28" t="s">
        <v>83</v>
      </c>
      <c r="AX19" s="27" t="s">
        <v>64</v>
      </c>
      <c r="AY19" s="28" t="s">
        <v>84</v>
      </c>
      <c r="AZ19" s="200"/>
      <c r="BA19" s="27" t="s">
        <v>64</v>
      </c>
      <c r="BB19" s="28" t="s">
        <v>85</v>
      </c>
      <c r="BC19" s="27" t="s">
        <v>64</v>
      </c>
      <c r="BD19" s="28" t="s">
        <v>86</v>
      </c>
      <c r="BE19" s="27" t="s">
        <v>20</v>
      </c>
      <c r="BF19" s="28" t="s">
        <v>87</v>
      </c>
      <c r="BG19" s="186"/>
      <c r="BH19" s="36" t="s">
        <v>64</v>
      </c>
      <c r="BI19" s="37" t="s">
        <v>88</v>
      </c>
      <c r="BJ19" s="45" t="s">
        <v>102</v>
      </c>
      <c r="BK19" s="38" t="s">
        <v>108</v>
      </c>
      <c r="BL19" s="200"/>
      <c r="BM19" s="27" t="s">
        <v>20</v>
      </c>
      <c r="BN19" s="39" t="s">
        <v>90</v>
      </c>
      <c r="BO19" s="186"/>
      <c r="BP19" s="27" t="s">
        <v>20</v>
      </c>
      <c r="BQ19" s="28" t="s">
        <v>91</v>
      </c>
      <c r="BR19" s="27" t="s">
        <v>20</v>
      </c>
      <c r="BS19" s="28" t="s">
        <v>92</v>
      </c>
      <c r="BT19" s="200"/>
      <c r="BU19" s="40"/>
      <c r="BV19" s="40"/>
      <c r="BW19" s="200"/>
      <c r="BX19" s="40"/>
      <c r="BY19" s="28">
        <v>3</v>
      </c>
      <c r="BZ19" s="197"/>
      <c r="CA19" s="41" t="s">
        <v>20</v>
      </c>
    </row>
    <row r="20" spans="1:79" ht="34.5" customHeight="1">
      <c r="A20" s="24">
        <v>8</v>
      </c>
      <c r="B20" s="26" t="s">
        <v>136</v>
      </c>
      <c r="C20" s="26" t="s">
        <v>137</v>
      </c>
      <c r="D20" s="26" t="s">
        <v>138</v>
      </c>
      <c r="E20" s="197"/>
      <c r="F20" s="27" t="s">
        <v>20</v>
      </c>
      <c r="G20" s="42" t="s">
        <v>113</v>
      </c>
      <c r="H20" s="27" t="s">
        <v>20</v>
      </c>
      <c r="I20" s="42" t="s">
        <v>113</v>
      </c>
      <c r="J20" s="29"/>
      <c r="K20" s="27" t="s">
        <v>20</v>
      </c>
      <c r="L20" s="31" t="s">
        <v>68</v>
      </c>
      <c r="M20" s="27" t="s">
        <v>20</v>
      </c>
      <c r="N20" s="31" t="s">
        <v>68</v>
      </c>
      <c r="O20" s="27" t="s">
        <v>20</v>
      </c>
      <c r="P20" s="31" t="s">
        <v>68</v>
      </c>
      <c r="Q20" s="29"/>
      <c r="R20" s="49" t="s">
        <v>20</v>
      </c>
      <c r="S20" s="35" t="s">
        <v>139</v>
      </c>
      <c r="T20" s="27" t="s">
        <v>102</v>
      </c>
      <c r="U20" s="178" t="s">
        <v>657</v>
      </c>
      <c r="V20" s="27" t="s">
        <v>64</v>
      </c>
      <c r="W20" s="46" t="s">
        <v>116</v>
      </c>
      <c r="X20" s="186"/>
      <c r="Y20" s="27" t="s">
        <v>20</v>
      </c>
      <c r="Z20" s="28" t="s">
        <v>73</v>
      </c>
      <c r="AA20" s="27" t="s">
        <v>20</v>
      </c>
      <c r="AB20" s="28" t="s">
        <v>74</v>
      </c>
      <c r="AC20" s="200"/>
      <c r="AD20" s="27" t="s">
        <v>64</v>
      </c>
      <c r="AE20" s="34" t="s">
        <v>75</v>
      </c>
      <c r="AF20" s="27" t="s">
        <v>64</v>
      </c>
      <c r="AG20" s="28" t="s">
        <v>76</v>
      </c>
      <c r="AH20" s="27" t="s">
        <v>64</v>
      </c>
      <c r="AI20" s="28" t="s">
        <v>123</v>
      </c>
      <c r="AJ20" s="200"/>
      <c r="AK20" s="27" t="s">
        <v>20</v>
      </c>
      <c r="AL20" s="35" t="s">
        <v>78</v>
      </c>
      <c r="AM20" s="27" t="s">
        <v>20</v>
      </c>
      <c r="AN20" s="28" t="s">
        <v>79</v>
      </c>
      <c r="AO20" s="27" t="s">
        <v>20</v>
      </c>
      <c r="AP20" s="28" t="s">
        <v>80</v>
      </c>
      <c r="AQ20" s="200"/>
      <c r="AR20" s="27" t="s">
        <v>64</v>
      </c>
      <c r="AS20" s="28" t="s">
        <v>81</v>
      </c>
      <c r="AT20" s="27" t="s">
        <v>64</v>
      </c>
      <c r="AU20" s="28" t="s">
        <v>82</v>
      </c>
      <c r="AV20" s="27" t="s">
        <v>64</v>
      </c>
      <c r="AW20" s="28" t="s">
        <v>83</v>
      </c>
      <c r="AX20" s="27" t="s">
        <v>64</v>
      </c>
      <c r="AY20" s="28" t="s">
        <v>84</v>
      </c>
      <c r="AZ20" s="200"/>
      <c r="BA20" s="27" t="s">
        <v>20</v>
      </c>
      <c r="BB20" s="28" t="s">
        <v>124</v>
      </c>
      <c r="BC20" s="27" t="s">
        <v>20</v>
      </c>
      <c r="BD20" s="28" t="s">
        <v>125</v>
      </c>
      <c r="BE20" s="27" t="s">
        <v>20</v>
      </c>
      <c r="BF20" s="28" t="s">
        <v>87</v>
      </c>
      <c r="BG20" s="186"/>
      <c r="BH20" s="44" t="s">
        <v>20</v>
      </c>
      <c r="BI20" s="38" t="s">
        <v>140</v>
      </c>
      <c r="BJ20" s="45" t="s">
        <v>20</v>
      </c>
      <c r="BK20" s="38" t="s">
        <v>127</v>
      </c>
      <c r="BL20" s="200"/>
      <c r="BM20" s="27" t="s">
        <v>20</v>
      </c>
      <c r="BN20" s="39" t="s">
        <v>117</v>
      </c>
      <c r="BO20" s="186"/>
      <c r="BP20" s="27" t="s">
        <v>20</v>
      </c>
      <c r="BQ20" s="42" t="s">
        <v>118</v>
      </c>
      <c r="BR20" s="27" t="s">
        <v>20</v>
      </c>
      <c r="BS20" s="42" t="s">
        <v>118</v>
      </c>
      <c r="BT20" s="200"/>
      <c r="BU20" s="40"/>
      <c r="BV20" s="28">
        <v>1</v>
      </c>
      <c r="BW20" s="200"/>
      <c r="BX20" s="40"/>
      <c r="BY20" s="40"/>
      <c r="BZ20" s="197"/>
      <c r="CA20" s="41" t="s">
        <v>20</v>
      </c>
    </row>
    <row r="21" spans="1:79" ht="34.5" customHeight="1">
      <c r="A21" s="24">
        <v>9</v>
      </c>
      <c r="B21" s="26" t="s">
        <v>136</v>
      </c>
      <c r="C21" s="26" t="s">
        <v>137</v>
      </c>
      <c r="D21" s="26" t="s">
        <v>141</v>
      </c>
      <c r="E21" s="197"/>
      <c r="F21" s="27" t="s">
        <v>20</v>
      </c>
      <c r="G21" s="42" t="s">
        <v>113</v>
      </c>
      <c r="H21" s="27" t="s">
        <v>20</v>
      </c>
      <c r="I21" s="42" t="s">
        <v>113</v>
      </c>
      <c r="J21" s="29"/>
      <c r="K21" s="27" t="s">
        <v>20</v>
      </c>
      <c r="L21" s="31" t="s">
        <v>68</v>
      </c>
      <c r="M21" s="27" t="s">
        <v>20</v>
      </c>
      <c r="N21" s="31" t="s">
        <v>68</v>
      </c>
      <c r="O21" s="27" t="s">
        <v>20</v>
      </c>
      <c r="P21" s="31" t="s">
        <v>68</v>
      </c>
      <c r="Q21" s="29"/>
      <c r="R21" s="49" t="s">
        <v>20</v>
      </c>
      <c r="S21" s="35" t="s">
        <v>135</v>
      </c>
      <c r="T21" s="27" t="s">
        <v>20</v>
      </c>
      <c r="U21" s="32" t="s">
        <v>70</v>
      </c>
      <c r="V21" s="27" t="s">
        <v>64</v>
      </c>
      <c r="W21" s="46" t="s">
        <v>116</v>
      </c>
      <c r="X21" s="186"/>
      <c r="Y21" s="27" t="s">
        <v>20</v>
      </c>
      <c r="Z21" s="28" t="s">
        <v>73</v>
      </c>
      <c r="AA21" s="27" t="s">
        <v>20</v>
      </c>
      <c r="AB21" s="28" t="s">
        <v>74</v>
      </c>
      <c r="AC21" s="200"/>
      <c r="AD21" s="27" t="s">
        <v>64</v>
      </c>
      <c r="AE21" s="34" t="s">
        <v>75</v>
      </c>
      <c r="AF21" s="27" t="s">
        <v>20</v>
      </c>
      <c r="AG21" s="28" t="s">
        <v>131</v>
      </c>
      <c r="AH21" s="27" t="s">
        <v>64</v>
      </c>
      <c r="AI21" s="28" t="s">
        <v>123</v>
      </c>
      <c r="AJ21" s="200"/>
      <c r="AK21" s="27" t="s">
        <v>20</v>
      </c>
      <c r="AL21" s="35" t="s">
        <v>78</v>
      </c>
      <c r="AM21" s="27" t="s">
        <v>20</v>
      </c>
      <c r="AN21" s="28" t="s">
        <v>79</v>
      </c>
      <c r="AO21" s="27" t="s">
        <v>20</v>
      </c>
      <c r="AP21" s="28" t="s">
        <v>80</v>
      </c>
      <c r="AQ21" s="200"/>
      <c r="AR21" s="27" t="s">
        <v>64</v>
      </c>
      <c r="AS21" s="28" t="s">
        <v>81</v>
      </c>
      <c r="AT21" s="27" t="s">
        <v>64</v>
      </c>
      <c r="AU21" s="28" t="s">
        <v>82</v>
      </c>
      <c r="AV21" s="27" t="s">
        <v>64</v>
      </c>
      <c r="AW21" s="28" t="s">
        <v>83</v>
      </c>
      <c r="AX21" s="27" t="s">
        <v>64</v>
      </c>
      <c r="AY21" s="28" t="s">
        <v>84</v>
      </c>
      <c r="AZ21" s="200"/>
      <c r="BA21" s="27" t="s">
        <v>20</v>
      </c>
      <c r="BB21" s="28" t="s">
        <v>124</v>
      </c>
      <c r="BC21" s="27" t="s">
        <v>20</v>
      </c>
      <c r="BD21" s="28" t="s">
        <v>125</v>
      </c>
      <c r="BE21" s="27" t="s">
        <v>20</v>
      </c>
      <c r="BF21" s="28" t="s">
        <v>87</v>
      </c>
      <c r="BG21" s="186"/>
      <c r="BH21" s="47" t="s">
        <v>20</v>
      </c>
      <c r="BI21" s="38" t="s">
        <v>140</v>
      </c>
      <c r="BJ21" s="45" t="s">
        <v>20</v>
      </c>
      <c r="BK21" s="38" t="s">
        <v>127</v>
      </c>
      <c r="BL21" s="200"/>
      <c r="BM21" s="27" t="s">
        <v>20</v>
      </c>
      <c r="BN21" s="39" t="s">
        <v>117</v>
      </c>
      <c r="BO21" s="186"/>
      <c r="BP21" s="27" t="s">
        <v>20</v>
      </c>
      <c r="BQ21" s="42" t="s">
        <v>118</v>
      </c>
      <c r="BR21" s="27" t="s">
        <v>20</v>
      </c>
      <c r="BS21" s="42" t="s">
        <v>118</v>
      </c>
      <c r="BT21" s="200"/>
      <c r="BU21" s="40"/>
      <c r="BV21" s="28">
        <v>1</v>
      </c>
      <c r="BW21" s="200"/>
      <c r="BX21" s="40"/>
      <c r="BY21" s="40"/>
      <c r="BZ21" s="197"/>
      <c r="CA21" s="41" t="s">
        <v>20</v>
      </c>
    </row>
    <row r="22" spans="1:79" ht="34.5" customHeight="1">
      <c r="A22" s="24">
        <v>10</v>
      </c>
      <c r="B22" s="51" t="s">
        <v>142</v>
      </c>
      <c r="C22" s="51" t="s">
        <v>143</v>
      </c>
      <c r="D22" s="51" t="s">
        <v>144</v>
      </c>
      <c r="E22" s="197"/>
      <c r="F22" s="27" t="s">
        <v>20</v>
      </c>
      <c r="G22" s="42" t="s">
        <v>113</v>
      </c>
      <c r="H22" s="27" t="s">
        <v>20</v>
      </c>
      <c r="I22" s="42" t="s">
        <v>113</v>
      </c>
      <c r="J22" s="29"/>
      <c r="K22" s="27" t="s">
        <v>20</v>
      </c>
      <c r="L22" s="31" t="s">
        <v>68</v>
      </c>
      <c r="M22" s="27" t="s">
        <v>20</v>
      </c>
      <c r="N22" s="31" t="s">
        <v>68</v>
      </c>
      <c r="O22" s="27" t="s">
        <v>20</v>
      </c>
      <c r="P22" s="31" t="s">
        <v>68</v>
      </c>
      <c r="Q22" s="29"/>
      <c r="R22" s="49" t="s">
        <v>64</v>
      </c>
      <c r="S22" s="35" t="s">
        <v>114</v>
      </c>
      <c r="T22" s="27" t="s">
        <v>20</v>
      </c>
      <c r="U22" s="32" t="s">
        <v>70</v>
      </c>
      <c r="V22" s="27" t="s">
        <v>20</v>
      </c>
      <c r="W22" s="32" t="s">
        <v>71</v>
      </c>
      <c r="X22" s="186"/>
      <c r="Y22" s="27" t="s">
        <v>20</v>
      </c>
      <c r="Z22" s="28" t="s">
        <v>73</v>
      </c>
      <c r="AA22" s="27" t="s">
        <v>64</v>
      </c>
      <c r="AB22" s="28" t="s">
        <v>97</v>
      </c>
      <c r="AC22" s="200"/>
      <c r="AD22" s="27" t="s">
        <v>64</v>
      </c>
      <c r="AE22" s="34" t="s">
        <v>75</v>
      </c>
      <c r="AF22" s="27" t="s">
        <v>64</v>
      </c>
      <c r="AG22" s="28" t="s">
        <v>76</v>
      </c>
      <c r="AH22" s="27" t="s">
        <v>20</v>
      </c>
      <c r="AI22" s="28" t="s">
        <v>77</v>
      </c>
      <c r="AJ22" s="200"/>
      <c r="AK22" s="27" t="s">
        <v>20</v>
      </c>
      <c r="AL22" s="35" t="s">
        <v>78</v>
      </c>
      <c r="AM22" s="27" t="s">
        <v>20</v>
      </c>
      <c r="AN22" s="28" t="s">
        <v>79</v>
      </c>
      <c r="AO22" s="27" t="s">
        <v>20</v>
      </c>
      <c r="AP22" s="28" t="s">
        <v>80</v>
      </c>
      <c r="AQ22" s="200"/>
      <c r="AR22" s="27" t="s">
        <v>64</v>
      </c>
      <c r="AS22" s="28" t="s">
        <v>81</v>
      </c>
      <c r="AT22" s="27" t="s">
        <v>64</v>
      </c>
      <c r="AU22" s="28" t="s">
        <v>82</v>
      </c>
      <c r="AV22" s="27" t="s">
        <v>64</v>
      </c>
      <c r="AW22" s="28" t="s">
        <v>83</v>
      </c>
      <c r="AX22" s="27" t="s">
        <v>64</v>
      </c>
      <c r="AY22" s="28" t="s">
        <v>84</v>
      </c>
      <c r="AZ22" s="200"/>
      <c r="BA22" s="27" t="s">
        <v>20</v>
      </c>
      <c r="BB22" s="28" t="s">
        <v>124</v>
      </c>
      <c r="BC22" s="27" t="s">
        <v>20</v>
      </c>
      <c r="BD22" s="28" t="s">
        <v>125</v>
      </c>
      <c r="BE22" s="27" t="s">
        <v>64</v>
      </c>
      <c r="BF22" s="28" t="s">
        <v>145</v>
      </c>
      <c r="BG22" s="186"/>
      <c r="BH22" s="47" t="s">
        <v>20</v>
      </c>
      <c r="BI22" s="38" t="s">
        <v>140</v>
      </c>
      <c r="BJ22" s="45" t="s">
        <v>20</v>
      </c>
      <c r="BK22" s="38" t="s">
        <v>127</v>
      </c>
      <c r="BL22" s="200"/>
      <c r="BM22" s="27" t="s">
        <v>64</v>
      </c>
      <c r="BN22" s="39" t="s">
        <v>146</v>
      </c>
      <c r="BO22" s="186"/>
      <c r="BP22" s="27" t="s">
        <v>20</v>
      </c>
      <c r="BQ22" s="42" t="s">
        <v>118</v>
      </c>
      <c r="BR22" s="27" t="s">
        <v>20</v>
      </c>
      <c r="BS22" s="42" t="s">
        <v>118</v>
      </c>
      <c r="BT22" s="200"/>
      <c r="BU22" s="40"/>
      <c r="BV22" s="40"/>
      <c r="BW22" s="200"/>
      <c r="BX22" s="40"/>
      <c r="BY22" s="28">
        <v>3</v>
      </c>
      <c r="BZ22" s="197"/>
      <c r="CA22" s="41" t="s">
        <v>20</v>
      </c>
    </row>
    <row r="23" spans="1:79" ht="34.5" customHeight="1">
      <c r="A23" s="24">
        <v>11</v>
      </c>
      <c r="B23" s="26" t="s">
        <v>147</v>
      </c>
      <c r="C23" s="26" t="s">
        <v>148</v>
      </c>
      <c r="D23" s="26" t="s">
        <v>149</v>
      </c>
      <c r="E23" s="197"/>
      <c r="F23" s="27" t="s">
        <v>20</v>
      </c>
      <c r="G23" s="42" t="s">
        <v>113</v>
      </c>
      <c r="H23" s="27" t="s">
        <v>20</v>
      </c>
      <c r="I23" s="42" t="s">
        <v>113</v>
      </c>
      <c r="J23" s="29"/>
      <c r="K23" s="27" t="s">
        <v>20</v>
      </c>
      <c r="L23" s="31" t="s">
        <v>68</v>
      </c>
      <c r="M23" s="27" t="s">
        <v>20</v>
      </c>
      <c r="N23" s="31" t="s">
        <v>68</v>
      </c>
      <c r="O23" s="27" t="s">
        <v>20</v>
      </c>
      <c r="P23" s="31" t="s">
        <v>68</v>
      </c>
      <c r="Q23" s="29"/>
      <c r="R23" s="49" t="s">
        <v>64</v>
      </c>
      <c r="S23" s="35" t="s">
        <v>114</v>
      </c>
      <c r="T23" s="27" t="s">
        <v>64</v>
      </c>
      <c r="U23" s="35" t="s">
        <v>150</v>
      </c>
      <c r="V23" s="27" t="s">
        <v>20</v>
      </c>
      <c r="W23" s="32" t="s">
        <v>71</v>
      </c>
      <c r="X23" s="186"/>
      <c r="Y23" s="27" t="s">
        <v>20</v>
      </c>
      <c r="Z23" s="28" t="s">
        <v>73</v>
      </c>
      <c r="AA23" s="27" t="s">
        <v>72</v>
      </c>
      <c r="AB23" s="28" t="s">
        <v>74</v>
      </c>
      <c r="AC23" s="200"/>
      <c r="AD23" s="27" t="s">
        <v>64</v>
      </c>
      <c r="AE23" s="34" t="s">
        <v>75</v>
      </c>
      <c r="AF23" s="27" t="s">
        <v>64</v>
      </c>
      <c r="AG23" s="28" t="s">
        <v>76</v>
      </c>
      <c r="AH23" s="27" t="s">
        <v>20</v>
      </c>
      <c r="AI23" s="28" t="s">
        <v>77</v>
      </c>
      <c r="AJ23" s="200"/>
      <c r="AK23" s="27" t="s">
        <v>20</v>
      </c>
      <c r="AL23" s="35" t="s">
        <v>78</v>
      </c>
      <c r="AM23" s="27" t="s">
        <v>20</v>
      </c>
      <c r="AN23" s="28" t="s">
        <v>79</v>
      </c>
      <c r="AO23" s="27" t="s">
        <v>20</v>
      </c>
      <c r="AP23" s="28" t="s">
        <v>80</v>
      </c>
      <c r="AQ23" s="200"/>
      <c r="AR23" s="27" t="s">
        <v>64</v>
      </c>
      <c r="AS23" s="28" t="s">
        <v>81</v>
      </c>
      <c r="AT23" s="27" t="s">
        <v>64</v>
      </c>
      <c r="AU23" s="28" t="s">
        <v>82</v>
      </c>
      <c r="AV23" s="27" t="s">
        <v>64</v>
      </c>
      <c r="AW23" s="28" t="s">
        <v>83</v>
      </c>
      <c r="AX23" s="27" t="s">
        <v>64</v>
      </c>
      <c r="AY23" s="28" t="s">
        <v>84</v>
      </c>
      <c r="AZ23" s="200"/>
      <c r="BA23" s="27" t="s">
        <v>20</v>
      </c>
      <c r="BB23" s="28" t="s">
        <v>124</v>
      </c>
      <c r="BC23" s="27" t="s">
        <v>20</v>
      </c>
      <c r="BD23" s="28" t="s">
        <v>125</v>
      </c>
      <c r="BE23" s="27" t="s">
        <v>20</v>
      </c>
      <c r="BF23" s="28" t="s">
        <v>87</v>
      </c>
      <c r="BG23" s="186"/>
      <c r="BH23" s="47" t="s">
        <v>20</v>
      </c>
      <c r="BI23" s="38" t="s">
        <v>140</v>
      </c>
      <c r="BJ23" s="45" t="s">
        <v>20</v>
      </c>
      <c r="BK23" s="38" t="s">
        <v>127</v>
      </c>
      <c r="BL23" s="200"/>
      <c r="BM23" s="27" t="s">
        <v>20</v>
      </c>
      <c r="BN23" s="39" t="s">
        <v>90</v>
      </c>
      <c r="BO23" s="186"/>
      <c r="BP23" s="27" t="s">
        <v>20</v>
      </c>
      <c r="BQ23" s="28" t="s">
        <v>91</v>
      </c>
      <c r="BR23" s="27" t="s">
        <v>20</v>
      </c>
      <c r="BS23" s="28" t="s">
        <v>92</v>
      </c>
      <c r="BT23" s="200"/>
      <c r="BU23" s="40"/>
      <c r="BV23" s="40"/>
      <c r="BW23" s="200"/>
      <c r="BX23" s="40"/>
      <c r="BY23" s="28">
        <v>3</v>
      </c>
      <c r="BZ23" s="197"/>
      <c r="CA23" s="41" t="s">
        <v>20</v>
      </c>
    </row>
    <row r="24" spans="1:79" ht="34.5" customHeight="1">
      <c r="A24" s="24">
        <v>12</v>
      </c>
      <c r="B24" s="25" t="s">
        <v>151</v>
      </c>
      <c r="C24" s="25" t="s">
        <v>152</v>
      </c>
      <c r="D24" s="25" t="s">
        <v>153</v>
      </c>
      <c r="E24" s="197"/>
      <c r="F24" s="27" t="s">
        <v>20</v>
      </c>
      <c r="G24" s="42" t="s">
        <v>113</v>
      </c>
      <c r="H24" s="27" t="s">
        <v>64</v>
      </c>
      <c r="I24" s="42" t="s">
        <v>96</v>
      </c>
      <c r="J24" s="29"/>
      <c r="K24" s="27" t="s">
        <v>64</v>
      </c>
      <c r="L24" s="30" t="s">
        <v>67</v>
      </c>
      <c r="M24" s="27" t="s">
        <v>64</v>
      </c>
      <c r="N24" s="30" t="s">
        <v>67</v>
      </c>
      <c r="O24" s="27" t="s">
        <v>64</v>
      </c>
      <c r="P24" s="30" t="s">
        <v>67</v>
      </c>
      <c r="Q24" s="29"/>
      <c r="R24" s="49" t="s">
        <v>20</v>
      </c>
      <c r="S24" s="28" t="s">
        <v>135</v>
      </c>
      <c r="T24" s="27" t="s">
        <v>64</v>
      </c>
      <c r="U24" s="28" t="s">
        <v>150</v>
      </c>
      <c r="V24" s="27" t="s">
        <v>20</v>
      </c>
      <c r="W24" s="32" t="s">
        <v>71</v>
      </c>
      <c r="X24" s="186"/>
      <c r="Y24" s="27" t="s">
        <v>20</v>
      </c>
      <c r="Z24" s="28" t="s">
        <v>73</v>
      </c>
      <c r="AA24" s="27" t="s">
        <v>20</v>
      </c>
      <c r="AB24" s="28" t="s">
        <v>74</v>
      </c>
      <c r="AC24" s="200"/>
      <c r="AD24" s="27" t="s">
        <v>64</v>
      </c>
      <c r="AE24" s="34" t="s">
        <v>75</v>
      </c>
      <c r="AF24" s="27" t="s">
        <v>64</v>
      </c>
      <c r="AG24" s="28" t="s">
        <v>76</v>
      </c>
      <c r="AH24" s="27" t="s">
        <v>64</v>
      </c>
      <c r="AI24" s="28" t="s">
        <v>123</v>
      </c>
      <c r="AJ24" s="200"/>
      <c r="AK24" s="27" t="s">
        <v>20</v>
      </c>
      <c r="AL24" s="35" t="s">
        <v>78</v>
      </c>
      <c r="AM24" s="27" t="s">
        <v>20</v>
      </c>
      <c r="AN24" s="28" t="s">
        <v>79</v>
      </c>
      <c r="AO24" s="27" t="s">
        <v>20</v>
      </c>
      <c r="AP24" s="28" t="s">
        <v>80</v>
      </c>
      <c r="AQ24" s="200"/>
      <c r="AR24" s="27" t="s">
        <v>64</v>
      </c>
      <c r="AS24" s="28" t="s">
        <v>81</v>
      </c>
      <c r="AT24" s="27" t="s">
        <v>64</v>
      </c>
      <c r="AU24" s="28" t="s">
        <v>82</v>
      </c>
      <c r="AV24" s="27" t="s">
        <v>64</v>
      </c>
      <c r="AW24" s="28" t="s">
        <v>83</v>
      </c>
      <c r="AX24" s="27" t="s">
        <v>64</v>
      </c>
      <c r="AY24" s="28" t="s">
        <v>84</v>
      </c>
      <c r="AZ24" s="200"/>
      <c r="BA24" s="27" t="s">
        <v>64</v>
      </c>
      <c r="BB24" s="28" t="s">
        <v>85</v>
      </c>
      <c r="BC24" s="27" t="s">
        <v>64</v>
      </c>
      <c r="BD24" s="28" t="s">
        <v>86</v>
      </c>
      <c r="BE24" s="27" t="s">
        <v>102</v>
      </c>
      <c r="BF24" s="28" t="s">
        <v>107</v>
      </c>
      <c r="BG24" s="186"/>
      <c r="BH24" s="47" t="s">
        <v>64</v>
      </c>
      <c r="BI24" s="37" t="s">
        <v>88</v>
      </c>
      <c r="BJ24" s="45" t="s">
        <v>64</v>
      </c>
      <c r="BK24" s="38" t="s">
        <v>89</v>
      </c>
      <c r="BL24" s="200"/>
      <c r="BM24" s="27" t="s">
        <v>20</v>
      </c>
      <c r="BN24" s="39" t="s">
        <v>117</v>
      </c>
      <c r="BO24" s="186"/>
      <c r="BP24" s="27" t="s">
        <v>20</v>
      </c>
      <c r="BQ24" s="42" t="s">
        <v>118</v>
      </c>
      <c r="BR24" s="27" t="s">
        <v>20</v>
      </c>
      <c r="BS24" s="42" t="s">
        <v>118</v>
      </c>
      <c r="BT24" s="200"/>
      <c r="BU24" s="40"/>
      <c r="BV24" s="28">
        <v>3</v>
      </c>
      <c r="BW24" s="200"/>
      <c r="BX24" s="40"/>
      <c r="BY24" s="28">
        <v>1</v>
      </c>
      <c r="BZ24" s="197"/>
      <c r="CA24" s="41" t="s">
        <v>20</v>
      </c>
    </row>
    <row r="25" spans="1:79" ht="34.5" customHeight="1">
      <c r="A25" s="24">
        <v>13</v>
      </c>
      <c r="B25" s="26" t="s">
        <v>154</v>
      </c>
      <c r="C25" s="26" t="s">
        <v>155</v>
      </c>
      <c r="D25" s="26" t="s">
        <v>156</v>
      </c>
      <c r="E25" s="197"/>
      <c r="F25" s="27" t="s">
        <v>20</v>
      </c>
      <c r="G25" s="42" t="s">
        <v>113</v>
      </c>
      <c r="H25" s="27" t="s">
        <v>64</v>
      </c>
      <c r="I25" s="42" t="s">
        <v>96</v>
      </c>
      <c r="J25" s="29"/>
      <c r="K25" s="27" t="s">
        <v>64</v>
      </c>
      <c r="L25" s="30" t="s">
        <v>67</v>
      </c>
      <c r="M25" s="27" t="s">
        <v>64</v>
      </c>
      <c r="N25" s="30" t="s">
        <v>67</v>
      </c>
      <c r="O25" s="27" t="s">
        <v>64</v>
      </c>
      <c r="P25" s="30" t="s">
        <v>67</v>
      </c>
      <c r="Q25" s="29"/>
      <c r="R25" s="49" t="s">
        <v>64</v>
      </c>
      <c r="S25" s="28" t="s">
        <v>157</v>
      </c>
      <c r="T25" s="27" t="s">
        <v>20</v>
      </c>
      <c r="U25" s="32" t="s">
        <v>70</v>
      </c>
      <c r="V25" s="27" t="s">
        <v>20</v>
      </c>
      <c r="W25" s="32" t="s">
        <v>71</v>
      </c>
      <c r="X25" s="186"/>
      <c r="Y25" s="27" t="s">
        <v>72</v>
      </c>
      <c r="Z25" s="28" t="s">
        <v>73</v>
      </c>
      <c r="AA25" s="27" t="s">
        <v>20</v>
      </c>
      <c r="AB25" s="28" t="s">
        <v>74</v>
      </c>
      <c r="AC25" s="200"/>
      <c r="AD25" s="27" t="s">
        <v>64</v>
      </c>
      <c r="AE25" s="34" t="s">
        <v>75</v>
      </c>
      <c r="AF25" s="27" t="s">
        <v>102</v>
      </c>
      <c r="AG25" s="28" t="s">
        <v>105</v>
      </c>
      <c r="AH25" s="27" t="s">
        <v>102</v>
      </c>
      <c r="AI25" s="28" t="s">
        <v>105</v>
      </c>
      <c r="AJ25" s="200"/>
      <c r="AK25" s="27" t="s">
        <v>20</v>
      </c>
      <c r="AL25" s="35" t="s">
        <v>78</v>
      </c>
      <c r="AM25" s="27" t="s">
        <v>20</v>
      </c>
      <c r="AN25" s="28" t="s">
        <v>79</v>
      </c>
      <c r="AO25" s="27" t="s">
        <v>20</v>
      </c>
      <c r="AP25" s="28" t="s">
        <v>80</v>
      </c>
      <c r="AQ25" s="200"/>
      <c r="AR25" s="27" t="s">
        <v>64</v>
      </c>
      <c r="AS25" s="28" t="s">
        <v>81</v>
      </c>
      <c r="AT25" s="27" t="s">
        <v>64</v>
      </c>
      <c r="AU25" s="28" t="s">
        <v>82</v>
      </c>
      <c r="AV25" s="27" t="s">
        <v>64</v>
      </c>
      <c r="AW25" s="28" t="s">
        <v>83</v>
      </c>
      <c r="AX25" s="27" t="s">
        <v>64</v>
      </c>
      <c r="AY25" s="28" t="s">
        <v>84</v>
      </c>
      <c r="AZ25" s="200"/>
      <c r="BA25" s="27" t="s">
        <v>64</v>
      </c>
      <c r="BB25" s="28" t="s">
        <v>85</v>
      </c>
      <c r="BC25" s="27" t="s">
        <v>64</v>
      </c>
      <c r="BD25" s="28" t="s">
        <v>86</v>
      </c>
      <c r="BE25" s="27" t="s">
        <v>102</v>
      </c>
      <c r="BF25" s="28" t="s">
        <v>107</v>
      </c>
      <c r="BG25" s="186"/>
      <c r="BH25" s="47" t="s">
        <v>64</v>
      </c>
      <c r="BI25" s="37" t="s">
        <v>88</v>
      </c>
      <c r="BJ25" s="45" t="s">
        <v>64</v>
      </c>
      <c r="BK25" s="38" t="s">
        <v>89</v>
      </c>
      <c r="BL25" s="200"/>
      <c r="BM25" s="27" t="s">
        <v>20</v>
      </c>
      <c r="BN25" s="39" t="s">
        <v>90</v>
      </c>
      <c r="BO25" s="186"/>
      <c r="BP25" s="27" t="s">
        <v>20</v>
      </c>
      <c r="BQ25" s="28" t="s">
        <v>91</v>
      </c>
      <c r="BR25" s="27" t="s">
        <v>20</v>
      </c>
      <c r="BS25" s="28" t="s">
        <v>92</v>
      </c>
      <c r="BT25" s="200"/>
      <c r="BU25" s="40"/>
      <c r="BV25" s="28">
        <v>2</v>
      </c>
      <c r="BW25" s="200"/>
      <c r="BX25" s="40"/>
      <c r="BY25" s="40"/>
      <c r="BZ25" s="197"/>
      <c r="CA25" s="41" t="s">
        <v>20</v>
      </c>
    </row>
    <row r="26" spans="1:79" ht="34.5" customHeight="1">
      <c r="A26" s="24">
        <v>14</v>
      </c>
      <c r="B26" s="25" t="s">
        <v>158</v>
      </c>
      <c r="C26" s="25" t="s">
        <v>159</v>
      </c>
      <c r="D26" s="25" t="s">
        <v>160</v>
      </c>
      <c r="E26" s="197"/>
      <c r="F26" s="27" t="s">
        <v>20</v>
      </c>
      <c r="G26" s="42" t="s">
        <v>113</v>
      </c>
      <c r="H26" s="27" t="s">
        <v>20</v>
      </c>
      <c r="I26" s="42" t="s">
        <v>113</v>
      </c>
      <c r="J26" s="29"/>
      <c r="K26" s="27" t="s">
        <v>20</v>
      </c>
      <c r="L26" s="31" t="s">
        <v>68</v>
      </c>
      <c r="M26" s="27" t="s">
        <v>20</v>
      </c>
      <c r="N26" s="31" t="s">
        <v>68</v>
      </c>
      <c r="O26" s="27" t="s">
        <v>20</v>
      </c>
      <c r="P26" s="31" t="s">
        <v>68</v>
      </c>
      <c r="Q26" s="29"/>
      <c r="R26" s="49" t="s">
        <v>20</v>
      </c>
      <c r="S26" s="35" t="s">
        <v>161</v>
      </c>
      <c r="T26" s="27" t="s">
        <v>20</v>
      </c>
      <c r="U26" s="32" t="s">
        <v>70</v>
      </c>
      <c r="V26" s="27" t="s">
        <v>64</v>
      </c>
      <c r="W26" s="46" t="s">
        <v>116</v>
      </c>
      <c r="X26" s="186"/>
      <c r="Y26" s="27" t="s">
        <v>20</v>
      </c>
      <c r="Z26" s="28" t="s">
        <v>73</v>
      </c>
      <c r="AA26" s="27" t="s">
        <v>20</v>
      </c>
      <c r="AB26" s="28" t="s">
        <v>74</v>
      </c>
      <c r="AC26" s="200"/>
      <c r="AD26" s="27" t="s">
        <v>20</v>
      </c>
      <c r="AE26" s="34" t="s">
        <v>75</v>
      </c>
      <c r="AF26" s="27" t="s">
        <v>64</v>
      </c>
      <c r="AG26" s="28" t="s">
        <v>76</v>
      </c>
      <c r="AH26" s="27" t="s">
        <v>20</v>
      </c>
      <c r="AI26" s="28" t="s">
        <v>77</v>
      </c>
      <c r="AJ26" s="200"/>
      <c r="AK26" s="27" t="s">
        <v>20</v>
      </c>
      <c r="AL26" s="35" t="s">
        <v>78</v>
      </c>
      <c r="AM26" s="27" t="s">
        <v>20</v>
      </c>
      <c r="AN26" s="28" t="s">
        <v>79</v>
      </c>
      <c r="AO26" s="27" t="s">
        <v>20</v>
      </c>
      <c r="AP26" s="28" t="s">
        <v>80</v>
      </c>
      <c r="AQ26" s="200"/>
      <c r="AR26" s="27" t="s">
        <v>64</v>
      </c>
      <c r="AS26" s="28" t="s">
        <v>81</v>
      </c>
      <c r="AT26" s="27" t="s">
        <v>64</v>
      </c>
      <c r="AU26" s="28" t="s">
        <v>82</v>
      </c>
      <c r="AV26" s="27" t="s">
        <v>64</v>
      </c>
      <c r="AW26" s="28" t="s">
        <v>83</v>
      </c>
      <c r="AX26" s="27" t="s">
        <v>64</v>
      </c>
      <c r="AY26" s="28" t="s">
        <v>84</v>
      </c>
      <c r="AZ26" s="200"/>
      <c r="BA26" s="27" t="s">
        <v>20</v>
      </c>
      <c r="BB26" s="28" t="s">
        <v>124</v>
      </c>
      <c r="BC26" s="27" t="s">
        <v>20</v>
      </c>
      <c r="BD26" s="28" t="s">
        <v>125</v>
      </c>
      <c r="BE26" s="27" t="s">
        <v>20</v>
      </c>
      <c r="BF26" s="28" t="s">
        <v>87</v>
      </c>
      <c r="BG26" s="186"/>
      <c r="BH26" s="47" t="s">
        <v>20</v>
      </c>
      <c r="BI26" s="38" t="s">
        <v>140</v>
      </c>
      <c r="BJ26" s="45" t="s">
        <v>64</v>
      </c>
      <c r="BK26" s="38" t="s">
        <v>89</v>
      </c>
      <c r="BL26" s="200"/>
      <c r="BM26" s="27" t="s">
        <v>20</v>
      </c>
      <c r="BN26" s="39" t="s">
        <v>117</v>
      </c>
      <c r="BO26" s="186"/>
      <c r="BP26" s="52" t="s">
        <v>20</v>
      </c>
      <c r="BQ26" s="53" t="s">
        <v>118</v>
      </c>
      <c r="BR26" s="36" t="s">
        <v>20</v>
      </c>
      <c r="BS26" s="42" t="s">
        <v>118</v>
      </c>
      <c r="BT26" s="200"/>
      <c r="BU26" s="40"/>
      <c r="BV26" s="28"/>
      <c r="BW26" s="200"/>
      <c r="BX26" s="40"/>
      <c r="BY26" s="40"/>
      <c r="BZ26" s="197"/>
      <c r="CA26" s="41" t="s">
        <v>20</v>
      </c>
    </row>
    <row r="27" spans="1:79" ht="34.5" customHeight="1">
      <c r="A27" s="24">
        <v>15</v>
      </c>
      <c r="B27" s="26" t="s">
        <v>162</v>
      </c>
      <c r="C27" s="26" t="s">
        <v>163</v>
      </c>
      <c r="D27" s="26" t="s">
        <v>164</v>
      </c>
      <c r="E27" s="197"/>
      <c r="F27" s="27" t="s">
        <v>64</v>
      </c>
      <c r="G27" s="42" t="s">
        <v>96</v>
      </c>
      <c r="H27" s="27" t="s">
        <v>20</v>
      </c>
      <c r="I27" s="42" t="s">
        <v>113</v>
      </c>
      <c r="J27" s="29"/>
      <c r="K27" s="27" t="s">
        <v>64</v>
      </c>
      <c r="L27" s="30" t="s">
        <v>67</v>
      </c>
      <c r="M27" s="27" t="s">
        <v>64</v>
      </c>
      <c r="N27" s="30" t="s">
        <v>67</v>
      </c>
      <c r="O27" s="27" t="s">
        <v>64</v>
      </c>
      <c r="P27" s="30" t="s">
        <v>67</v>
      </c>
      <c r="Q27" s="29"/>
      <c r="R27" s="49" t="s">
        <v>64</v>
      </c>
      <c r="S27" s="35" t="s">
        <v>165</v>
      </c>
      <c r="T27" s="27" t="s">
        <v>20</v>
      </c>
      <c r="U27" s="32" t="s">
        <v>70</v>
      </c>
      <c r="V27" s="27" t="s">
        <v>64</v>
      </c>
      <c r="W27" s="46" t="s">
        <v>116</v>
      </c>
      <c r="X27" s="186"/>
      <c r="Y27" s="27" t="s">
        <v>20</v>
      </c>
      <c r="Z27" s="28" t="s">
        <v>73</v>
      </c>
      <c r="AA27" s="27" t="s">
        <v>64</v>
      </c>
      <c r="AB27" s="28" t="s">
        <v>97</v>
      </c>
      <c r="AC27" s="200"/>
      <c r="AD27" s="27" t="s">
        <v>64</v>
      </c>
      <c r="AE27" s="34" t="s">
        <v>75</v>
      </c>
      <c r="AF27" s="27" t="s">
        <v>64</v>
      </c>
      <c r="AG27" s="28" t="s">
        <v>76</v>
      </c>
      <c r="AH27" s="27" t="s">
        <v>20</v>
      </c>
      <c r="AI27" s="28" t="s">
        <v>77</v>
      </c>
      <c r="AJ27" s="200"/>
      <c r="AK27" s="27" t="s">
        <v>20</v>
      </c>
      <c r="AL27" s="35" t="s">
        <v>78</v>
      </c>
      <c r="AM27" s="27" t="s">
        <v>20</v>
      </c>
      <c r="AN27" s="28" t="s">
        <v>79</v>
      </c>
      <c r="AO27" s="27" t="s">
        <v>20</v>
      </c>
      <c r="AP27" s="28" t="s">
        <v>80</v>
      </c>
      <c r="AQ27" s="200"/>
      <c r="AR27" s="27" t="s">
        <v>64</v>
      </c>
      <c r="AS27" s="28" t="s">
        <v>81</v>
      </c>
      <c r="AT27" s="27" t="s">
        <v>64</v>
      </c>
      <c r="AU27" s="28" t="s">
        <v>82</v>
      </c>
      <c r="AV27" s="27" t="s">
        <v>64</v>
      </c>
      <c r="AW27" s="28" t="s">
        <v>83</v>
      </c>
      <c r="AX27" s="27" t="s">
        <v>64</v>
      </c>
      <c r="AY27" s="28" t="s">
        <v>84</v>
      </c>
      <c r="AZ27" s="200"/>
      <c r="BA27" s="27" t="s">
        <v>64</v>
      </c>
      <c r="BB27" s="28" t="s">
        <v>85</v>
      </c>
      <c r="BC27" s="27" t="s">
        <v>64</v>
      </c>
      <c r="BD27" s="28" t="s">
        <v>86</v>
      </c>
      <c r="BE27" s="27" t="s">
        <v>64</v>
      </c>
      <c r="BF27" s="28" t="s">
        <v>145</v>
      </c>
      <c r="BG27" s="186"/>
      <c r="BH27" s="47" t="s">
        <v>20</v>
      </c>
      <c r="BI27" s="38" t="s">
        <v>140</v>
      </c>
      <c r="BJ27" s="45" t="s">
        <v>64</v>
      </c>
      <c r="BK27" s="38" t="s">
        <v>89</v>
      </c>
      <c r="BL27" s="200"/>
      <c r="BM27" s="27" t="s">
        <v>20</v>
      </c>
      <c r="BN27" s="39" t="s">
        <v>90</v>
      </c>
      <c r="BO27" s="186"/>
      <c r="BP27" s="27" t="s">
        <v>20</v>
      </c>
      <c r="BQ27" s="28" t="s">
        <v>91</v>
      </c>
      <c r="BR27" s="27" t="s">
        <v>20</v>
      </c>
      <c r="BS27" s="28" t="s">
        <v>92</v>
      </c>
      <c r="BT27" s="200"/>
      <c r="BU27" s="40"/>
      <c r="BV27" s="40"/>
      <c r="BW27" s="200"/>
      <c r="BX27" s="40"/>
      <c r="BY27" s="28">
        <v>3</v>
      </c>
      <c r="BZ27" s="197"/>
      <c r="CA27" s="41" t="s">
        <v>20</v>
      </c>
    </row>
    <row r="28" spans="1:79" ht="34.5" customHeight="1">
      <c r="A28" s="24">
        <v>16</v>
      </c>
      <c r="B28" s="51" t="s">
        <v>166</v>
      </c>
      <c r="C28" s="51" t="s">
        <v>167</v>
      </c>
      <c r="D28" s="51" t="s">
        <v>168</v>
      </c>
      <c r="E28" s="197"/>
      <c r="F28" s="27" t="s">
        <v>64</v>
      </c>
      <c r="G28" s="42" t="s">
        <v>96</v>
      </c>
      <c r="H28" s="27" t="s">
        <v>64</v>
      </c>
      <c r="I28" s="42" t="s">
        <v>96</v>
      </c>
      <c r="J28" s="29"/>
      <c r="K28" s="27" t="s">
        <v>102</v>
      </c>
      <c r="L28" s="28" t="s">
        <v>103</v>
      </c>
      <c r="M28" s="27" t="s">
        <v>102</v>
      </c>
      <c r="N28" s="28" t="s">
        <v>103</v>
      </c>
      <c r="O28" s="27" t="s">
        <v>102</v>
      </c>
      <c r="P28" s="28" t="s">
        <v>103</v>
      </c>
      <c r="Q28" s="29"/>
      <c r="R28" s="49" t="s">
        <v>64</v>
      </c>
      <c r="S28" s="28" t="s">
        <v>165</v>
      </c>
      <c r="T28" s="27" t="s">
        <v>20</v>
      </c>
      <c r="U28" s="32" t="s">
        <v>70</v>
      </c>
      <c r="V28" s="27" t="s">
        <v>64</v>
      </c>
      <c r="W28" s="46" t="s">
        <v>116</v>
      </c>
      <c r="X28" s="186"/>
      <c r="Y28" s="27" t="s">
        <v>64</v>
      </c>
      <c r="Z28" s="54" t="s">
        <v>97</v>
      </c>
      <c r="AA28" s="27" t="s">
        <v>102</v>
      </c>
      <c r="AB28" s="28" t="s">
        <v>169</v>
      </c>
      <c r="AC28" s="200"/>
      <c r="AD28" s="27" t="s">
        <v>102</v>
      </c>
      <c r="AE28" s="28" t="s">
        <v>105</v>
      </c>
      <c r="AF28" s="27" t="s">
        <v>102</v>
      </c>
      <c r="AG28" s="28" t="s">
        <v>105</v>
      </c>
      <c r="AH28" s="27" t="s">
        <v>64</v>
      </c>
      <c r="AI28" s="28" t="s">
        <v>123</v>
      </c>
      <c r="AJ28" s="200"/>
      <c r="AK28" s="27" t="s">
        <v>20</v>
      </c>
      <c r="AL28" s="35" t="s">
        <v>78</v>
      </c>
      <c r="AM28" s="27" t="s">
        <v>20</v>
      </c>
      <c r="AN28" s="28" t="s">
        <v>79</v>
      </c>
      <c r="AO28" s="27" t="s">
        <v>20</v>
      </c>
      <c r="AP28" s="28" t="s">
        <v>80</v>
      </c>
      <c r="AQ28" s="200"/>
      <c r="AR28" s="27" t="s">
        <v>64</v>
      </c>
      <c r="AS28" s="28" t="s">
        <v>81</v>
      </c>
      <c r="AT28" s="27" t="s">
        <v>64</v>
      </c>
      <c r="AU28" s="28" t="s">
        <v>82</v>
      </c>
      <c r="AV28" s="27" t="s">
        <v>64</v>
      </c>
      <c r="AW28" s="28" t="s">
        <v>83</v>
      </c>
      <c r="AX28" s="27" t="s">
        <v>64</v>
      </c>
      <c r="AY28" s="28" t="s">
        <v>84</v>
      </c>
      <c r="AZ28" s="200"/>
      <c r="BA28" s="27" t="s">
        <v>64</v>
      </c>
      <c r="BB28" s="28" t="s">
        <v>85</v>
      </c>
      <c r="BC28" s="27" t="s">
        <v>64</v>
      </c>
      <c r="BD28" s="28" t="s">
        <v>86</v>
      </c>
      <c r="BE28" s="27" t="s">
        <v>102</v>
      </c>
      <c r="BF28" s="28" t="s">
        <v>107</v>
      </c>
      <c r="BG28" s="186"/>
      <c r="BH28" s="47" t="s">
        <v>64</v>
      </c>
      <c r="BI28" s="55" t="s">
        <v>88</v>
      </c>
      <c r="BJ28" s="45" t="s">
        <v>64</v>
      </c>
      <c r="BK28" s="38" t="s">
        <v>89</v>
      </c>
      <c r="BL28" s="200"/>
      <c r="BM28" s="27" t="s">
        <v>20</v>
      </c>
      <c r="BN28" s="39" t="s">
        <v>90</v>
      </c>
      <c r="BO28" s="186"/>
      <c r="BP28" s="27" t="s">
        <v>20</v>
      </c>
      <c r="BQ28" s="28" t="s">
        <v>91</v>
      </c>
      <c r="BR28" s="27" t="s">
        <v>20</v>
      </c>
      <c r="BS28" s="28" t="s">
        <v>92</v>
      </c>
      <c r="BT28" s="200"/>
      <c r="BU28" s="40"/>
      <c r="BV28" s="28">
        <v>3</v>
      </c>
      <c r="BW28" s="200"/>
      <c r="BX28" s="40"/>
      <c r="BY28" s="28">
        <v>2</v>
      </c>
      <c r="BZ28" s="197"/>
      <c r="CA28" s="41" t="s">
        <v>20</v>
      </c>
    </row>
    <row r="29" spans="1:79" ht="34.5" customHeight="1">
      <c r="A29" s="24">
        <v>17</v>
      </c>
      <c r="B29" s="25" t="s">
        <v>170</v>
      </c>
      <c r="C29" s="25" t="s">
        <v>171</v>
      </c>
      <c r="D29" s="25" t="s">
        <v>172</v>
      </c>
      <c r="E29" s="197"/>
      <c r="F29" s="27" t="s">
        <v>64</v>
      </c>
      <c r="G29" s="42" t="s">
        <v>96</v>
      </c>
      <c r="H29" s="27" t="s">
        <v>64</v>
      </c>
      <c r="I29" s="42" t="s">
        <v>96</v>
      </c>
      <c r="J29" s="29"/>
      <c r="K29" s="27" t="s">
        <v>64</v>
      </c>
      <c r="L29" s="30" t="s">
        <v>67</v>
      </c>
      <c r="M29" s="27" t="s">
        <v>64</v>
      </c>
      <c r="N29" s="30" t="s">
        <v>67</v>
      </c>
      <c r="O29" s="27" t="s">
        <v>64</v>
      </c>
      <c r="P29" s="30" t="s">
        <v>67</v>
      </c>
      <c r="Q29" s="29"/>
      <c r="R29" s="49" t="s">
        <v>102</v>
      </c>
      <c r="S29" s="179" t="s">
        <v>122</v>
      </c>
      <c r="T29" s="27" t="s">
        <v>20</v>
      </c>
      <c r="U29" s="32" t="s">
        <v>70</v>
      </c>
      <c r="V29" s="27" t="s">
        <v>64</v>
      </c>
      <c r="W29" s="46" t="s">
        <v>116</v>
      </c>
      <c r="X29" s="186"/>
      <c r="Y29" s="27" t="s">
        <v>20</v>
      </c>
      <c r="Z29" s="28" t="s">
        <v>73</v>
      </c>
      <c r="AA29" s="27" t="s">
        <v>102</v>
      </c>
      <c r="AB29" s="28" t="s">
        <v>169</v>
      </c>
      <c r="AC29" s="200"/>
      <c r="AD29" s="27" t="s">
        <v>102</v>
      </c>
      <c r="AE29" s="28" t="s">
        <v>105</v>
      </c>
      <c r="AF29" s="27" t="s">
        <v>20</v>
      </c>
      <c r="AG29" s="28" t="s">
        <v>131</v>
      </c>
      <c r="AH29" s="27" t="s">
        <v>20</v>
      </c>
      <c r="AI29" s="28" t="s">
        <v>77</v>
      </c>
      <c r="AJ29" s="200"/>
      <c r="AK29" s="27" t="s">
        <v>20</v>
      </c>
      <c r="AL29" s="35" t="s">
        <v>78</v>
      </c>
      <c r="AM29" s="27" t="s">
        <v>20</v>
      </c>
      <c r="AN29" s="28" t="s">
        <v>79</v>
      </c>
      <c r="AO29" s="27" t="s">
        <v>20</v>
      </c>
      <c r="AP29" s="28" t="s">
        <v>80</v>
      </c>
      <c r="AQ29" s="200"/>
      <c r="AR29" s="27" t="s">
        <v>64</v>
      </c>
      <c r="AS29" s="28" t="s">
        <v>81</v>
      </c>
      <c r="AT29" s="27" t="s">
        <v>64</v>
      </c>
      <c r="AU29" s="28" t="s">
        <v>82</v>
      </c>
      <c r="AV29" s="27" t="s">
        <v>64</v>
      </c>
      <c r="AW29" s="28" t="s">
        <v>83</v>
      </c>
      <c r="AX29" s="27" t="s">
        <v>64</v>
      </c>
      <c r="AY29" s="28" t="s">
        <v>84</v>
      </c>
      <c r="AZ29" s="200"/>
      <c r="BA29" s="27" t="s">
        <v>64</v>
      </c>
      <c r="BB29" s="28" t="s">
        <v>85</v>
      </c>
      <c r="BC29" s="27" t="s">
        <v>64</v>
      </c>
      <c r="BD29" s="28" t="s">
        <v>86</v>
      </c>
      <c r="BE29" s="27" t="s">
        <v>20</v>
      </c>
      <c r="BF29" s="28" t="s">
        <v>87</v>
      </c>
      <c r="BG29" s="186"/>
      <c r="BH29" s="47" t="s">
        <v>64</v>
      </c>
      <c r="BI29" s="38" t="s">
        <v>89</v>
      </c>
      <c r="BJ29" s="47" t="s">
        <v>64</v>
      </c>
      <c r="BK29" s="38" t="s">
        <v>89</v>
      </c>
      <c r="BL29" s="200"/>
      <c r="BM29" s="27" t="s">
        <v>20</v>
      </c>
      <c r="BN29" s="39" t="s">
        <v>117</v>
      </c>
      <c r="BO29" s="186"/>
      <c r="BP29" s="33" t="s">
        <v>20</v>
      </c>
      <c r="BQ29" s="42" t="s">
        <v>118</v>
      </c>
      <c r="BR29" s="52" t="s">
        <v>20</v>
      </c>
      <c r="BS29" s="53" t="s">
        <v>118</v>
      </c>
      <c r="BT29" s="200"/>
      <c r="BU29" s="40"/>
      <c r="BV29" s="28">
        <v>2</v>
      </c>
      <c r="BW29" s="200"/>
      <c r="BX29" s="40"/>
      <c r="BY29" s="40"/>
      <c r="BZ29" s="197"/>
      <c r="CA29" s="41" t="s">
        <v>20</v>
      </c>
    </row>
    <row r="30" spans="1:79" ht="34.5" customHeight="1">
      <c r="A30" s="24">
        <v>18</v>
      </c>
      <c r="B30" s="56" t="s">
        <v>173</v>
      </c>
      <c r="C30" s="56" t="s">
        <v>174</v>
      </c>
      <c r="D30" s="56" t="s">
        <v>175</v>
      </c>
      <c r="E30" s="197"/>
      <c r="F30" s="27" t="s">
        <v>64</v>
      </c>
      <c r="G30" s="42" t="s">
        <v>96</v>
      </c>
      <c r="H30" s="27" t="s">
        <v>102</v>
      </c>
      <c r="I30" s="28" t="s">
        <v>176</v>
      </c>
      <c r="J30" s="29"/>
      <c r="K30" s="27" t="s">
        <v>102</v>
      </c>
      <c r="L30" s="28" t="s">
        <v>103</v>
      </c>
      <c r="M30" s="27" t="s">
        <v>102</v>
      </c>
      <c r="N30" s="28" t="s">
        <v>103</v>
      </c>
      <c r="O30" s="27" t="s">
        <v>102</v>
      </c>
      <c r="P30" s="28" t="s">
        <v>103</v>
      </c>
      <c r="Q30" s="29"/>
      <c r="R30" s="49" t="s">
        <v>64</v>
      </c>
      <c r="S30" s="35" t="s">
        <v>114</v>
      </c>
      <c r="T30" s="27" t="s">
        <v>64</v>
      </c>
      <c r="U30" s="32" t="s">
        <v>115</v>
      </c>
      <c r="V30" s="27" t="s">
        <v>64</v>
      </c>
      <c r="W30" s="46" t="s">
        <v>116</v>
      </c>
      <c r="X30" s="186"/>
      <c r="Y30" s="27" t="s">
        <v>20</v>
      </c>
      <c r="Z30" s="28" t="s">
        <v>73</v>
      </c>
      <c r="AA30" s="27" t="s">
        <v>64</v>
      </c>
      <c r="AB30" s="28" t="s">
        <v>97</v>
      </c>
      <c r="AC30" s="200"/>
      <c r="AD30" s="27" t="s">
        <v>102</v>
      </c>
      <c r="AE30" s="28" t="s">
        <v>105</v>
      </c>
      <c r="AF30" s="27" t="s">
        <v>102</v>
      </c>
      <c r="AG30" s="28" t="s">
        <v>105</v>
      </c>
      <c r="AH30" s="27" t="s">
        <v>64</v>
      </c>
      <c r="AI30" s="28" t="s">
        <v>123</v>
      </c>
      <c r="AJ30" s="200"/>
      <c r="AK30" s="27" t="s">
        <v>20</v>
      </c>
      <c r="AL30" s="35" t="s">
        <v>78</v>
      </c>
      <c r="AM30" s="27" t="s">
        <v>20</v>
      </c>
      <c r="AN30" s="28" t="s">
        <v>79</v>
      </c>
      <c r="AO30" s="27" t="s">
        <v>20</v>
      </c>
      <c r="AP30" s="28" t="s">
        <v>80</v>
      </c>
      <c r="AQ30" s="200"/>
      <c r="AR30" s="27" t="s">
        <v>64</v>
      </c>
      <c r="AS30" s="28" t="s">
        <v>81</v>
      </c>
      <c r="AT30" s="27" t="s">
        <v>64</v>
      </c>
      <c r="AU30" s="28" t="s">
        <v>82</v>
      </c>
      <c r="AV30" s="27" t="s">
        <v>64</v>
      </c>
      <c r="AW30" s="28" t="s">
        <v>83</v>
      </c>
      <c r="AX30" s="27" t="s">
        <v>64</v>
      </c>
      <c r="AY30" s="28" t="s">
        <v>84</v>
      </c>
      <c r="AZ30" s="200"/>
      <c r="BA30" s="27" t="s">
        <v>102</v>
      </c>
      <c r="BB30" s="28" t="s">
        <v>106</v>
      </c>
      <c r="BC30" s="27" t="s">
        <v>64</v>
      </c>
      <c r="BD30" s="28" t="s">
        <v>86</v>
      </c>
      <c r="BE30" s="27" t="s">
        <v>102</v>
      </c>
      <c r="BF30" s="28" t="s">
        <v>107</v>
      </c>
      <c r="BG30" s="186"/>
      <c r="BH30" s="47" t="s">
        <v>102</v>
      </c>
      <c r="BI30" s="38" t="s">
        <v>108</v>
      </c>
      <c r="BJ30" s="45" t="s">
        <v>102</v>
      </c>
      <c r="BK30" s="38" t="s">
        <v>108</v>
      </c>
      <c r="BL30" s="200"/>
      <c r="BM30" s="27" t="s">
        <v>64</v>
      </c>
      <c r="BN30" s="39" t="s">
        <v>146</v>
      </c>
      <c r="BO30" s="186"/>
      <c r="BP30" s="33" t="s">
        <v>20</v>
      </c>
      <c r="BQ30" s="42" t="s">
        <v>118</v>
      </c>
      <c r="BR30" s="27" t="s">
        <v>20</v>
      </c>
      <c r="BS30" s="42" t="s">
        <v>118</v>
      </c>
      <c r="BT30" s="200"/>
      <c r="BU30" s="40"/>
      <c r="BV30" s="28">
        <v>4</v>
      </c>
      <c r="BW30" s="200"/>
      <c r="BX30" s="40"/>
      <c r="BY30" s="28">
        <v>10</v>
      </c>
      <c r="BZ30" s="197"/>
      <c r="CA30" s="41" t="s">
        <v>20</v>
      </c>
    </row>
    <row r="31" spans="1:79" ht="34.5" customHeight="1">
      <c r="A31" s="24">
        <v>19</v>
      </c>
      <c r="B31" s="25" t="s">
        <v>177</v>
      </c>
      <c r="C31" s="25" t="s">
        <v>178</v>
      </c>
      <c r="D31" s="25" t="s">
        <v>179</v>
      </c>
      <c r="E31" s="197"/>
      <c r="F31" s="27" t="s">
        <v>20</v>
      </c>
      <c r="G31" s="42" t="s">
        <v>113</v>
      </c>
      <c r="H31" s="27" t="s">
        <v>20</v>
      </c>
      <c r="I31" s="42" t="s">
        <v>113</v>
      </c>
      <c r="J31" s="29"/>
      <c r="K31" s="27" t="s">
        <v>20</v>
      </c>
      <c r="L31" s="31" t="s">
        <v>68</v>
      </c>
      <c r="M31" s="27" t="s">
        <v>20</v>
      </c>
      <c r="N31" s="31" t="s">
        <v>68</v>
      </c>
      <c r="O31" s="27" t="s">
        <v>20</v>
      </c>
      <c r="P31" s="31" t="s">
        <v>68</v>
      </c>
      <c r="Q31" s="29"/>
      <c r="R31" s="49" t="s">
        <v>64</v>
      </c>
      <c r="S31" s="28" t="s">
        <v>114</v>
      </c>
      <c r="T31" s="27" t="s">
        <v>20</v>
      </c>
      <c r="U31" s="32" t="s">
        <v>70</v>
      </c>
      <c r="V31" s="27" t="s">
        <v>64</v>
      </c>
      <c r="W31" s="46" t="s">
        <v>116</v>
      </c>
      <c r="X31" s="186"/>
      <c r="Y31" s="27" t="s">
        <v>72</v>
      </c>
      <c r="Z31" s="28" t="s">
        <v>73</v>
      </c>
      <c r="AA31" s="27" t="s">
        <v>72</v>
      </c>
      <c r="AB31" s="28" t="s">
        <v>74</v>
      </c>
      <c r="AC31" s="200"/>
      <c r="AD31" s="27" t="s">
        <v>64</v>
      </c>
      <c r="AE31" s="34" t="s">
        <v>75</v>
      </c>
      <c r="AF31" s="27" t="s">
        <v>20</v>
      </c>
      <c r="AG31" s="28" t="s">
        <v>131</v>
      </c>
      <c r="AH31" s="27" t="s">
        <v>20</v>
      </c>
      <c r="AI31" s="28" t="s">
        <v>77</v>
      </c>
      <c r="AJ31" s="200"/>
      <c r="AK31" s="27" t="s">
        <v>20</v>
      </c>
      <c r="AL31" s="35" t="s">
        <v>78</v>
      </c>
      <c r="AM31" s="27" t="s">
        <v>20</v>
      </c>
      <c r="AN31" s="28" t="s">
        <v>79</v>
      </c>
      <c r="AO31" s="27" t="s">
        <v>20</v>
      </c>
      <c r="AP31" s="28" t="s">
        <v>80</v>
      </c>
      <c r="AQ31" s="200"/>
      <c r="AR31" s="27" t="s">
        <v>64</v>
      </c>
      <c r="AS31" s="28" t="s">
        <v>81</v>
      </c>
      <c r="AT31" s="27" t="s">
        <v>64</v>
      </c>
      <c r="AU31" s="28" t="s">
        <v>82</v>
      </c>
      <c r="AV31" s="27" t="s">
        <v>64</v>
      </c>
      <c r="AW31" s="28" t="s">
        <v>83</v>
      </c>
      <c r="AX31" s="27" t="s">
        <v>64</v>
      </c>
      <c r="AY31" s="28" t="s">
        <v>84</v>
      </c>
      <c r="AZ31" s="200"/>
      <c r="BA31" s="27" t="s">
        <v>20</v>
      </c>
      <c r="BB31" s="28" t="s">
        <v>124</v>
      </c>
      <c r="BC31" s="27" t="s">
        <v>20</v>
      </c>
      <c r="BD31" s="28" t="s">
        <v>125</v>
      </c>
      <c r="BE31" s="27" t="s">
        <v>20</v>
      </c>
      <c r="BF31" s="28" t="s">
        <v>87</v>
      </c>
      <c r="BG31" s="186"/>
      <c r="BH31" s="47" t="s">
        <v>20</v>
      </c>
      <c r="BI31" s="38" t="s">
        <v>140</v>
      </c>
      <c r="BJ31" s="45" t="s">
        <v>64</v>
      </c>
      <c r="BK31" s="38" t="s">
        <v>89</v>
      </c>
      <c r="BL31" s="200"/>
      <c r="BM31" s="27" t="s">
        <v>20</v>
      </c>
      <c r="BN31" s="39" t="s">
        <v>117</v>
      </c>
      <c r="BO31" s="186"/>
      <c r="BP31" s="33" t="s">
        <v>20</v>
      </c>
      <c r="BQ31" s="42" t="s">
        <v>118</v>
      </c>
      <c r="BR31" s="27" t="s">
        <v>20</v>
      </c>
      <c r="BS31" s="42" t="s">
        <v>118</v>
      </c>
      <c r="BT31" s="200"/>
      <c r="BU31" s="40"/>
      <c r="BV31" s="40"/>
      <c r="BW31" s="200"/>
      <c r="BX31" s="40"/>
      <c r="BY31" s="28">
        <v>1</v>
      </c>
      <c r="BZ31" s="197"/>
      <c r="CA31" s="41" t="s">
        <v>20</v>
      </c>
    </row>
    <row r="32" spans="1:79" ht="34.5" customHeight="1">
      <c r="A32" s="24">
        <v>20</v>
      </c>
      <c r="B32" s="25" t="s">
        <v>180</v>
      </c>
      <c r="C32" s="25" t="s">
        <v>181</v>
      </c>
      <c r="D32" s="25" t="s">
        <v>182</v>
      </c>
      <c r="E32" s="197"/>
      <c r="F32" s="27" t="s">
        <v>64</v>
      </c>
      <c r="G32" s="42" t="s">
        <v>96</v>
      </c>
      <c r="H32" s="27" t="s">
        <v>64</v>
      </c>
      <c r="I32" s="42" t="s">
        <v>96</v>
      </c>
      <c r="J32" s="29"/>
      <c r="K32" s="27" t="s">
        <v>64</v>
      </c>
      <c r="L32" s="30" t="s">
        <v>67</v>
      </c>
      <c r="M32" s="27" t="s">
        <v>102</v>
      </c>
      <c r="N32" s="28" t="s">
        <v>103</v>
      </c>
      <c r="O32" s="27" t="s">
        <v>102</v>
      </c>
      <c r="P32" s="28" t="s">
        <v>103</v>
      </c>
      <c r="Q32" s="29"/>
      <c r="R32" s="49" t="s">
        <v>20</v>
      </c>
      <c r="S32" s="28" t="s">
        <v>161</v>
      </c>
      <c r="T32" s="27" t="s">
        <v>20</v>
      </c>
      <c r="U32" s="32" t="s">
        <v>70</v>
      </c>
      <c r="V32" s="27" t="s">
        <v>64</v>
      </c>
      <c r="W32" s="46" t="s">
        <v>116</v>
      </c>
      <c r="X32" s="186"/>
      <c r="Y32" s="27" t="s">
        <v>20</v>
      </c>
      <c r="Z32" s="28" t="s">
        <v>73</v>
      </c>
      <c r="AA32" s="27" t="s">
        <v>20</v>
      </c>
      <c r="AB32" s="28" t="s">
        <v>74</v>
      </c>
      <c r="AC32" s="200"/>
      <c r="AD32" s="27" t="s">
        <v>102</v>
      </c>
      <c r="AE32" s="28" t="s">
        <v>105</v>
      </c>
      <c r="AF32" s="27" t="s">
        <v>64</v>
      </c>
      <c r="AG32" s="28" t="s">
        <v>76</v>
      </c>
      <c r="AH32" s="27" t="s">
        <v>102</v>
      </c>
      <c r="AI32" s="28" t="s">
        <v>105</v>
      </c>
      <c r="AJ32" s="200"/>
      <c r="AK32" s="27" t="s">
        <v>20</v>
      </c>
      <c r="AL32" s="35" t="s">
        <v>78</v>
      </c>
      <c r="AM32" s="27" t="s">
        <v>20</v>
      </c>
      <c r="AN32" s="28" t="s">
        <v>79</v>
      </c>
      <c r="AO32" s="27" t="s">
        <v>20</v>
      </c>
      <c r="AP32" s="28" t="s">
        <v>80</v>
      </c>
      <c r="AQ32" s="200"/>
      <c r="AR32" s="27" t="s">
        <v>64</v>
      </c>
      <c r="AS32" s="28" t="s">
        <v>81</v>
      </c>
      <c r="AT32" s="27" t="s">
        <v>64</v>
      </c>
      <c r="AU32" s="28" t="s">
        <v>82</v>
      </c>
      <c r="AV32" s="27" t="s">
        <v>64</v>
      </c>
      <c r="AW32" s="28" t="s">
        <v>83</v>
      </c>
      <c r="AX32" s="27" t="s">
        <v>64</v>
      </c>
      <c r="AY32" s="28" t="s">
        <v>84</v>
      </c>
      <c r="AZ32" s="200"/>
      <c r="BA32" s="27" t="s">
        <v>64</v>
      </c>
      <c r="BB32" s="28" t="s">
        <v>85</v>
      </c>
      <c r="BC32" s="27" t="s">
        <v>64</v>
      </c>
      <c r="BD32" s="28" t="s">
        <v>86</v>
      </c>
      <c r="BE32" s="27" t="s">
        <v>102</v>
      </c>
      <c r="BF32" s="28" t="s">
        <v>107</v>
      </c>
      <c r="BG32" s="186"/>
      <c r="BH32" s="47" t="s">
        <v>64</v>
      </c>
      <c r="BI32" s="55" t="s">
        <v>88</v>
      </c>
      <c r="BJ32" s="45" t="s">
        <v>102</v>
      </c>
      <c r="BK32" s="38" t="s">
        <v>108</v>
      </c>
      <c r="BL32" s="200"/>
      <c r="BM32" s="27" t="s">
        <v>20</v>
      </c>
      <c r="BN32" s="39" t="s">
        <v>90</v>
      </c>
      <c r="BO32" s="186"/>
      <c r="BP32" s="27" t="s">
        <v>20</v>
      </c>
      <c r="BQ32" s="28" t="s">
        <v>91</v>
      </c>
      <c r="BR32" s="27" t="s">
        <v>20</v>
      </c>
      <c r="BS32" s="28" t="s">
        <v>92</v>
      </c>
      <c r="BT32" s="200"/>
      <c r="BU32" s="40"/>
      <c r="BV32" s="28">
        <v>7</v>
      </c>
      <c r="BW32" s="200"/>
      <c r="BX32" s="40"/>
      <c r="BY32" s="28">
        <v>7</v>
      </c>
      <c r="BZ32" s="197"/>
      <c r="CA32" s="41" t="s">
        <v>20</v>
      </c>
    </row>
    <row r="33" spans="1:80" ht="34.5" customHeight="1">
      <c r="A33" s="24">
        <v>21</v>
      </c>
      <c r="B33" s="25" t="s">
        <v>183</v>
      </c>
      <c r="C33" s="25" t="s">
        <v>143</v>
      </c>
      <c r="D33" s="25" t="s">
        <v>184</v>
      </c>
      <c r="E33" s="197"/>
      <c r="F33" s="27" t="s">
        <v>64</v>
      </c>
      <c r="G33" s="42" t="s">
        <v>96</v>
      </c>
      <c r="H33" s="27" t="s">
        <v>20</v>
      </c>
      <c r="I33" s="28" t="s">
        <v>66</v>
      </c>
      <c r="J33" s="29"/>
      <c r="K33" s="27" t="s">
        <v>20</v>
      </c>
      <c r="L33" s="31" t="s">
        <v>68</v>
      </c>
      <c r="M33" s="27" t="s">
        <v>20</v>
      </c>
      <c r="N33" s="31" t="s">
        <v>68</v>
      </c>
      <c r="O33" s="27" t="s">
        <v>20</v>
      </c>
      <c r="P33" s="31" t="s">
        <v>68</v>
      </c>
      <c r="Q33" s="29"/>
      <c r="R33" s="49" t="s">
        <v>64</v>
      </c>
      <c r="S33" s="35" t="s">
        <v>114</v>
      </c>
      <c r="T33" s="27" t="s">
        <v>20</v>
      </c>
      <c r="U33" s="32" t="s">
        <v>70</v>
      </c>
      <c r="V33" s="27" t="s">
        <v>20</v>
      </c>
      <c r="W33" s="46" t="s">
        <v>116</v>
      </c>
      <c r="X33" s="186"/>
      <c r="Y33" s="27" t="s">
        <v>20</v>
      </c>
      <c r="Z33" s="28" t="s">
        <v>73</v>
      </c>
      <c r="AA33" s="27" t="s">
        <v>20</v>
      </c>
      <c r="AB33" s="28" t="s">
        <v>74</v>
      </c>
      <c r="AC33" s="200"/>
      <c r="AD33" s="27" t="s">
        <v>64</v>
      </c>
      <c r="AE33" s="34" t="s">
        <v>75</v>
      </c>
      <c r="AF33" s="27" t="s">
        <v>72</v>
      </c>
      <c r="AG33" s="28" t="s">
        <v>131</v>
      </c>
      <c r="AH33" s="27" t="s">
        <v>20</v>
      </c>
      <c r="AI33" s="28" t="s">
        <v>77</v>
      </c>
      <c r="AJ33" s="200"/>
      <c r="AK33" s="27" t="s">
        <v>20</v>
      </c>
      <c r="AL33" s="35" t="s">
        <v>78</v>
      </c>
      <c r="AM33" s="27" t="s">
        <v>20</v>
      </c>
      <c r="AN33" s="28" t="s">
        <v>79</v>
      </c>
      <c r="AO33" s="27" t="s">
        <v>20</v>
      </c>
      <c r="AP33" s="28" t="s">
        <v>80</v>
      </c>
      <c r="AQ33" s="200"/>
      <c r="AR33" s="27" t="s">
        <v>64</v>
      </c>
      <c r="AS33" s="28" t="s">
        <v>81</v>
      </c>
      <c r="AT33" s="27" t="s">
        <v>64</v>
      </c>
      <c r="AU33" s="28" t="s">
        <v>82</v>
      </c>
      <c r="AV33" s="27" t="s">
        <v>64</v>
      </c>
      <c r="AW33" s="28" t="s">
        <v>83</v>
      </c>
      <c r="AX33" s="27" t="s">
        <v>64</v>
      </c>
      <c r="AY33" s="28" t="s">
        <v>84</v>
      </c>
      <c r="AZ33" s="200"/>
      <c r="BA33" s="27" t="s">
        <v>20</v>
      </c>
      <c r="BB33" s="28" t="s">
        <v>124</v>
      </c>
      <c r="BC33" s="27" t="s">
        <v>20</v>
      </c>
      <c r="BD33" s="28" t="s">
        <v>125</v>
      </c>
      <c r="BE33" s="27" t="s">
        <v>20</v>
      </c>
      <c r="BF33" s="28" t="s">
        <v>87</v>
      </c>
      <c r="BG33" s="186"/>
      <c r="BH33" s="47" t="s">
        <v>64</v>
      </c>
      <c r="BI33" s="55" t="s">
        <v>88</v>
      </c>
      <c r="BJ33" s="45" t="s">
        <v>20</v>
      </c>
      <c r="BK33" s="38" t="s">
        <v>127</v>
      </c>
      <c r="BL33" s="200"/>
      <c r="BM33" s="27" t="s">
        <v>20</v>
      </c>
      <c r="BN33" s="39" t="s">
        <v>90</v>
      </c>
      <c r="BO33" s="186"/>
      <c r="BP33" s="27" t="s">
        <v>20</v>
      </c>
      <c r="BQ33" s="28" t="s">
        <v>91</v>
      </c>
      <c r="BR33" s="27" t="s">
        <v>20</v>
      </c>
      <c r="BS33" s="28" t="s">
        <v>92</v>
      </c>
      <c r="BT33" s="200"/>
      <c r="BU33" s="40"/>
      <c r="BV33" s="40"/>
      <c r="BW33" s="200"/>
      <c r="BX33" s="40"/>
      <c r="BY33" s="28">
        <v>4</v>
      </c>
      <c r="BZ33" s="197"/>
      <c r="CA33" s="41" t="s">
        <v>20</v>
      </c>
    </row>
    <row r="34" spans="1:80" ht="34.5" customHeight="1">
      <c r="A34" s="24">
        <v>22</v>
      </c>
      <c r="B34" s="26" t="s">
        <v>185</v>
      </c>
      <c r="C34" s="26" t="s">
        <v>186</v>
      </c>
      <c r="D34" s="26" t="s">
        <v>187</v>
      </c>
      <c r="E34" s="197"/>
      <c r="F34" s="27" t="s">
        <v>64</v>
      </c>
      <c r="G34" s="42" t="s">
        <v>96</v>
      </c>
      <c r="H34" s="27" t="s">
        <v>20</v>
      </c>
      <c r="I34" s="28" t="s">
        <v>66</v>
      </c>
      <c r="J34" s="29"/>
      <c r="K34" s="27" t="s">
        <v>20</v>
      </c>
      <c r="L34" s="31" t="s">
        <v>68</v>
      </c>
      <c r="M34" s="27" t="s">
        <v>20</v>
      </c>
      <c r="N34" s="31" t="s">
        <v>68</v>
      </c>
      <c r="O34" s="27" t="s">
        <v>20</v>
      </c>
      <c r="P34" s="31" t="s">
        <v>68</v>
      </c>
      <c r="Q34" s="29"/>
      <c r="R34" s="49" t="s">
        <v>64</v>
      </c>
      <c r="S34" s="35" t="s">
        <v>188</v>
      </c>
      <c r="T34" s="27" t="s">
        <v>20</v>
      </c>
      <c r="U34" s="32" t="s">
        <v>70</v>
      </c>
      <c r="V34" s="27" t="s">
        <v>20</v>
      </c>
      <c r="W34" s="46" t="s">
        <v>116</v>
      </c>
      <c r="X34" s="186"/>
      <c r="Y34" s="27" t="s">
        <v>20</v>
      </c>
      <c r="Z34" s="28" t="s">
        <v>73</v>
      </c>
      <c r="AA34" s="27" t="s">
        <v>20</v>
      </c>
      <c r="AB34" s="28" t="s">
        <v>74</v>
      </c>
      <c r="AC34" s="200"/>
      <c r="AD34" s="27" t="s">
        <v>64</v>
      </c>
      <c r="AE34" s="34" t="s">
        <v>75</v>
      </c>
      <c r="AF34" s="27" t="s">
        <v>64</v>
      </c>
      <c r="AG34" s="28" t="s">
        <v>76</v>
      </c>
      <c r="AH34" s="27" t="s">
        <v>64</v>
      </c>
      <c r="AI34" s="28" t="s">
        <v>123</v>
      </c>
      <c r="AJ34" s="200"/>
      <c r="AK34" s="27" t="s">
        <v>20</v>
      </c>
      <c r="AL34" s="35" t="s">
        <v>78</v>
      </c>
      <c r="AM34" s="27" t="s">
        <v>20</v>
      </c>
      <c r="AN34" s="28" t="s">
        <v>79</v>
      </c>
      <c r="AO34" s="27" t="s">
        <v>20</v>
      </c>
      <c r="AP34" s="28" t="s">
        <v>80</v>
      </c>
      <c r="AQ34" s="200"/>
      <c r="AR34" s="27" t="s">
        <v>64</v>
      </c>
      <c r="AS34" s="28" t="s">
        <v>81</v>
      </c>
      <c r="AT34" s="27" t="s">
        <v>64</v>
      </c>
      <c r="AU34" s="28" t="s">
        <v>82</v>
      </c>
      <c r="AV34" s="27" t="s">
        <v>64</v>
      </c>
      <c r="AW34" s="28" t="s">
        <v>83</v>
      </c>
      <c r="AX34" s="27" t="s">
        <v>64</v>
      </c>
      <c r="AY34" s="28" t="s">
        <v>84</v>
      </c>
      <c r="AZ34" s="200"/>
      <c r="BA34" s="27" t="s">
        <v>64</v>
      </c>
      <c r="BB34" s="28" t="s">
        <v>85</v>
      </c>
      <c r="BC34" s="27" t="s">
        <v>64</v>
      </c>
      <c r="BD34" s="28" t="s">
        <v>86</v>
      </c>
      <c r="BE34" s="27" t="s">
        <v>20</v>
      </c>
      <c r="BF34" s="28" t="s">
        <v>87</v>
      </c>
      <c r="BG34" s="186"/>
      <c r="BH34" s="47" t="s">
        <v>20</v>
      </c>
      <c r="BI34" s="38" t="s">
        <v>140</v>
      </c>
      <c r="BJ34" s="45" t="s">
        <v>20</v>
      </c>
      <c r="BK34" s="38" t="s">
        <v>127</v>
      </c>
      <c r="BL34" s="200"/>
      <c r="BM34" s="27" t="s">
        <v>20</v>
      </c>
      <c r="BN34" s="39" t="s">
        <v>117</v>
      </c>
      <c r="BO34" s="186"/>
      <c r="BP34" s="33" t="s">
        <v>20</v>
      </c>
      <c r="BQ34" s="42" t="s">
        <v>118</v>
      </c>
      <c r="BR34" s="27" t="s">
        <v>20</v>
      </c>
      <c r="BS34" s="42" t="s">
        <v>118</v>
      </c>
      <c r="BT34" s="200"/>
      <c r="BU34" s="40"/>
      <c r="BV34" s="28">
        <v>2</v>
      </c>
      <c r="BW34" s="200"/>
      <c r="BX34" s="40"/>
      <c r="BY34" s="40"/>
      <c r="BZ34" s="197"/>
      <c r="CA34" s="41" t="s">
        <v>20</v>
      </c>
    </row>
    <row r="35" spans="1:80" ht="34.5" customHeight="1">
      <c r="A35" s="24">
        <v>23</v>
      </c>
      <c r="B35" s="25" t="s">
        <v>189</v>
      </c>
      <c r="C35" s="25" t="s">
        <v>190</v>
      </c>
      <c r="D35" s="25" t="s">
        <v>191</v>
      </c>
      <c r="E35" s="197"/>
      <c r="F35" s="27" t="s">
        <v>64</v>
      </c>
      <c r="G35" s="42" t="s">
        <v>96</v>
      </c>
      <c r="H35" s="27" t="s">
        <v>64</v>
      </c>
      <c r="I35" s="42" t="s">
        <v>96</v>
      </c>
      <c r="J35" s="29"/>
      <c r="K35" s="27" t="s">
        <v>64</v>
      </c>
      <c r="L35" s="30" t="s">
        <v>67</v>
      </c>
      <c r="M35" s="27" t="s">
        <v>102</v>
      </c>
      <c r="N35" s="28" t="s">
        <v>103</v>
      </c>
      <c r="O35" s="27" t="s">
        <v>102</v>
      </c>
      <c r="P35" s="28" t="s">
        <v>103</v>
      </c>
      <c r="Q35" s="29"/>
      <c r="R35" s="49" t="s">
        <v>102</v>
      </c>
      <c r="S35" s="179" t="s">
        <v>122</v>
      </c>
      <c r="T35" s="27" t="s">
        <v>64</v>
      </c>
      <c r="U35" s="32" t="s">
        <v>115</v>
      </c>
      <c r="V35" s="27" t="s">
        <v>64</v>
      </c>
      <c r="W35" s="46" t="s">
        <v>116</v>
      </c>
      <c r="X35" s="186"/>
      <c r="Y35" s="27" t="s">
        <v>20</v>
      </c>
      <c r="Z35" s="28" t="s">
        <v>73</v>
      </c>
      <c r="AA35" s="27" t="s">
        <v>102</v>
      </c>
      <c r="AB35" s="28" t="s">
        <v>169</v>
      </c>
      <c r="AC35" s="200"/>
      <c r="AD35" s="27" t="s">
        <v>64</v>
      </c>
      <c r="AE35" s="34" t="s">
        <v>75</v>
      </c>
      <c r="AF35" s="27" t="s">
        <v>102</v>
      </c>
      <c r="AG35" s="28" t="s">
        <v>105</v>
      </c>
      <c r="AH35" s="27" t="s">
        <v>102</v>
      </c>
      <c r="AI35" s="28" t="s">
        <v>105</v>
      </c>
      <c r="AJ35" s="200"/>
      <c r="AK35" s="27" t="s">
        <v>20</v>
      </c>
      <c r="AL35" s="35" t="s">
        <v>78</v>
      </c>
      <c r="AM35" s="27" t="s">
        <v>20</v>
      </c>
      <c r="AN35" s="28" t="s">
        <v>79</v>
      </c>
      <c r="AO35" s="27" t="s">
        <v>20</v>
      </c>
      <c r="AP35" s="28" t="s">
        <v>80</v>
      </c>
      <c r="AQ35" s="200"/>
      <c r="AR35" s="27" t="s">
        <v>64</v>
      </c>
      <c r="AS35" s="28" t="s">
        <v>81</v>
      </c>
      <c r="AT35" s="27" t="s">
        <v>64</v>
      </c>
      <c r="AU35" s="28" t="s">
        <v>82</v>
      </c>
      <c r="AV35" s="27" t="s">
        <v>64</v>
      </c>
      <c r="AW35" s="28" t="s">
        <v>83</v>
      </c>
      <c r="AX35" s="27" t="s">
        <v>64</v>
      </c>
      <c r="AY35" s="28" t="s">
        <v>84</v>
      </c>
      <c r="AZ35" s="200"/>
      <c r="BA35" s="27" t="s">
        <v>64</v>
      </c>
      <c r="BB35" s="28" t="s">
        <v>85</v>
      </c>
      <c r="BC35" s="27" t="s">
        <v>64</v>
      </c>
      <c r="BD35" s="28" t="s">
        <v>86</v>
      </c>
      <c r="BE35" s="27" t="s">
        <v>102</v>
      </c>
      <c r="BF35" s="28" t="s">
        <v>107</v>
      </c>
      <c r="BG35" s="186"/>
      <c r="BH35" s="47" t="s">
        <v>102</v>
      </c>
      <c r="BI35" s="38" t="s">
        <v>108</v>
      </c>
      <c r="BJ35" s="45" t="s">
        <v>64</v>
      </c>
      <c r="BK35" s="38" t="s">
        <v>89</v>
      </c>
      <c r="BL35" s="200"/>
      <c r="BM35" s="27" t="s">
        <v>20</v>
      </c>
      <c r="BN35" s="39" t="s">
        <v>90</v>
      </c>
      <c r="BO35" s="186"/>
      <c r="BP35" s="27" t="s">
        <v>20</v>
      </c>
      <c r="BQ35" s="28" t="s">
        <v>91</v>
      </c>
      <c r="BR35" s="27" t="s">
        <v>20</v>
      </c>
      <c r="BS35" s="28" t="s">
        <v>92</v>
      </c>
      <c r="BT35" s="200"/>
      <c r="BU35" s="40"/>
      <c r="BV35" s="28">
        <v>3</v>
      </c>
      <c r="BW35" s="200"/>
      <c r="BX35" s="40"/>
      <c r="BY35" s="28">
        <v>1</v>
      </c>
      <c r="BZ35" s="197"/>
      <c r="CA35" s="41" t="s">
        <v>20</v>
      </c>
    </row>
    <row r="36" spans="1:80" ht="34.5" customHeight="1">
      <c r="A36" s="24">
        <v>24</v>
      </c>
      <c r="B36" s="25" t="s">
        <v>192</v>
      </c>
      <c r="C36" s="25" t="s">
        <v>193</v>
      </c>
      <c r="D36" s="25" t="s">
        <v>194</v>
      </c>
      <c r="E36" s="197"/>
      <c r="F36" s="27" t="s">
        <v>102</v>
      </c>
      <c r="G36" s="28" t="s">
        <v>195</v>
      </c>
      <c r="H36" s="27" t="s">
        <v>64</v>
      </c>
      <c r="I36" s="42" t="s">
        <v>96</v>
      </c>
      <c r="J36" s="29"/>
      <c r="K36" s="27" t="s">
        <v>102</v>
      </c>
      <c r="L36" s="28" t="s">
        <v>103</v>
      </c>
      <c r="M36" s="27" t="s">
        <v>102</v>
      </c>
      <c r="N36" s="28" t="s">
        <v>103</v>
      </c>
      <c r="O36" s="27" t="s">
        <v>102</v>
      </c>
      <c r="P36" s="28" t="s">
        <v>103</v>
      </c>
      <c r="Q36" s="29"/>
      <c r="R36" s="49" t="s">
        <v>64</v>
      </c>
      <c r="S36" s="28" t="s">
        <v>196</v>
      </c>
      <c r="T36" s="27" t="s">
        <v>20</v>
      </c>
      <c r="U36" s="32" t="s">
        <v>70</v>
      </c>
      <c r="V36" s="27" t="s">
        <v>20</v>
      </c>
      <c r="W36" s="32" t="s">
        <v>71</v>
      </c>
      <c r="X36" s="186"/>
      <c r="Y36" s="27" t="s">
        <v>64</v>
      </c>
      <c r="Z36" s="28" t="s">
        <v>97</v>
      </c>
      <c r="AA36" s="27" t="s">
        <v>102</v>
      </c>
      <c r="AB36" s="28" t="s">
        <v>169</v>
      </c>
      <c r="AC36" s="200"/>
      <c r="AD36" s="27" t="s">
        <v>64</v>
      </c>
      <c r="AE36" s="34" t="s">
        <v>75</v>
      </c>
      <c r="AF36" s="27" t="s">
        <v>64</v>
      </c>
      <c r="AG36" s="28" t="s">
        <v>76</v>
      </c>
      <c r="AH36" s="27" t="s">
        <v>64</v>
      </c>
      <c r="AI36" s="28" t="s">
        <v>123</v>
      </c>
      <c r="AJ36" s="200"/>
      <c r="AK36" s="27" t="s">
        <v>20</v>
      </c>
      <c r="AL36" s="35" t="s">
        <v>78</v>
      </c>
      <c r="AM36" s="27" t="s">
        <v>20</v>
      </c>
      <c r="AN36" s="28" t="s">
        <v>79</v>
      </c>
      <c r="AO36" s="27" t="s">
        <v>20</v>
      </c>
      <c r="AP36" s="28" t="s">
        <v>80</v>
      </c>
      <c r="AQ36" s="200"/>
      <c r="AR36" s="27" t="s">
        <v>20</v>
      </c>
      <c r="AS36" s="28" t="s">
        <v>197</v>
      </c>
      <c r="AT36" s="27" t="s">
        <v>20</v>
      </c>
      <c r="AU36" s="28" t="s">
        <v>198</v>
      </c>
      <c r="AV36" s="27" t="s">
        <v>20</v>
      </c>
      <c r="AW36" s="28" t="s">
        <v>199</v>
      </c>
      <c r="AX36" s="27" t="s">
        <v>20</v>
      </c>
      <c r="AY36" s="28" t="s">
        <v>200</v>
      </c>
      <c r="AZ36" s="200"/>
      <c r="BA36" s="27" t="s">
        <v>64</v>
      </c>
      <c r="BB36" s="28" t="s">
        <v>85</v>
      </c>
      <c r="BC36" s="27" t="s">
        <v>64</v>
      </c>
      <c r="BD36" s="28" t="s">
        <v>86</v>
      </c>
      <c r="BE36" s="27" t="s">
        <v>102</v>
      </c>
      <c r="BF36" s="28" t="s">
        <v>107</v>
      </c>
      <c r="BG36" s="186"/>
      <c r="BH36" s="47" t="s">
        <v>102</v>
      </c>
      <c r="BI36" s="38" t="s">
        <v>108</v>
      </c>
      <c r="BJ36" s="45" t="s">
        <v>64</v>
      </c>
      <c r="BK36" s="38" t="s">
        <v>89</v>
      </c>
      <c r="BL36" s="200"/>
      <c r="BM36" s="27" t="s">
        <v>20</v>
      </c>
      <c r="BN36" s="39" t="s">
        <v>117</v>
      </c>
      <c r="BO36" s="186"/>
      <c r="BP36" s="27" t="s">
        <v>64</v>
      </c>
      <c r="BQ36" s="42" t="s">
        <v>109</v>
      </c>
      <c r="BR36" s="27" t="s">
        <v>102</v>
      </c>
      <c r="BS36" s="28" t="s">
        <v>201</v>
      </c>
      <c r="BT36" s="200"/>
      <c r="BU36" s="40"/>
      <c r="BV36" s="28">
        <v>7</v>
      </c>
      <c r="BW36" s="200"/>
      <c r="BX36" s="40"/>
      <c r="BY36" s="28">
        <v>1</v>
      </c>
      <c r="BZ36" s="197"/>
      <c r="CA36" s="41" t="s">
        <v>20</v>
      </c>
    </row>
    <row r="37" spans="1:80" ht="34.5" customHeight="1">
      <c r="A37" s="24">
        <v>25</v>
      </c>
      <c r="B37" s="25" t="s">
        <v>202</v>
      </c>
      <c r="C37" s="25" t="s">
        <v>203</v>
      </c>
      <c r="D37" s="25" t="s">
        <v>204</v>
      </c>
      <c r="E37" s="197"/>
      <c r="F37" s="27" t="s">
        <v>64</v>
      </c>
      <c r="G37" s="42" t="s">
        <v>96</v>
      </c>
      <c r="H37" s="27" t="s">
        <v>64</v>
      </c>
      <c r="I37" s="42" t="s">
        <v>96</v>
      </c>
      <c r="J37" s="29"/>
      <c r="K37" s="27" t="s">
        <v>64</v>
      </c>
      <c r="L37" s="30" t="s">
        <v>67</v>
      </c>
      <c r="M37" s="27" t="s">
        <v>64</v>
      </c>
      <c r="N37" s="30" t="s">
        <v>67</v>
      </c>
      <c r="O37" s="27" t="s">
        <v>64</v>
      </c>
      <c r="P37" s="30" t="s">
        <v>67</v>
      </c>
      <c r="Q37" s="29"/>
      <c r="R37" s="49" t="s">
        <v>64</v>
      </c>
      <c r="S37" s="28" t="s">
        <v>205</v>
      </c>
      <c r="T37" s="27" t="s">
        <v>20</v>
      </c>
      <c r="U37" s="32" t="s">
        <v>70</v>
      </c>
      <c r="V37" s="27" t="s">
        <v>20</v>
      </c>
      <c r="W37" s="32" t="s">
        <v>71</v>
      </c>
      <c r="X37" s="186"/>
      <c r="Y37" s="27" t="s">
        <v>20</v>
      </c>
      <c r="Z37" s="28" t="s">
        <v>73</v>
      </c>
      <c r="AA37" s="27" t="s">
        <v>20</v>
      </c>
      <c r="AB37" s="28" t="s">
        <v>74</v>
      </c>
      <c r="AC37" s="200"/>
      <c r="AD37" s="27" t="s">
        <v>64</v>
      </c>
      <c r="AE37" s="34" t="s">
        <v>75</v>
      </c>
      <c r="AF37" s="27" t="s">
        <v>102</v>
      </c>
      <c r="AG37" s="28" t="s">
        <v>105</v>
      </c>
      <c r="AH37" s="27" t="s">
        <v>102</v>
      </c>
      <c r="AI37" s="28" t="s">
        <v>105</v>
      </c>
      <c r="AJ37" s="200"/>
      <c r="AK37" s="27" t="s">
        <v>20</v>
      </c>
      <c r="AL37" s="35" t="s">
        <v>78</v>
      </c>
      <c r="AM37" s="27" t="s">
        <v>20</v>
      </c>
      <c r="AN37" s="28" t="s">
        <v>79</v>
      </c>
      <c r="AO37" s="27" t="s">
        <v>20</v>
      </c>
      <c r="AP37" s="28" t="s">
        <v>80</v>
      </c>
      <c r="AQ37" s="200"/>
      <c r="AR37" s="27" t="s">
        <v>64</v>
      </c>
      <c r="AS37" s="28" t="s">
        <v>81</v>
      </c>
      <c r="AT37" s="27" t="s">
        <v>64</v>
      </c>
      <c r="AU37" s="28" t="s">
        <v>82</v>
      </c>
      <c r="AV37" s="27" t="s">
        <v>64</v>
      </c>
      <c r="AW37" s="28" t="s">
        <v>83</v>
      </c>
      <c r="AX37" s="27" t="s">
        <v>64</v>
      </c>
      <c r="AY37" s="28" t="s">
        <v>84</v>
      </c>
      <c r="AZ37" s="200"/>
      <c r="BA37" s="27" t="s">
        <v>64</v>
      </c>
      <c r="BB37" s="28" t="s">
        <v>85</v>
      </c>
      <c r="BC37" s="27" t="s">
        <v>102</v>
      </c>
      <c r="BD37" s="28" t="s">
        <v>206</v>
      </c>
      <c r="BE37" s="27" t="s">
        <v>102</v>
      </c>
      <c r="BF37" s="28" t="s">
        <v>107</v>
      </c>
      <c r="BG37" s="186"/>
      <c r="BH37" s="47" t="s">
        <v>64</v>
      </c>
      <c r="BI37" s="55" t="s">
        <v>88</v>
      </c>
      <c r="BJ37" s="45" t="s">
        <v>102</v>
      </c>
      <c r="BK37" s="38" t="s">
        <v>108</v>
      </c>
      <c r="BL37" s="200"/>
      <c r="BM37" s="27" t="s">
        <v>20</v>
      </c>
      <c r="BN37" s="39" t="s">
        <v>90</v>
      </c>
      <c r="BO37" s="186"/>
      <c r="BP37" s="27" t="s">
        <v>20</v>
      </c>
      <c r="BQ37" s="28" t="s">
        <v>91</v>
      </c>
      <c r="BR37" s="27" t="s">
        <v>20</v>
      </c>
      <c r="BS37" s="28" t="s">
        <v>92</v>
      </c>
      <c r="BT37" s="200"/>
      <c r="BU37" s="40"/>
      <c r="BV37" s="28">
        <v>1</v>
      </c>
      <c r="BW37" s="200"/>
      <c r="BX37" s="40"/>
      <c r="BY37" s="40"/>
      <c r="BZ37" s="197"/>
      <c r="CA37" s="41" t="s">
        <v>20</v>
      </c>
    </row>
    <row r="38" spans="1:80" ht="34.5" customHeight="1">
      <c r="A38" s="24">
        <v>26</v>
      </c>
      <c r="B38" s="25" t="s">
        <v>207</v>
      </c>
      <c r="C38" s="25" t="s">
        <v>208</v>
      </c>
      <c r="D38" s="25" t="s">
        <v>209</v>
      </c>
      <c r="E38" s="197"/>
      <c r="F38" s="27" t="s">
        <v>64</v>
      </c>
      <c r="G38" s="42" t="s">
        <v>96</v>
      </c>
      <c r="H38" s="27" t="s">
        <v>64</v>
      </c>
      <c r="I38" s="42" t="s">
        <v>96</v>
      </c>
      <c r="J38" s="29"/>
      <c r="K38" s="27" t="s">
        <v>64</v>
      </c>
      <c r="L38" s="30" t="s">
        <v>67</v>
      </c>
      <c r="M38" s="27" t="s">
        <v>20</v>
      </c>
      <c r="N38" s="31" t="s">
        <v>68</v>
      </c>
      <c r="O38" s="27" t="s">
        <v>20</v>
      </c>
      <c r="P38" s="31" t="s">
        <v>68</v>
      </c>
      <c r="Q38" s="29"/>
      <c r="R38" s="49" t="s">
        <v>64</v>
      </c>
      <c r="S38" s="28" t="s">
        <v>205</v>
      </c>
      <c r="T38" s="27" t="s">
        <v>64</v>
      </c>
      <c r="U38" s="32" t="s">
        <v>115</v>
      </c>
      <c r="V38" s="27" t="s">
        <v>64</v>
      </c>
      <c r="W38" s="46" t="s">
        <v>116</v>
      </c>
      <c r="X38" s="186"/>
      <c r="Y38" s="27" t="s">
        <v>20</v>
      </c>
      <c r="Z38" s="28" t="s">
        <v>73</v>
      </c>
      <c r="AA38" s="27" t="s">
        <v>102</v>
      </c>
      <c r="AB38" s="28" t="s">
        <v>169</v>
      </c>
      <c r="AC38" s="200"/>
      <c r="AD38" s="27" t="s">
        <v>64</v>
      </c>
      <c r="AE38" s="34" t="s">
        <v>75</v>
      </c>
      <c r="AF38" s="27" t="s">
        <v>102</v>
      </c>
      <c r="AG38" s="28" t="s">
        <v>105</v>
      </c>
      <c r="AH38" s="27" t="s">
        <v>64</v>
      </c>
      <c r="AI38" s="28" t="s">
        <v>123</v>
      </c>
      <c r="AJ38" s="200"/>
      <c r="AK38" s="27" t="s">
        <v>20</v>
      </c>
      <c r="AL38" s="35" t="s">
        <v>78</v>
      </c>
      <c r="AM38" s="27" t="s">
        <v>20</v>
      </c>
      <c r="AN38" s="28" t="s">
        <v>79</v>
      </c>
      <c r="AO38" s="27" t="s">
        <v>20</v>
      </c>
      <c r="AP38" s="28" t="s">
        <v>80</v>
      </c>
      <c r="AQ38" s="200"/>
      <c r="AR38" s="27" t="s">
        <v>64</v>
      </c>
      <c r="AS38" s="28" t="s">
        <v>81</v>
      </c>
      <c r="AT38" s="27" t="s">
        <v>64</v>
      </c>
      <c r="AU38" s="28" t="s">
        <v>82</v>
      </c>
      <c r="AV38" s="27" t="s">
        <v>64</v>
      </c>
      <c r="AW38" s="28" t="s">
        <v>83</v>
      </c>
      <c r="AX38" s="27" t="s">
        <v>64</v>
      </c>
      <c r="AY38" s="28" t="s">
        <v>84</v>
      </c>
      <c r="AZ38" s="200"/>
      <c r="BA38" s="27" t="s">
        <v>64</v>
      </c>
      <c r="BB38" s="28" t="s">
        <v>85</v>
      </c>
      <c r="BC38" s="27" t="s">
        <v>64</v>
      </c>
      <c r="BD38" s="28" t="s">
        <v>86</v>
      </c>
      <c r="BE38" s="27" t="s">
        <v>102</v>
      </c>
      <c r="BF38" s="28" t="s">
        <v>107</v>
      </c>
      <c r="BG38" s="186"/>
      <c r="BH38" s="47" t="s">
        <v>64</v>
      </c>
      <c r="BI38" s="55" t="s">
        <v>88</v>
      </c>
      <c r="BJ38" s="45" t="s">
        <v>64</v>
      </c>
      <c r="BK38" s="38" t="s">
        <v>89</v>
      </c>
      <c r="BL38" s="200"/>
      <c r="BM38" s="27" t="s">
        <v>20</v>
      </c>
      <c r="BN38" s="39" t="s">
        <v>90</v>
      </c>
      <c r="BO38" s="186"/>
      <c r="BP38" s="27" t="s">
        <v>20</v>
      </c>
      <c r="BQ38" s="28" t="s">
        <v>91</v>
      </c>
      <c r="BR38" s="27" t="s">
        <v>20</v>
      </c>
      <c r="BS38" s="28" t="s">
        <v>92</v>
      </c>
      <c r="BT38" s="200"/>
      <c r="BU38" s="40"/>
      <c r="BV38" s="40"/>
      <c r="BW38" s="200"/>
      <c r="BX38" s="40"/>
      <c r="BY38" s="28">
        <v>1</v>
      </c>
      <c r="BZ38" s="197"/>
      <c r="CA38" s="41" t="s">
        <v>20</v>
      </c>
    </row>
    <row r="39" spans="1:80" ht="34.5" customHeight="1">
      <c r="A39" s="24">
        <v>27</v>
      </c>
      <c r="B39" s="26" t="s">
        <v>210</v>
      </c>
      <c r="C39" s="26" t="s">
        <v>211</v>
      </c>
      <c r="D39" s="26" t="s">
        <v>212</v>
      </c>
      <c r="E39" s="197"/>
      <c r="F39" s="27" t="s">
        <v>20</v>
      </c>
      <c r="G39" s="28" t="s">
        <v>66</v>
      </c>
      <c r="H39" s="27" t="s">
        <v>64</v>
      </c>
      <c r="I39" s="42" t="s">
        <v>96</v>
      </c>
      <c r="J39" s="29"/>
      <c r="K39" s="27" t="s">
        <v>64</v>
      </c>
      <c r="L39" s="30" t="s">
        <v>67</v>
      </c>
      <c r="M39" s="27" t="s">
        <v>64</v>
      </c>
      <c r="N39" s="30" t="s">
        <v>67</v>
      </c>
      <c r="O39" s="27" t="s">
        <v>64</v>
      </c>
      <c r="P39" s="30" t="s">
        <v>67</v>
      </c>
      <c r="Q39" s="29"/>
      <c r="R39" s="49" t="s">
        <v>20</v>
      </c>
      <c r="S39" s="28" t="s">
        <v>213</v>
      </c>
      <c r="T39" s="27" t="s">
        <v>20</v>
      </c>
      <c r="U39" s="32" t="s">
        <v>70</v>
      </c>
      <c r="V39" s="27" t="s">
        <v>20</v>
      </c>
      <c r="W39" s="32" t="s">
        <v>71</v>
      </c>
      <c r="X39" s="186"/>
      <c r="Y39" s="27" t="s">
        <v>64</v>
      </c>
      <c r="Z39" s="28" t="s">
        <v>97</v>
      </c>
      <c r="AA39" s="27" t="s">
        <v>102</v>
      </c>
      <c r="AB39" s="28" t="s">
        <v>169</v>
      </c>
      <c r="AC39" s="200"/>
      <c r="AD39" s="27" t="s">
        <v>64</v>
      </c>
      <c r="AE39" s="34" t="s">
        <v>75</v>
      </c>
      <c r="AF39" s="27" t="s">
        <v>20</v>
      </c>
      <c r="AG39" s="28" t="s">
        <v>131</v>
      </c>
      <c r="AH39" s="27" t="s">
        <v>64</v>
      </c>
      <c r="AI39" s="28" t="s">
        <v>123</v>
      </c>
      <c r="AJ39" s="200"/>
      <c r="AK39" s="27" t="s">
        <v>20</v>
      </c>
      <c r="AL39" s="35" t="s">
        <v>78</v>
      </c>
      <c r="AM39" s="27" t="s">
        <v>20</v>
      </c>
      <c r="AN39" s="28" t="s">
        <v>79</v>
      </c>
      <c r="AO39" s="27" t="s">
        <v>20</v>
      </c>
      <c r="AP39" s="28" t="s">
        <v>80</v>
      </c>
      <c r="AQ39" s="200"/>
      <c r="AR39" s="27" t="s">
        <v>64</v>
      </c>
      <c r="AS39" s="28" t="s">
        <v>81</v>
      </c>
      <c r="AT39" s="27" t="s">
        <v>64</v>
      </c>
      <c r="AU39" s="28" t="s">
        <v>82</v>
      </c>
      <c r="AV39" s="27" t="s">
        <v>64</v>
      </c>
      <c r="AW39" s="28" t="s">
        <v>83</v>
      </c>
      <c r="AX39" s="27" t="s">
        <v>64</v>
      </c>
      <c r="AY39" s="28" t="s">
        <v>84</v>
      </c>
      <c r="AZ39" s="200"/>
      <c r="BA39" s="27" t="s">
        <v>20</v>
      </c>
      <c r="BB39" s="28" t="s">
        <v>124</v>
      </c>
      <c r="BC39" s="27" t="s">
        <v>20</v>
      </c>
      <c r="BD39" s="28" t="s">
        <v>125</v>
      </c>
      <c r="BE39" s="27" t="s">
        <v>20</v>
      </c>
      <c r="BF39" s="28" t="s">
        <v>87</v>
      </c>
      <c r="BG39" s="186"/>
      <c r="BH39" s="47" t="s">
        <v>102</v>
      </c>
      <c r="BI39" s="38" t="s">
        <v>108</v>
      </c>
      <c r="BJ39" s="45" t="s">
        <v>64</v>
      </c>
      <c r="BK39" s="38" t="s">
        <v>89</v>
      </c>
      <c r="BL39" s="200"/>
      <c r="BM39" s="27" t="s">
        <v>20</v>
      </c>
      <c r="BN39" s="39" t="s">
        <v>117</v>
      </c>
      <c r="BO39" s="186"/>
      <c r="BP39" s="27" t="s">
        <v>20</v>
      </c>
      <c r="BQ39" s="42" t="s">
        <v>118</v>
      </c>
      <c r="BR39" s="27" t="s">
        <v>20</v>
      </c>
      <c r="BS39" s="42" t="s">
        <v>118</v>
      </c>
      <c r="BT39" s="200"/>
      <c r="BU39" s="40"/>
      <c r="BV39" s="40"/>
      <c r="BW39" s="200"/>
      <c r="BX39" s="40"/>
      <c r="BY39" s="28">
        <v>3</v>
      </c>
      <c r="BZ39" s="197"/>
      <c r="CA39" s="41" t="s">
        <v>20</v>
      </c>
    </row>
    <row r="40" spans="1:80" ht="34.5" customHeight="1">
      <c r="A40" s="24">
        <v>28</v>
      </c>
      <c r="B40" s="26" t="s">
        <v>210</v>
      </c>
      <c r="C40" s="26" t="s">
        <v>214</v>
      </c>
      <c r="D40" s="26" t="s">
        <v>215</v>
      </c>
      <c r="E40" s="197"/>
      <c r="F40" s="27" t="s">
        <v>64</v>
      </c>
      <c r="G40" s="42" t="s">
        <v>96</v>
      </c>
      <c r="H40" s="27" t="s">
        <v>20</v>
      </c>
      <c r="I40" s="28" t="s">
        <v>66</v>
      </c>
      <c r="J40" s="29"/>
      <c r="K40" s="27" t="s">
        <v>20</v>
      </c>
      <c r="L40" s="31" t="s">
        <v>68</v>
      </c>
      <c r="M40" s="27" t="s">
        <v>20</v>
      </c>
      <c r="N40" s="31" t="s">
        <v>68</v>
      </c>
      <c r="O40" s="27" t="s">
        <v>20</v>
      </c>
      <c r="P40" s="31" t="s">
        <v>68</v>
      </c>
      <c r="Q40" s="29"/>
      <c r="R40" s="49" t="s">
        <v>20</v>
      </c>
      <c r="S40" s="28" t="s">
        <v>213</v>
      </c>
      <c r="T40" s="27" t="s">
        <v>64</v>
      </c>
      <c r="U40" s="32" t="s">
        <v>115</v>
      </c>
      <c r="V40" s="27" t="s">
        <v>64</v>
      </c>
      <c r="W40" s="46" t="s">
        <v>116</v>
      </c>
      <c r="X40" s="186"/>
      <c r="Y40" s="27" t="s">
        <v>20</v>
      </c>
      <c r="Z40" s="28" t="s">
        <v>73</v>
      </c>
      <c r="AA40" s="27" t="s">
        <v>72</v>
      </c>
      <c r="AB40" s="28" t="s">
        <v>74</v>
      </c>
      <c r="AC40" s="200"/>
      <c r="AD40" s="27" t="s">
        <v>20</v>
      </c>
      <c r="AE40" s="34" t="s">
        <v>75</v>
      </c>
      <c r="AF40" s="27" t="s">
        <v>20</v>
      </c>
      <c r="AG40" s="28" t="s">
        <v>131</v>
      </c>
      <c r="AH40" s="27" t="s">
        <v>20</v>
      </c>
      <c r="AI40" s="28" t="s">
        <v>77</v>
      </c>
      <c r="AJ40" s="200"/>
      <c r="AK40" s="27" t="s">
        <v>20</v>
      </c>
      <c r="AL40" s="35" t="s">
        <v>78</v>
      </c>
      <c r="AM40" s="27" t="s">
        <v>20</v>
      </c>
      <c r="AN40" s="28" t="s">
        <v>79</v>
      </c>
      <c r="AO40" s="27" t="s">
        <v>20</v>
      </c>
      <c r="AP40" s="28" t="s">
        <v>80</v>
      </c>
      <c r="AQ40" s="200"/>
      <c r="AR40" s="27" t="s">
        <v>20</v>
      </c>
      <c r="AS40" s="28" t="s">
        <v>197</v>
      </c>
      <c r="AT40" s="27" t="s">
        <v>20</v>
      </c>
      <c r="AU40" s="28" t="s">
        <v>198</v>
      </c>
      <c r="AV40" s="27" t="s">
        <v>20</v>
      </c>
      <c r="AW40" s="28" t="s">
        <v>199</v>
      </c>
      <c r="AX40" s="27" t="s">
        <v>20</v>
      </c>
      <c r="AY40" s="28" t="s">
        <v>200</v>
      </c>
      <c r="AZ40" s="200"/>
      <c r="BA40" s="27" t="s">
        <v>20</v>
      </c>
      <c r="BB40" s="28" t="s">
        <v>124</v>
      </c>
      <c r="BC40" s="27" t="s">
        <v>20</v>
      </c>
      <c r="BD40" s="28" t="s">
        <v>125</v>
      </c>
      <c r="BE40" s="27" t="s">
        <v>20</v>
      </c>
      <c r="BF40" s="28" t="s">
        <v>87</v>
      </c>
      <c r="BG40" s="186"/>
      <c r="BH40" s="47" t="s">
        <v>102</v>
      </c>
      <c r="BI40" s="38" t="s">
        <v>108</v>
      </c>
      <c r="BJ40" s="45" t="s">
        <v>64</v>
      </c>
      <c r="BK40" s="38" t="s">
        <v>89</v>
      </c>
      <c r="BL40" s="200"/>
      <c r="BM40" s="27" t="s">
        <v>72</v>
      </c>
      <c r="BN40" s="39" t="s">
        <v>216</v>
      </c>
      <c r="BO40" s="186"/>
      <c r="BP40" s="27" t="s">
        <v>20</v>
      </c>
      <c r="BQ40" s="42" t="s">
        <v>118</v>
      </c>
      <c r="BR40" s="27" t="s">
        <v>20</v>
      </c>
      <c r="BS40" s="42" t="s">
        <v>118</v>
      </c>
      <c r="BT40" s="200"/>
      <c r="BU40" s="40"/>
      <c r="BV40" s="40"/>
      <c r="BW40" s="200"/>
      <c r="BX40" s="40"/>
      <c r="BY40" s="28">
        <v>2</v>
      </c>
      <c r="BZ40" s="197"/>
      <c r="CA40" s="41" t="s">
        <v>20</v>
      </c>
    </row>
    <row r="41" spans="1:80" ht="34.5" customHeight="1">
      <c r="A41" s="57">
        <v>29</v>
      </c>
      <c r="B41" s="25" t="s">
        <v>217</v>
      </c>
      <c r="C41" s="25" t="s">
        <v>155</v>
      </c>
      <c r="D41" s="25" t="s">
        <v>218</v>
      </c>
      <c r="E41" s="198"/>
      <c r="F41" s="27" t="s">
        <v>64</v>
      </c>
      <c r="G41" s="42" t="s">
        <v>96</v>
      </c>
      <c r="H41" s="27" t="s">
        <v>64</v>
      </c>
      <c r="I41" s="42" t="s">
        <v>96</v>
      </c>
      <c r="J41" s="29"/>
      <c r="K41" s="27" t="s">
        <v>64</v>
      </c>
      <c r="L41" s="30" t="s">
        <v>67</v>
      </c>
      <c r="M41" s="27" t="s">
        <v>20</v>
      </c>
      <c r="N41" s="31" t="s">
        <v>68</v>
      </c>
      <c r="O41" s="27" t="s">
        <v>20</v>
      </c>
      <c r="P41" s="31" t="s">
        <v>68</v>
      </c>
      <c r="Q41" s="29"/>
      <c r="R41" s="49" t="s">
        <v>20</v>
      </c>
      <c r="S41" s="28" t="s">
        <v>213</v>
      </c>
      <c r="T41" s="27" t="s">
        <v>20</v>
      </c>
      <c r="U41" s="32" t="s">
        <v>70</v>
      </c>
      <c r="V41" s="27" t="s">
        <v>20</v>
      </c>
      <c r="W41" s="32" t="s">
        <v>71</v>
      </c>
      <c r="X41" s="213"/>
      <c r="Y41" s="27" t="s">
        <v>20</v>
      </c>
      <c r="Z41" s="28" t="s">
        <v>73</v>
      </c>
      <c r="AA41" s="27" t="s">
        <v>20</v>
      </c>
      <c r="AB41" s="28" t="s">
        <v>74</v>
      </c>
      <c r="AC41" s="201"/>
      <c r="AD41" s="27" t="s">
        <v>64</v>
      </c>
      <c r="AE41" s="34" t="s">
        <v>75</v>
      </c>
      <c r="AF41" s="27" t="s">
        <v>64</v>
      </c>
      <c r="AG41" s="28" t="s">
        <v>76</v>
      </c>
      <c r="AH41" s="27" t="s">
        <v>20</v>
      </c>
      <c r="AI41" s="28" t="s">
        <v>77</v>
      </c>
      <c r="AJ41" s="201"/>
      <c r="AK41" s="27" t="s">
        <v>20</v>
      </c>
      <c r="AL41" s="35" t="s">
        <v>78</v>
      </c>
      <c r="AM41" s="27" t="s">
        <v>20</v>
      </c>
      <c r="AN41" s="28" t="s">
        <v>79</v>
      </c>
      <c r="AO41" s="27" t="s">
        <v>20</v>
      </c>
      <c r="AP41" s="28" t="s">
        <v>80</v>
      </c>
      <c r="AQ41" s="201"/>
      <c r="AR41" s="27" t="s">
        <v>64</v>
      </c>
      <c r="AS41" s="28" t="s">
        <v>81</v>
      </c>
      <c r="AT41" s="27" t="s">
        <v>64</v>
      </c>
      <c r="AU41" s="28" t="s">
        <v>82</v>
      </c>
      <c r="AV41" s="27" t="s">
        <v>64</v>
      </c>
      <c r="AW41" s="28" t="s">
        <v>83</v>
      </c>
      <c r="AX41" s="27" t="s">
        <v>64</v>
      </c>
      <c r="AY41" s="28" t="s">
        <v>84</v>
      </c>
      <c r="AZ41" s="201"/>
      <c r="BA41" s="27" t="s">
        <v>64</v>
      </c>
      <c r="BB41" s="28" t="s">
        <v>85</v>
      </c>
      <c r="BC41" s="27" t="s">
        <v>64</v>
      </c>
      <c r="BD41" s="28" t="s">
        <v>86</v>
      </c>
      <c r="BE41" s="27" t="s">
        <v>20</v>
      </c>
      <c r="BF41" s="28" t="s">
        <v>87</v>
      </c>
      <c r="BG41" s="213"/>
      <c r="BH41" s="58" t="s">
        <v>102</v>
      </c>
      <c r="BI41" s="38" t="s">
        <v>108</v>
      </c>
      <c r="BJ41" s="45" t="s">
        <v>64</v>
      </c>
      <c r="BK41" s="38" t="s">
        <v>89</v>
      </c>
      <c r="BL41" s="201"/>
      <c r="BM41" s="27" t="s">
        <v>20</v>
      </c>
      <c r="BN41" s="39" t="s">
        <v>117</v>
      </c>
      <c r="BO41" s="213"/>
      <c r="BP41" s="27" t="s">
        <v>64</v>
      </c>
      <c r="BQ41" s="42" t="s">
        <v>109</v>
      </c>
      <c r="BR41" s="27" t="s">
        <v>64</v>
      </c>
      <c r="BS41" s="42" t="s">
        <v>109</v>
      </c>
      <c r="BT41" s="201"/>
      <c r="BU41" s="40"/>
      <c r="BV41" s="40"/>
      <c r="BW41" s="201"/>
      <c r="BX41" s="40"/>
      <c r="BY41" s="28">
        <v>3</v>
      </c>
      <c r="BZ41" s="198"/>
      <c r="CA41" s="41" t="s">
        <v>20</v>
      </c>
    </row>
    <row r="42" spans="1:80" ht="34.5" customHeight="1">
      <c r="F42" s="183"/>
      <c r="G42" s="59" t="s">
        <v>219</v>
      </c>
      <c r="H42" s="60"/>
      <c r="I42" s="61"/>
      <c r="N42" s="59" t="s">
        <v>219</v>
      </c>
      <c r="O42" s="60"/>
      <c r="P42" s="62"/>
      <c r="Q42" s="62"/>
      <c r="R42" s="62"/>
      <c r="U42" s="59"/>
      <c r="V42" s="60"/>
      <c r="W42" s="62"/>
      <c r="X42" s="62"/>
      <c r="Y42" s="62"/>
      <c r="Z42" s="59"/>
      <c r="AA42" s="60"/>
      <c r="AG42" s="59"/>
      <c r="AH42" s="60"/>
      <c r="AN42" s="59"/>
      <c r="AO42" s="60"/>
      <c r="AW42" s="59"/>
      <c r="AX42" s="60"/>
      <c r="BD42" s="59"/>
      <c r="BE42" s="60"/>
      <c r="BF42" s="62"/>
      <c r="BG42" s="62"/>
      <c r="BH42" s="62"/>
      <c r="BI42" s="59"/>
      <c r="BJ42" s="60"/>
      <c r="BM42" s="60"/>
      <c r="BN42" s="59"/>
      <c r="BP42" s="60"/>
      <c r="BQ42" s="59"/>
      <c r="BR42" s="60"/>
      <c r="BS42" s="59"/>
      <c r="BT42" s="63"/>
      <c r="BU42" s="61"/>
      <c r="CA42" s="60"/>
      <c r="CB42" s="59"/>
    </row>
    <row r="43" spans="1:80" ht="19.5" customHeight="1">
      <c r="F43" s="184"/>
      <c r="G43" s="59" t="s">
        <v>72</v>
      </c>
      <c r="H43" s="60">
        <f>COUNTIFS(H13:H41,"AD")</f>
        <v>0</v>
      </c>
      <c r="I43" s="61"/>
      <c r="N43" s="59" t="s">
        <v>72</v>
      </c>
      <c r="O43" s="60">
        <f>COUNTIFS(O13:O41,"AD")</f>
        <v>0</v>
      </c>
      <c r="P43" s="62"/>
      <c r="Q43" s="62"/>
      <c r="R43" s="62"/>
      <c r="U43" s="59"/>
      <c r="V43" s="60"/>
      <c r="W43" s="62"/>
      <c r="X43" s="62"/>
      <c r="Y43" s="62"/>
      <c r="Z43" s="59"/>
      <c r="AA43" s="60"/>
      <c r="AG43" s="59"/>
      <c r="AH43" s="60"/>
      <c r="AN43" s="59"/>
      <c r="AO43" s="60"/>
      <c r="AW43" s="59"/>
      <c r="AX43" s="60"/>
      <c r="BD43" s="59"/>
      <c r="BE43" s="60"/>
      <c r="BF43" s="62"/>
      <c r="BG43" s="62"/>
      <c r="BH43" s="62"/>
      <c r="BI43" s="59"/>
      <c r="BJ43" s="60"/>
      <c r="BM43" s="60"/>
      <c r="BN43" s="59"/>
      <c r="BP43" s="60"/>
      <c r="BQ43" s="59"/>
      <c r="BR43" s="60"/>
      <c r="BS43" s="59"/>
      <c r="BT43" s="63"/>
      <c r="BU43" s="61"/>
      <c r="CA43" s="60"/>
      <c r="CB43" s="59"/>
    </row>
    <row r="44" spans="1:80" ht="19.5" customHeight="1">
      <c r="F44" s="184"/>
      <c r="G44" s="59" t="s">
        <v>20</v>
      </c>
      <c r="H44" s="60">
        <f>COUNTIFS(H13:H41,"A")</f>
        <v>14</v>
      </c>
      <c r="I44" s="61"/>
      <c r="N44" s="59" t="s">
        <v>20</v>
      </c>
      <c r="O44" s="60">
        <f>COUNTIFS(O13:O41,"A")</f>
        <v>13</v>
      </c>
      <c r="P44" s="62"/>
      <c r="Q44" s="62"/>
      <c r="R44" s="62"/>
      <c r="U44" s="59"/>
      <c r="V44" s="60"/>
      <c r="W44" s="62"/>
      <c r="X44" s="62"/>
      <c r="Y44" s="62"/>
      <c r="Z44" s="59"/>
      <c r="AA44" s="60"/>
      <c r="AG44" s="59"/>
      <c r="AH44" s="60"/>
      <c r="AN44" s="59"/>
      <c r="AO44" s="60"/>
      <c r="AW44" s="59"/>
      <c r="AX44" s="60"/>
      <c r="BD44" s="59"/>
      <c r="BE44" s="60"/>
      <c r="BF44" s="62"/>
      <c r="BG44" s="62"/>
      <c r="BH44" s="62"/>
      <c r="BI44" s="174"/>
      <c r="BJ44" s="60"/>
      <c r="BM44" s="60"/>
      <c r="BN44" s="174"/>
      <c r="BP44" s="60"/>
      <c r="BQ44" s="174"/>
      <c r="BR44" s="60"/>
      <c r="BS44" s="174"/>
      <c r="BT44" s="63"/>
      <c r="BU44" s="61"/>
      <c r="CA44" s="60"/>
      <c r="CB44" s="174"/>
    </row>
    <row r="45" spans="1:80" ht="19.5" customHeight="1">
      <c r="F45" s="184"/>
      <c r="G45" s="59" t="s">
        <v>64</v>
      </c>
      <c r="H45" s="60">
        <f>COUNTIFS(H13:H41,"B")</f>
        <v>14</v>
      </c>
      <c r="I45" s="61"/>
      <c r="N45" s="59" t="s">
        <v>64</v>
      </c>
      <c r="O45" s="60">
        <f>COUNTIFS(O13:O41,"B")</f>
        <v>9</v>
      </c>
      <c r="P45" s="62"/>
      <c r="Q45" s="62"/>
      <c r="R45" s="62"/>
      <c r="U45" s="59"/>
      <c r="V45" s="60"/>
      <c r="W45" s="62"/>
      <c r="X45" s="62"/>
      <c r="Y45" s="62"/>
      <c r="Z45" s="59"/>
      <c r="AA45" s="60"/>
      <c r="AG45" s="59"/>
      <c r="AH45" s="60"/>
      <c r="AN45" s="59"/>
      <c r="AO45" s="60"/>
      <c r="AW45" s="59"/>
      <c r="AX45" s="60"/>
      <c r="BD45" s="59"/>
      <c r="BE45" s="60"/>
      <c r="BF45" s="62"/>
      <c r="BG45" s="62"/>
      <c r="BH45" s="62"/>
      <c r="BI45" s="59"/>
      <c r="BJ45" s="60"/>
      <c r="BM45" s="60"/>
      <c r="BN45" s="174"/>
      <c r="BP45" s="60"/>
      <c r="BQ45" s="59"/>
      <c r="BR45" s="60"/>
      <c r="BS45" s="59"/>
      <c r="BT45" s="63"/>
      <c r="BU45" s="61"/>
      <c r="CA45" s="60"/>
      <c r="CB45" s="59"/>
    </row>
    <row r="46" spans="1:80" ht="19.5" customHeight="1">
      <c r="F46" s="184"/>
      <c r="G46" s="59" t="s">
        <v>102</v>
      </c>
      <c r="H46" s="60">
        <f>COUNTIFS(H13:H41,"C")</f>
        <v>1</v>
      </c>
      <c r="I46" s="61"/>
      <c r="N46" s="59" t="s">
        <v>102</v>
      </c>
      <c r="O46" s="60">
        <f>COUNTIFS(O13:O41,"C")</f>
        <v>7</v>
      </c>
      <c r="P46" s="62"/>
      <c r="Q46" s="62"/>
      <c r="R46" s="62"/>
      <c r="U46" s="59"/>
      <c r="V46" s="60"/>
      <c r="W46" s="62"/>
      <c r="X46" s="62"/>
      <c r="Y46" s="62"/>
      <c r="Z46" s="59"/>
      <c r="AA46" s="60"/>
      <c r="AG46" s="59"/>
      <c r="AH46" s="60"/>
      <c r="AN46" s="59"/>
      <c r="AO46" s="60"/>
      <c r="AW46" s="59"/>
      <c r="AX46" s="60"/>
      <c r="BD46" s="59"/>
      <c r="BE46" s="60"/>
      <c r="BF46" s="62"/>
      <c r="BG46" s="62"/>
      <c r="BH46" s="62"/>
      <c r="BI46" s="59"/>
      <c r="BJ46" s="60"/>
      <c r="BM46" s="60"/>
      <c r="BN46" s="59"/>
      <c r="BP46" s="60"/>
      <c r="BQ46" s="59"/>
      <c r="BR46" s="60"/>
      <c r="BS46" s="59"/>
      <c r="BT46" s="63"/>
      <c r="BU46" s="61"/>
      <c r="CA46" s="60"/>
      <c r="CB46" s="59"/>
    </row>
    <row r="47" spans="1:80" ht="19.5" customHeight="1">
      <c r="G47" s="59" t="s">
        <v>220</v>
      </c>
      <c r="H47" s="60">
        <f>COUNTIFS(H13:H41,"TRASL.")</f>
        <v>0</v>
      </c>
      <c r="I47" s="61"/>
      <c r="N47" s="59" t="s">
        <v>220</v>
      </c>
      <c r="O47" s="60">
        <f>COUNTIFS(O13:O41,"TRASL.")</f>
        <v>0</v>
      </c>
      <c r="U47" s="59"/>
      <c r="V47" s="60"/>
      <c r="W47" s="62"/>
      <c r="Y47" s="62"/>
      <c r="Z47" s="59"/>
      <c r="AA47" s="60"/>
      <c r="AB47" s="62"/>
      <c r="AG47" s="59"/>
      <c r="AH47" s="60"/>
      <c r="AN47" s="59"/>
      <c r="AO47" s="60"/>
      <c r="AV47" s="62"/>
      <c r="AW47" s="59"/>
      <c r="AX47" s="60"/>
      <c r="AY47" s="62"/>
      <c r="BD47" s="59"/>
      <c r="BE47" s="60"/>
      <c r="BI47" s="59"/>
      <c r="BJ47" s="60"/>
      <c r="BM47" s="60"/>
      <c r="BN47" s="59"/>
      <c r="BP47" s="60"/>
      <c r="BQ47" s="59"/>
      <c r="BR47" s="60"/>
      <c r="BS47" s="59"/>
      <c r="CA47" s="60"/>
      <c r="CB47" s="59"/>
    </row>
    <row r="48" spans="1:80" ht="19.5" customHeight="1">
      <c r="G48" s="59" t="s">
        <v>221</v>
      </c>
      <c r="H48" s="60">
        <f>COUNTIFS(H13:H41,"NA")</f>
        <v>0</v>
      </c>
      <c r="I48" s="61"/>
      <c r="N48" s="59" t="s">
        <v>221</v>
      </c>
      <c r="O48" s="60">
        <f>COUNTIFS(O13:O41,"NA")</f>
        <v>0</v>
      </c>
      <c r="U48" s="59"/>
      <c r="V48" s="60"/>
      <c r="W48" s="62"/>
      <c r="Y48" s="62"/>
      <c r="Z48" s="59"/>
      <c r="AA48" s="60"/>
      <c r="AB48" s="62"/>
      <c r="AG48" s="59"/>
      <c r="AH48" s="60"/>
      <c r="AN48" s="59"/>
      <c r="AO48" s="60"/>
      <c r="AW48" s="59"/>
      <c r="AX48" s="60"/>
      <c r="BD48" s="59"/>
      <c r="BE48" s="60"/>
      <c r="BI48" s="59"/>
      <c r="BJ48" s="60"/>
      <c r="BM48" s="60"/>
      <c r="BN48" s="59"/>
      <c r="BP48" s="60"/>
      <c r="BQ48" s="59"/>
      <c r="BR48" s="60"/>
      <c r="BS48" s="59"/>
      <c r="CA48" s="60"/>
      <c r="CB48" s="59"/>
    </row>
    <row r="49" spans="7:80" ht="19.5" customHeight="1">
      <c r="G49" s="59" t="s">
        <v>222</v>
      </c>
      <c r="H49" s="60">
        <f>SUM(H43:H48)</f>
        <v>29</v>
      </c>
      <c r="I49" s="61"/>
      <c r="N49" s="59" t="s">
        <v>222</v>
      </c>
      <c r="O49" s="60">
        <f>SUM(O43:O48)</f>
        <v>29</v>
      </c>
      <c r="U49" s="59"/>
      <c r="V49" s="60"/>
      <c r="Z49" s="59"/>
      <c r="AA49" s="60"/>
      <c r="AG49" s="59"/>
      <c r="AH49" s="60"/>
      <c r="AN49" s="59"/>
      <c r="AO49" s="60"/>
      <c r="AW49" s="59"/>
      <c r="AX49" s="60"/>
      <c r="BD49" s="59"/>
      <c r="BE49" s="60"/>
      <c r="BI49" s="59"/>
      <c r="BJ49" s="60"/>
      <c r="BM49" s="60"/>
      <c r="BN49" s="59"/>
      <c r="BP49" s="60"/>
      <c r="BQ49" s="59"/>
      <c r="BR49" s="60"/>
      <c r="BS49" s="59"/>
      <c r="CA49" s="60"/>
      <c r="CB49" s="59"/>
    </row>
    <row r="50" spans="7:80" ht="19.5" customHeight="1">
      <c r="G50" s="61"/>
      <c r="I50" s="61"/>
    </row>
    <row r="51" spans="7:80" ht="19.5" customHeight="1">
      <c r="G51" s="61"/>
      <c r="I51" s="61"/>
    </row>
    <row r="52" spans="7:80" ht="19.5" customHeight="1">
      <c r="G52" s="61"/>
      <c r="I52" s="61"/>
    </row>
    <row r="53" spans="7:80" ht="19.5" customHeight="1">
      <c r="G53" s="61"/>
      <c r="I53" s="61"/>
    </row>
    <row r="54" spans="7:80" ht="19.5" customHeight="1">
      <c r="G54" s="61"/>
      <c r="I54" s="61"/>
    </row>
    <row r="55" spans="7:80" ht="19.5" customHeight="1">
      <c r="G55" s="61"/>
      <c r="I55" s="61"/>
    </row>
    <row r="56" spans="7:80" ht="19.5" customHeight="1">
      <c r="G56" s="61"/>
      <c r="I56" s="61"/>
    </row>
    <row r="57" spans="7:80" ht="19.5" customHeight="1">
      <c r="G57" s="61"/>
      <c r="I57" s="61"/>
    </row>
    <row r="58" spans="7:80" ht="19.5" customHeight="1">
      <c r="G58" s="61"/>
      <c r="I58" s="61"/>
    </row>
    <row r="59" spans="7:80" ht="19.5" customHeight="1">
      <c r="G59" s="61"/>
      <c r="I59" s="61"/>
    </row>
    <row r="60" spans="7:80" ht="19.5" customHeight="1">
      <c r="G60" s="61"/>
      <c r="I60" s="61"/>
    </row>
    <row r="61" spans="7:80" ht="19.5" customHeight="1">
      <c r="G61" s="61"/>
      <c r="I61" s="61"/>
    </row>
    <row r="62" spans="7:80" ht="19.5" customHeight="1">
      <c r="G62" s="61"/>
      <c r="I62" s="61"/>
    </row>
    <row r="63" spans="7:80" ht="19.5" customHeight="1">
      <c r="G63" s="61"/>
      <c r="I63" s="61"/>
    </row>
    <row r="64" spans="7:80" ht="19.5" customHeight="1">
      <c r="G64" s="61"/>
      <c r="I64" s="61"/>
    </row>
    <row r="65" spans="7:9" ht="19.5" customHeight="1">
      <c r="G65" s="61"/>
      <c r="I65" s="61"/>
    </row>
    <row r="66" spans="7:9" ht="19.5" customHeight="1">
      <c r="G66" s="61"/>
      <c r="I66" s="61"/>
    </row>
    <row r="67" spans="7:9" ht="19.5" customHeight="1">
      <c r="G67" s="61"/>
      <c r="I67" s="61"/>
    </row>
    <row r="68" spans="7:9" ht="19.5" customHeight="1">
      <c r="G68" s="61"/>
      <c r="I68" s="61"/>
    </row>
    <row r="69" spans="7:9" ht="19.5" customHeight="1">
      <c r="G69" s="61"/>
      <c r="I69" s="61"/>
    </row>
    <row r="70" spans="7:9" ht="19.5" customHeight="1">
      <c r="G70" s="61"/>
      <c r="I70" s="61"/>
    </row>
    <row r="71" spans="7:9" ht="19.5" customHeight="1">
      <c r="G71" s="61"/>
      <c r="I71" s="61"/>
    </row>
    <row r="72" spans="7:9" ht="19.5" customHeight="1">
      <c r="G72" s="61"/>
      <c r="I72" s="61"/>
    </row>
    <row r="73" spans="7:9" ht="19.5" customHeight="1">
      <c r="G73" s="61"/>
      <c r="I73" s="61"/>
    </row>
    <row r="74" spans="7:9" ht="19.5" customHeight="1">
      <c r="G74" s="61"/>
      <c r="I74" s="61"/>
    </row>
    <row r="75" spans="7:9" ht="19.5" customHeight="1">
      <c r="G75" s="61"/>
      <c r="I75" s="61"/>
    </row>
    <row r="76" spans="7:9" ht="19.5" customHeight="1">
      <c r="G76" s="61"/>
      <c r="I76" s="61"/>
    </row>
    <row r="77" spans="7:9" ht="19.5" customHeight="1">
      <c r="G77" s="61"/>
      <c r="I77" s="61"/>
    </row>
    <row r="78" spans="7:9" ht="19.5" customHeight="1">
      <c r="G78" s="61"/>
      <c r="I78" s="61"/>
    </row>
    <row r="79" spans="7:9" ht="19.5" customHeight="1">
      <c r="G79" s="61"/>
      <c r="I79" s="61"/>
    </row>
    <row r="80" spans="7:9" ht="19.5" customHeight="1">
      <c r="G80" s="61"/>
      <c r="I80" s="61"/>
    </row>
    <row r="81" spans="7:9" ht="19.5" customHeight="1">
      <c r="G81" s="61"/>
      <c r="I81" s="61"/>
    </row>
    <row r="82" spans="7:9" ht="19.5" customHeight="1">
      <c r="G82" s="61"/>
      <c r="I82" s="61"/>
    </row>
    <row r="83" spans="7:9" ht="19.5" customHeight="1">
      <c r="G83" s="61"/>
      <c r="I83" s="61"/>
    </row>
    <row r="84" spans="7:9" ht="19.5" customHeight="1">
      <c r="G84" s="61"/>
      <c r="I84" s="61"/>
    </row>
    <row r="85" spans="7:9" ht="19.5" customHeight="1">
      <c r="G85" s="61"/>
      <c r="I85" s="61"/>
    </row>
    <row r="86" spans="7:9" ht="19.5" customHeight="1">
      <c r="G86" s="61"/>
      <c r="I86" s="61"/>
    </row>
    <row r="87" spans="7:9" ht="19.5" customHeight="1">
      <c r="G87" s="61"/>
      <c r="I87" s="61"/>
    </row>
    <row r="88" spans="7:9" ht="19.5" customHeight="1">
      <c r="G88" s="61"/>
      <c r="I88" s="61"/>
    </row>
    <row r="89" spans="7:9" ht="19.5" customHeight="1">
      <c r="G89" s="61"/>
      <c r="I89" s="61"/>
    </row>
    <row r="90" spans="7:9" ht="19.5" customHeight="1">
      <c r="G90" s="61"/>
      <c r="I90" s="61"/>
    </row>
    <row r="91" spans="7:9" ht="19.5" customHeight="1">
      <c r="G91" s="61"/>
      <c r="I91" s="61"/>
    </row>
    <row r="92" spans="7:9" ht="19.5" customHeight="1">
      <c r="G92" s="61"/>
      <c r="I92" s="61"/>
    </row>
    <row r="93" spans="7:9" ht="19.5" customHeight="1">
      <c r="G93" s="61"/>
      <c r="I93" s="61"/>
    </row>
    <row r="94" spans="7:9" ht="19.5" customHeight="1">
      <c r="G94" s="61"/>
      <c r="I94" s="61"/>
    </row>
    <row r="95" spans="7:9" ht="19.5" customHeight="1">
      <c r="G95" s="61"/>
      <c r="I95" s="61"/>
    </row>
    <row r="96" spans="7:9" ht="19.5" customHeight="1">
      <c r="G96" s="61"/>
      <c r="I96" s="61"/>
    </row>
    <row r="97" spans="7:9" ht="19.5" customHeight="1">
      <c r="G97" s="61"/>
      <c r="I97" s="61"/>
    </row>
    <row r="98" spans="7:9" ht="19.5" customHeight="1">
      <c r="G98" s="61"/>
      <c r="I98" s="61"/>
    </row>
    <row r="99" spans="7:9" ht="19.5" customHeight="1">
      <c r="G99" s="61"/>
      <c r="I99" s="61"/>
    </row>
    <row r="100" spans="7:9" ht="19.5" customHeight="1">
      <c r="G100" s="61"/>
      <c r="I100" s="61"/>
    </row>
    <row r="101" spans="7:9" ht="19.5" customHeight="1">
      <c r="G101" s="61"/>
      <c r="I101" s="61"/>
    </row>
    <row r="102" spans="7:9" ht="19.5" customHeight="1">
      <c r="G102" s="61"/>
      <c r="I102" s="61"/>
    </row>
    <row r="103" spans="7:9" ht="19.5" customHeight="1">
      <c r="G103" s="61"/>
      <c r="I103" s="61"/>
    </row>
    <row r="104" spans="7:9" ht="19.5" customHeight="1">
      <c r="G104" s="61"/>
      <c r="I104" s="61"/>
    </row>
    <row r="105" spans="7:9" ht="19.5" customHeight="1">
      <c r="G105" s="61"/>
      <c r="I105" s="61"/>
    </row>
    <row r="106" spans="7:9" ht="19.5" customHeight="1">
      <c r="G106" s="61"/>
      <c r="I106" s="61"/>
    </row>
    <row r="107" spans="7:9" ht="19.5" customHeight="1">
      <c r="G107" s="61"/>
      <c r="I107" s="61"/>
    </row>
    <row r="108" spans="7:9" ht="19.5" customHeight="1">
      <c r="G108" s="61"/>
      <c r="I108" s="61"/>
    </row>
    <row r="109" spans="7:9" ht="19.5" customHeight="1">
      <c r="G109" s="61"/>
      <c r="I109" s="61"/>
    </row>
    <row r="110" spans="7:9" ht="19.5" customHeight="1">
      <c r="G110" s="61"/>
      <c r="I110" s="61"/>
    </row>
    <row r="111" spans="7:9" ht="19.5" customHeight="1">
      <c r="G111" s="61"/>
      <c r="I111" s="61"/>
    </row>
    <row r="112" spans="7:9" ht="19.5" customHeight="1">
      <c r="G112" s="61"/>
      <c r="I112" s="61"/>
    </row>
    <row r="113" spans="7:9" ht="19.5" customHeight="1">
      <c r="G113" s="61"/>
      <c r="I113" s="61"/>
    </row>
    <row r="114" spans="7:9" ht="19.5" customHeight="1">
      <c r="G114" s="61"/>
      <c r="I114" s="61"/>
    </row>
    <row r="115" spans="7:9" ht="19.5" customHeight="1">
      <c r="G115" s="61"/>
      <c r="I115" s="61"/>
    </row>
    <row r="116" spans="7:9" ht="19.5" customHeight="1">
      <c r="G116" s="61"/>
      <c r="I116" s="61"/>
    </row>
    <row r="117" spans="7:9" ht="19.5" customHeight="1">
      <c r="G117" s="61"/>
      <c r="I117" s="61"/>
    </row>
    <row r="118" spans="7:9" ht="19.5" customHeight="1">
      <c r="G118" s="61"/>
      <c r="I118" s="61"/>
    </row>
    <row r="119" spans="7:9" ht="19.5" customHeight="1">
      <c r="G119" s="61"/>
      <c r="I119" s="61"/>
    </row>
    <row r="120" spans="7:9" ht="19.5" customHeight="1">
      <c r="G120" s="61"/>
      <c r="I120" s="61"/>
    </row>
    <row r="121" spans="7:9" ht="19.5" customHeight="1">
      <c r="G121" s="61"/>
      <c r="I121" s="61"/>
    </row>
    <row r="122" spans="7:9" ht="19.5" customHeight="1">
      <c r="G122" s="61"/>
      <c r="I122" s="61"/>
    </row>
    <row r="123" spans="7:9" ht="19.5" customHeight="1">
      <c r="G123" s="61"/>
      <c r="I123" s="61"/>
    </row>
    <row r="124" spans="7:9" ht="19.5" customHeight="1">
      <c r="G124" s="61"/>
      <c r="I124" s="61"/>
    </row>
    <row r="125" spans="7:9" ht="19.5" customHeight="1">
      <c r="G125" s="61"/>
      <c r="I125" s="61"/>
    </row>
    <row r="126" spans="7:9" ht="19.5" customHeight="1">
      <c r="G126" s="61"/>
      <c r="I126" s="61"/>
    </row>
    <row r="127" spans="7:9" ht="19.5" customHeight="1">
      <c r="G127" s="61"/>
      <c r="I127" s="61"/>
    </row>
    <row r="128" spans="7:9" ht="19.5" customHeight="1">
      <c r="G128" s="61"/>
      <c r="I128" s="61"/>
    </row>
    <row r="129" spans="7:9" ht="19.5" customHeight="1">
      <c r="G129" s="61"/>
      <c r="I129" s="61"/>
    </row>
    <row r="130" spans="7:9" ht="19.5" customHeight="1">
      <c r="G130" s="61"/>
      <c r="I130" s="61"/>
    </row>
    <row r="131" spans="7:9" ht="19.5" customHeight="1">
      <c r="G131" s="61"/>
      <c r="I131" s="61"/>
    </row>
    <row r="132" spans="7:9" ht="19.5" customHeight="1">
      <c r="G132" s="61"/>
      <c r="I132" s="61"/>
    </row>
    <row r="133" spans="7:9" ht="19.5" customHeight="1">
      <c r="G133" s="61"/>
      <c r="I133" s="61"/>
    </row>
    <row r="134" spans="7:9" ht="19.5" customHeight="1">
      <c r="G134" s="61"/>
      <c r="I134" s="61"/>
    </row>
    <row r="135" spans="7:9" ht="19.5" customHeight="1">
      <c r="G135" s="61"/>
      <c r="I135" s="61"/>
    </row>
    <row r="136" spans="7:9" ht="19.5" customHeight="1">
      <c r="G136" s="61"/>
      <c r="I136" s="61"/>
    </row>
    <row r="137" spans="7:9" ht="19.5" customHeight="1">
      <c r="G137" s="61"/>
      <c r="I137" s="61"/>
    </row>
    <row r="138" spans="7:9" ht="19.5" customHeight="1">
      <c r="G138" s="61"/>
      <c r="I138" s="61"/>
    </row>
    <row r="139" spans="7:9" ht="19.5" customHeight="1">
      <c r="G139" s="61"/>
      <c r="I139" s="61"/>
    </row>
    <row r="140" spans="7:9" ht="19.5" customHeight="1">
      <c r="G140" s="61"/>
      <c r="I140" s="61"/>
    </row>
    <row r="141" spans="7:9" ht="19.5" customHeight="1">
      <c r="G141" s="61"/>
      <c r="I141" s="61"/>
    </row>
    <row r="142" spans="7:9" ht="19.5" customHeight="1">
      <c r="G142" s="61"/>
      <c r="I142" s="61"/>
    </row>
    <row r="143" spans="7:9" ht="19.5" customHeight="1">
      <c r="G143" s="61"/>
      <c r="I143" s="61"/>
    </row>
    <row r="144" spans="7:9" ht="19.5" customHeight="1">
      <c r="G144" s="61"/>
      <c r="I144" s="61"/>
    </row>
    <row r="145" spans="7:9" ht="19.5" customHeight="1">
      <c r="G145" s="61"/>
      <c r="I145" s="61"/>
    </row>
    <row r="146" spans="7:9" ht="19.5" customHeight="1">
      <c r="G146" s="61"/>
      <c r="I146" s="61"/>
    </row>
    <row r="147" spans="7:9" ht="19.5" customHeight="1">
      <c r="G147" s="61"/>
      <c r="I147" s="61"/>
    </row>
    <row r="148" spans="7:9" ht="19.5" customHeight="1">
      <c r="G148" s="61"/>
      <c r="I148" s="61"/>
    </row>
    <row r="149" spans="7:9" ht="19.5" customHeight="1">
      <c r="G149" s="61"/>
      <c r="I149" s="61"/>
    </row>
    <row r="150" spans="7:9" ht="19.5" customHeight="1">
      <c r="G150" s="61"/>
      <c r="I150" s="61"/>
    </row>
    <row r="151" spans="7:9" ht="19.5" customHeight="1">
      <c r="G151" s="61"/>
      <c r="I151" s="61"/>
    </row>
    <row r="152" spans="7:9" ht="19.5" customHeight="1">
      <c r="G152" s="61"/>
      <c r="I152" s="61"/>
    </row>
    <row r="153" spans="7:9" ht="19.5" customHeight="1">
      <c r="G153" s="61"/>
      <c r="I153" s="61"/>
    </row>
    <row r="154" spans="7:9" ht="19.5" customHeight="1">
      <c r="G154" s="61"/>
      <c r="I154" s="61"/>
    </row>
    <row r="155" spans="7:9" ht="19.5" customHeight="1">
      <c r="G155" s="61"/>
      <c r="I155" s="61"/>
    </row>
    <row r="156" spans="7:9" ht="19.5" customHeight="1">
      <c r="G156" s="61"/>
      <c r="I156" s="61"/>
    </row>
    <row r="157" spans="7:9" ht="19.5" customHeight="1">
      <c r="G157" s="61"/>
      <c r="I157" s="61"/>
    </row>
    <row r="158" spans="7:9" ht="19.5" customHeight="1">
      <c r="G158" s="61"/>
      <c r="I158" s="61"/>
    </row>
    <row r="159" spans="7:9" ht="19.5" customHeight="1">
      <c r="G159" s="61"/>
      <c r="I159" s="61"/>
    </row>
    <row r="160" spans="7:9" ht="19.5" customHeight="1">
      <c r="G160" s="61"/>
      <c r="I160" s="61"/>
    </row>
    <row r="161" spans="7:9" ht="19.5" customHeight="1">
      <c r="G161" s="61"/>
      <c r="I161" s="61"/>
    </row>
    <row r="162" spans="7:9" ht="19.5" customHeight="1">
      <c r="G162" s="61"/>
      <c r="I162" s="61"/>
    </row>
    <row r="163" spans="7:9" ht="19.5" customHeight="1">
      <c r="G163" s="61"/>
      <c r="I163" s="61"/>
    </row>
    <row r="164" spans="7:9" ht="19.5" customHeight="1">
      <c r="G164" s="61"/>
      <c r="I164" s="61"/>
    </row>
    <row r="165" spans="7:9" ht="19.5" customHeight="1">
      <c r="G165" s="61"/>
      <c r="I165" s="61"/>
    </row>
    <row r="166" spans="7:9" ht="19.5" customHeight="1">
      <c r="G166" s="61"/>
      <c r="I166" s="61"/>
    </row>
    <row r="167" spans="7:9" ht="19.5" customHeight="1">
      <c r="G167" s="61"/>
      <c r="I167" s="61"/>
    </row>
    <row r="168" spans="7:9" ht="19.5" customHeight="1">
      <c r="G168" s="61"/>
      <c r="I168" s="61"/>
    </row>
    <row r="169" spans="7:9" ht="19.5" customHeight="1">
      <c r="G169" s="61"/>
      <c r="I169" s="61"/>
    </row>
    <row r="170" spans="7:9" ht="19.5" customHeight="1">
      <c r="G170" s="61"/>
      <c r="I170" s="61"/>
    </row>
    <row r="171" spans="7:9" ht="19.5" customHeight="1">
      <c r="G171" s="61"/>
      <c r="I171" s="61"/>
    </row>
    <row r="172" spans="7:9" ht="19.5" customHeight="1">
      <c r="G172" s="61"/>
      <c r="I172" s="61"/>
    </row>
    <row r="173" spans="7:9" ht="19.5" customHeight="1">
      <c r="G173" s="61"/>
      <c r="I173" s="61"/>
    </row>
    <row r="174" spans="7:9" ht="19.5" customHeight="1">
      <c r="G174" s="61"/>
      <c r="I174" s="61"/>
    </row>
    <row r="175" spans="7:9" ht="19.5" customHeight="1">
      <c r="G175" s="61"/>
      <c r="I175" s="61"/>
    </row>
    <row r="176" spans="7:9" ht="19.5" customHeight="1">
      <c r="G176" s="61"/>
      <c r="I176" s="61"/>
    </row>
    <row r="177" spans="7:9" ht="19.5" customHeight="1">
      <c r="G177" s="61"/>
      <c r="I177" s="61"/>
    </row>
    <row r="178" spans="7:9" ht="19.5" customHeight="1">
      <c r="G178" s="61"/>
      <c r="I178" s="61"/>
    </row>
    <row r="179" spans="7:9" ht="19.5" customHeight="1">
      <c r="G179" s="61"/>
      <c r="I179" s="61"/>
    </row>
    <row r="180" spans="7:9" ht="19.5" customHeight="1">
      <c r="G180" s="61"/>
      <c r="I180" s="61"/>
    </row>
    <row r="181" spans="7:9" ht="19.5" customHeight="1">
      <c r="G181" s="61"/>
      <c r="I181" s="61"/>
    </row>
    <row r="182" spans="7:9" ht="19.5" customHeight="1">
      <c r="G182" s="61"/>
      <c r="I182" s="61"/>
    </row>
    <row r="183" spans="7:9" ht="19.5" customHeight="1">
      <c r="G183" s="61"/>
      <c r="I183" s="61"/>
    </row>
    <row r="184" spans="7:9" ht="19.5" customHeight="1">
      <c r="G184" s="61"/>
      <c r="I184" s="61"/>
    </row>
    <row r="185" spans="7:9" ht="19.5" customHeight="1">
      <c r="G185" s="61"/>
      <c r="I185" s="61"/>
    </row>
    <row r="186" spans="7:9" ht="19.5" customHeight="1">
      <c r="G186" s="61"/>
      <c r="I186" s="61"/>
    </row>
    <row r="187" spans="7:9" ht="19.5" customHeight="1">
      <c r="G187" s="61"/>
      <c r="I187" s="61"/>
    </row>
    <row r="188" spans="7:9" ht="19.5" customHeight="1">
      <c r="G188" s="61"/>
      <c r="I188" s="61"/>
    </row>
    <row r="189" spans="7:9" ht="19.5" customHeight="1">
      <c r="G189" s="61"/>
      <c r="I189" s="61"/>
    </row>
    <row r="190" spans="7:9" ht="19.5" customHeight="1">
      <c r="G190" s="61"/>
      <c r="I190" s="61"/>
    </row>
    <row r="191" spans="7:9" ht="19.5" customHeight="1">
      <c r="G191" s="61"/>
      <c r="I191" s="61"/>
    </row>
    <row r="192" spans="7:9" ht="19.5" customHeight="1">
      <c r="G192" s="61"/>
      <c r="I192" s="61"/>
    </row>
    <row r="193" spans="7:9" ht="19.5" customHeight="1">
      <c r="G193" s="61"/>
      <c r="I193" s="61"/>
    </row>
    <row r="194" spans="7:9" ht="19.5" customHeight="1">
      <c r="G194" s="61"/>
      <c r="I194" s="61"/>
    </row>
    <row r="195" spans="7:9" ht="19.5" customHeight="1">
      <c r="G195" s="61"/>
      <c r="I195" s="61"/>
    </row>
    <row r="196" spans="7:9" ht="19.5" customHeight="1">
      <c r="G196" s="61"/>
      <c r="I196" s="61"/>
    </row>
    <row r="197" spans="7:9" ht="19.5" customHeight="1">
      <c r="G197" s="61"/>
      <c r="I197" s="61"/>
    </row>
    <row r="198" spans="7:9" ht="19.5" customHeight="1">
      <c r="G198" s="61"/>
      <c r="I198" s="61"/>
    </row>
    <row r="199" spans="7:9" ht="19.5" customHeight="1">
      <c r="G199" s="61"/>
      <c r="I199" s="61"/>
    </row>
    <row r="200" spans="7:9" ht="19.5" customHeight="1">
      <c r="G200" s="61"/>
      <c r="I200" s="61"/>
    </row>
    <row r="201" spans="7:9" ht="19.5" customHeight="1">
      <c r="G201" s="61"/>
      <c r="I201" s="61"/>
    </row>
    <row r="202" spans="7:9" ht="19.5" customHeight="1">
      <c r="G202" s="61"/>
      <c r="I202" s="61"/>
    </row>
    <row r="203" spans="7:9" ht="19.5" customHeight="1">
      <c r="G203" s="61"/>
      <c r="I203" s="61"/>
    </row>
    <row r="204" spans="7:9" ht="19.5" customHeight="1">
      <c r="G204" s="61"/>
      <c r="I204" s="61"/>
    </row>
    <row r="205" spans="7:9" ht="19.5" customHeight="1">
      <c r="G205" s="61"/>
      <c r="I205" s="61"/>
    </row>
    <row r="206" spans="7:9" ht="19.5" customHeight="1">
      <c r="G206" s="61"/>
      <c r="I206" s="61"/>
    </row>
    <row r="207" spans="7:9" ht="19.5" customHeight="1">
      <c r="G207" s="61"/>
      <c r="I207" s="61"/>
    </row>
    <row r="208" spans="7:9" ht="19.5" customHeight="1">
      <c r="G208" s="61"/>
      <c r="I208" s="61"/>
    </row>
    <row r="209" spans="7:9" ht="19.5" customHeight="1">
      <c r="G209" s="61"/>
      <c r="I209" s="61"/>
    </row>
    <row r="210" spans="7:9" ht="19.5" customHeight="1">
      <c r="G210" s="61"/>
      <c r="I210" s="61"/>
    </row>
    <row r="211" spans="7:9" ht="19.5" customHeight="1">
      <c r="G211" s="61"/>
      <c r="I211" s="61"/>
    </row>
    <row r="212" spans="7:9" ht="19.5" customHeight="1">
      <c r="G212" s="61"/>
      <c r="I212" s="61"/>
    </row>
    <row r="213" spans="7:9" ht="19.5" customHeight="1">
      <c r="G213" s="61"/>
      <c r="I213" s="61"/>
    </row>
    <row r="214" spans="7:9" ht="19.5" customHeight="1">
      <c r="G214" s="61"/>
      <c r="I214" s="61"/>
    </row>
    <row r="215" spans="7:9" ht="19.5" customHeight="1">
      <c r="G215" s="61"/>
      <c r="I215" s="61"/>
    </row>
    <row r="216" spans="7:9" ht="19.5" customHeight="1">
      <c r="G216" s="61"/>
      <c r="I216" s="61"/>
    </row>
    <row r="217" spans="7:9" ht="19.5" customHeight="1">
      <c r="G217" s="61"/>
      <c r="I217" s="61"/>
    </row>
    <row r="218" spans="7:9" ht="19.5" customHeight="1">
      <c r="G218" s="61"/>
      <c r="I218" s="61"/>
    </row>
    <row r="219" spans="7:9" ht="19.5" customHeight="1">
      <c r="G219" s="61"/>
      <c r="I219" s="61"/>
    </row>
    <row r="220" spans="7:9" ht="19.5" customHeight="1">
      <c r="G220" s="61"/>
      <c r="I220" s="61"/>
    </row>
    <row r="221" spans="7:9" ht="19.5" customHeight="1">
      <c r="G221" s="61"/>
      <c r="I221" s="61"/>
    </row>
    <row r="222" spans="7:9" ht="19.5" customHeight="1">
      <c r="G222" s="61"/>
      <c r="I222" s="61"/>
    </row>
    <row r="223" spans="7:9" ht="19.5" customHeight="1">
      <c r="G223" s="61"/>
      <c r="I223" s="61"/>
    </row>
    <row r="224" spans="7:9" ht="19.5" customHeight="1">
      <c r="G224" s="61"/>
      <c r="I224" s="61"/>
    </row>
    <row r="225" spans="7:9" ht="19.5" customHeight="1">
      <c r="G225" s="61"/>
      <c r="I225" s="61"/>
    </row>
    <row r="226" spans="7:9" ht="19.5" customHeight="1">
      <c r="G226" s="61"/>
      <c r="I226" s="61"/>
    </row>
    <row r="227" spans="7:9" ht="19.5" customHeight="1">
      <c r="G227" s="61"/>
      <c r="I227" s="61"/>
    </row>
    <row r="228" spans="7:9" ht="19.5" customHeight="1">
      <c r="G228" s="61"/>
      <c r="I228" s="61"/>
    </row>
    <row r="229" spans="7:9" ht="19.5" customHeight="1">
      <c r="G229" s="61"/>
      <c r="I229" s="61"/>
    </row>
    <row r="230" spans="7:9" ht="19.5" customHeight="1">
      <c r="G230" s="61"/>
      <c r="I230" s="61"/>
    </row>
    <row r="231" spans="7:9" ht="19.5" customHeight="1">
      <c r="G231" s="61"/>
      <c r="I231" s="61"/>
    </row>
    <row r="232" spans="7:9" ht="19.5" customHeight="1">
      <c r="G232" s="61"/>
      <c r="I232" s="61"/>
    </row>
    <row r="233" spans="7:9" ht="19.5" customHeight="1">
      <c r="G233" s="61"/>
      <c r="I233" s="61"/>
    </row>
    <row r="234" spans="7:9" ht="19.5" customHeight="1">
      <c r="G234" s="61"/>
      <c r="I234" s="61"/>
    </row>
    <row r="235" spans="7:9" ht="19.5" customHeight="1">
      <c r="G235" s="61"/>
      <c r="I235" s="61"/>
    </row>
    <row r="236" spans="7:9" ht="19.5" customHeight="1">
      <c r="G236" s="61"/>
      <c r="I236" s="61"/>
    </row>
    <row r="237" spans="7:9" ht="19.5" customHeight="1">
      <c r="G237" s="61"/>
      <c r="I237" s="61"/>
    </row>
    <row r="238" spans="7:9" ht="19.5" customHeight="1">
      <c r="G238" s="61"/>
      <c r="I238" s="61"/>
    </row>
    <row r="239" spans="7:9" ht="19.5" customHeight="1">
      <c r="G239" s="61"/>
      <c r="I239" s="61"/>
    </row>
    <row r="240" spans="7:9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8">
    <mergeCell ref="R6:W6"/>
    <mergeCell ref="AW8:AW11"/>
    <mergeCell ref="Y6:AB6"/>
    <mergeCell ref="AC6:AC41"/>
    <mergeCell ref="Y8:Y12"/>
    <mergeCell ref="Z8:Z11"/>
    <mergeCell ref="AA8:AA12"/>
    <mergeCell ref="AB8:AB11"/>
    <mergeCell ref="AD6:AI6"/>
    <mergeCell ref="AJ6:AJ41"/>
    <mergeCell ref="AD8:AD12"/>
    <mergeCell ref="AE8:AE11"/>
    <mergeCell ref="AF8:AF12"/>
    <mergeCell ref="AG8:AG11"/>
    <mergeCell ref="AH8:AH12"/>
    <mergeCell ref="AI8:AI11"/>
    <mergeCell ref="AK6:AP6"/>
    <mergeCell ref="BA6:BF6"/>
    <mergeCell ref="BG6:BG41"/>
    <mergeCell ref="BH6:BK6"/>
    <mergeCell ref="BM6:BN6"/>
    <mergeCell ref="AU8:AU11"/>
    <mergeCell ref="AV8:AV12"/>
    <mergeCell ref="BP6:BS6"/>
    <mergeCell ref="AQ6:AQ41"/>
    <mergeCell ref="AK8:AK12"/>
    <mergeCell ref="AL8:AL11"/>
    <mergeCell ref="AM8:AM12"/>
    <mergeCell ref="AN8:AN11"/>
    <mergeCell ref="AO8:AO12"/>
    <mergeCell ref="AP8:AP11"/>
    <mergeCell ref="AR6:AY6"/>
    <mergeCell ref="AZ6:AZ41"/>
    <mergeCell ref="BR8:BR12"/>
    <mergeCell ref="AX8:AX12"/>
    <mergeCell ref="AY8:AY11"/>
    <mergeCell ref="AR8:AR12"/>
    <mergeCell ref="AS8:AS11"/>
    <mergeCell ref="AT8:AT12"/>
    <mergeCell ref="BY8:BY11"/>
    <mergeCell ref="A9:C9"/>
    <mergeCell ref="A10:B10"/>
    <mergeCell ref="A11:A12"/>
    <mergeCell ref="B11:D12"/>
    <mergeCell ref="BD8:BD11"/>
    <mergeCell ref="BE8:BE12"/>
    <mergeCell ref="BF8:BF11"/>
    <mergeCell ref="BH8:BH12"/>
    <mergeCell ref="BI8:BI11"/>
    <mergeCell ref="BS8:BS11"/>
    <mergeCell ref="BU8:BU11"/>
    <mergeCell ref="BC8:BC12"/>
    <mergeCell ref="O8:O12"/>
    <mergeCell ref="P8:P11"/>
    <mergeCell ref="A2:CA3"/>
    <mergeCell ref="A4:BZ5"/>
    <mergeCell ref="E6:E41"/>
    <mergeCell ref="K6:P6"/>
    <mergeCell ref="X6:X41"/>
    <mergeCell ref="BO7:BO41"/>
    <mergeCell ref="A8:C8"/>
    <mergeCell ref="R8:R12"/>
    <mergeCell ref="S8:S11"/>
    <mergeCell ref="T8:T12"/>
    <mergeCell ref="U8:U11"/>
    <mergeCell ref="V8:V12"/>
    <mergeCell ref="W8:W11"/>
    <mergeCell ref="BA8:BA12"/>
    <mergeCell ref="BB8:BB11"/>
    <mergeCell ref="BX8:BX11"/>
    <mergeCell ref="CA6:CA12"/>
    <mergeCell ref="BU7:BV7"/>
    <mergeCell ref="BJ8:BJ12"/>
    <mergeCell ref="BK8:BK11"/>
    <mergeCell ref="BM8:BM12"/>
    <mergeCell ref="BN8:BN11"/>
    <mergeCell ref="BP8:BP12"/>
    <mergeCell ref="BX6:BY6"/>
    <mergeCell ref="BZ6:BZ41"/>
    <mergeCell ref="BX7:BY7"/>
    <mergeCell ref="BT6:BT41"/>
    <mergeCell ref="BL11:BL41"/>
    <mergeCell ref="BU6:BV6"/>
    <mergeCell ref="BW6:BW41"/>
    <mergeCell ref="BV8:BV11"/>
    <mergeCell ref="BQ8:BQ11"/>
    <mergeCell ref="A7:C7"/>
    <mergeCell ref="F6:I6"/>
    <mergeCell ref="F8:F12"/>
    <mergeCell ref="G8:G11"/>
    <mergeCell ref="H8:H12"/>
    <mergeCell ref="I8:I11"/>
    <mergeCell ref="A6:D6"/>
    <mergeCell ref="F42:F46"/>
    <mergeCell ref="K8:K12"/>
    <mergeCell ref="L8:L11"/>
    <mergeCell ref="M8:M12"/>
    <mergeCell ref="N8:N11"/>
  </mergeCells>
  <dataValidations count="3">
    <dataValidation type="list" allowBlank="1" showInputMessage="1" showErrorMessage="1" prompt="solo letras" sqref="F13:F41 H13:H41 K13:K41 M13:M41 O13:O41 R13:R41 T13:T41 V13:V41 Y13:Y41 AA13:AA41 AD13:AD41 AF13:AF41 AH13:AH41 AK13:AK41 AM13:AM41 AO13:AO41 AR13:AR41 AT13:AT41 AV13:AV41 AX13:AX41 BA13:BA41 BC13:BC41 BE13:BE41 BH13:BH41 BJ13:BJ41 BM13:BM41 BP13:BP41 BR13:BR41" xr:uid="{00000000-0002-0000-0000-000000000000}">
      <formula1>"AD,A,B,C,TRASL.,NA"</formula1>
    </dataValidation>
    <dataValidation type="custom" allowBlank="1" showErrorMessage="1" sqref="S13:S34 U13:U34 W13:W34 J13:J41 Q16:Q41" xr:uid="{00000000-0002-0000-0000-000001000000}">
      <formula1>AND(GTE(LEN(J13),MIN((0),(100))),LTE(LEN(J13),MAX((0),(100))))</formula1>
    </dataValidation>
    <dataValidation type="list" allowBlank="1" showErrorMessage="1" sqref="CA13:CA41" xr:uid="{00000000-0002-0000-0000-000002000000}">
      <formula1>"AD,A,B,C,TRASL.,NA"</formula1>
    </dataValidation>
  </dataValidations>
  <pageMargins left="0.7" right="0.7" top="0.75" bottom="0.75" header="0" footer="0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Q1000"/>
  <sheetViews>
    <sheetView showGridLines="0" topLeftCell="A8" zoomScaleNormal="100" workbookViewId="0">
      <pane xSplit="5" topLeftCell="BE1" activePane="topRight" state="frozen"/>
      <selection pane="topRight" activeCell="BF18" sqref="BF18"/>
    </sheetView>
  </sheetViews>
  <sheetFormatPr baseColWidth="10" defaultColWidth="12.59765625" defaultRowHeight="15" customHeight="1"/>
  <cols>
    <col min="1" max="1" width="10.09765625" customWidth="1"/>
    <col min="2" max="2" width="18.8984375" customWidth="1"/>
    <col min="3" max="3" width="17.8984375" customWidth="1"/>
    <col min="4" max="4" width="30.19921875" customWidth="1"/>
    <col min="5" max="5" width="0.3984375" customWidth="1"/>
    <col min="6" max="6" width="12" customWidth="1"/>
    <col min="7" max="7" width="33.5" customWidth="1"/>
    <col min="8" max="8" width="11.5" customWidth="1"/>
    <col min="9" max="9" width="44.3984375" customWidth="1"/>
    <col min="10" max="10" width="1.5" customWidth="1"/>
    <col min="11" max="11" width="16.3984375" customWidth="1"/>
    <col min="12" max="12" width="44.3984375" customWidth="1"/>
    <col min="13" max="13" width="16.3984375" customWidth="1"/>
    <col min="14" max="14" width="44.3984375" customWidth="1"/>
    <col min="15" max="15" width="16.3984375" customWidth="1"/>
    <col min="16" max="16" width="44.3984375" customWidth="1"/>
    <col min="17" max="17" width="1.5" customWidth="1"/>
    <col min="18" max="18" width="16.3984375" customWidth="1"/>
    <col min="19" max="19" width="44.3984375" customWidth="1"/>
    <col min="20" max="20" width="16.3984375" customWidth="1"/>
    <col min="21" max="21" width="44.3984375" customWidth="1"/>
    <col min="22" max="22" width="16.3984375" customWidth="1"/>
    <col min="23" max="23" width="44.3984375" customWidth="1"/>
    <col min="24" max="24" width="1.5" customWidth="1"/>
    <col min="25" max="25" width="16.3984375" customWidth="1"/>
    <col min="26" max="26" width="44.3984375" customWidth="1"/>
    <col min="27" max="27" width="16.3984375" customWidth="1"/>
    <col min="28" max="28" width="44.3984375" customWidth="1"/>
    <col min="29" max="29" width="1.5" customWidth="1"/>
    <col min="30" max="30" width="16.3984375" customWidth="1"/>
    <col min="31" max="31" width="44.3984375" customWidth="1"/>
    <col min="32" max="32" width="16.3984375" customWidth="1"/>
    <col min="33" max="33" width="44.3984375" customWidth="1"/>
    <col min="34" max="34" width="16.3984375" customWidth="1"/>
    <col min="35" max="35" width="44.3984375" customWidth="1"/>
    <col min="36" max="36" width="1.5" customWidth="1"/>
    <col min="37" max="37" width="16.3984375" customWidth="1"/>
    <col min="38" max="38" width="44.3984375" customWidth="1"/>
    <col min="39" max="39" width="16.3984375" customWidth="1"/>
    <col min="40" max="40" width="44.3984375" customWidth="1"/>
    <col min="41" max="41" width="16.3984375" customWidth="1"/>
    <col min="42" max="42" width="44.3984375" customWidth="1"/>
    <col min="43" max="43" width="1.5" customWidth="1"/>
    <col min="44" max="44" width="16.3984375" customWidth="1"/>
    <col min="45" max="45" width="44.3984375" customWidth="1"/>
    <col min="46" max="46" width="16.3984375" customWidth="1"/>
    <col min="47" max="47" width="44.3984375" customWidth="1"/>
    <col min="48" max="48" width="16.3984375" customWidth="1"/>
    <col min="49" max="49" width="44.3984375" customWidth="1"/>
    <col min="50" max="50" width="16.3984375" customWidth="1"/>
    <col min="51" max="51" width="44.3984375" customWidth="1"/>
    <col min="52" max="52" width="1.5" customWidth="1"/>
    <col min="53" max="53" width="2.19921875" customWidth="1"/>
    <col min="54" max="54" width="44.3984375" customWidth="1"/>
    <col min="55" max="55" width="16.3984375" customWidth="1"/>
    <col min="56" max="56" width="44.3984375" customWidth="1"/>
    <col min="57" max="57" width="16.3984375" customWidth="1"/>
    <col min="58" max="58" width="44.3984375" customWidth="1"/>
    <col min="59" max="59" width="1.5" customWidth="1"/>
    <col min="60" max="60" width="16.3984375" customWidth="1"/>
    <col min="61" max="61" width="44.3984375" customWidth="1"/>
    <col min="62" max="62" width="16.3984375" customWidth="1"/>
    <col min="63" max="63" width="44.3984375" customWidth="1"/>
    <col min="64" max="64" width="1.5" customWidth="1"/>
    <col min="65" max="65" width="16.3984375" customWidth="1"/>
    <col min="66" max="66" width="44.3984375" customWidth="1"/>
    <col min="67" max="67" width="1.5" customWidth="1"/>
    <col min="68" max="68" width="16.3984375" customWidth="1"/>
    <col min="69" max="69" width="44.3984375" customWidth="1"/>
    <col min="70" max="70" width="16.3984375" customWidth="1"/>
    <col min="71" max="71" width="44.3984375" customWidth="1"/>
    <col min="72" max="72" width="1.5" customWidth="1"/>
    <col min="73" max="73" width="16.69921875" customWidth="1"/>
    <col min="74" max="74" width="18.69921875" customWidth="1"/>
    <col min="75" max="75" width="1.5" customWidth="1"/>
    <col min="76" max="76" width="16.69921875" customWidth="1"/>
    <col min="77" max="77" width="18.69921875" customWidth="1"/>
    <col min="78" max="78" width="1.5" customWidth="1"/>
    <col min="79" max="79" width="24.09765625" customWidth="1"/>
    <col min="80" max="80" width="23" customWidth="1"/>
    <col min="81" max="95" width="9.3984375" customWidth="1"/>
  </cols>
  <sheetData>
    <row r="1" spans="1:95" ht="49.5" customHeight="1">
      <c r="A1" s="2" t="s">
        <v>0</v>
      </c>
      <c r="B1" s="2"/>
      <c r="C1" s="2"/>
      <c r="D1" s="2"/>
      <c r="E1" s="2"/>
      <c r="F1" s="2"/>
      <c r="G1" s="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4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spans="1:95" ht="19.5" customHeight="1">
      <c r="A2" s="203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18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spans="1:95" ht="19.5" customHeight="1">
      <c r="A3" s="219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1"/>
      <c r="CB3" s="5"/>
      <c r="CC3" s="5"/>
      <c r="CD3" s="6"/>
      <c r="CE3" s="5"/>
      <c r="CF3" s="5"/>
      <c r="CG3" s="5"/>
      <c r="CH3" s="6"/>
      <c r="CI3" s="5"/>
      <c r="CJ3" s="5"/>
      <c r="CK3" s="5"/>
      <c r="CL3" s="5"/>
      <c r="CM3" s="6"/>
      <c r="CN3" s="5"/>
      <c r="CO3" s="5"/>
      <c r="CP3" s="5"/>
      <c r="CQ3" s="5"/>
    </row>
    <row r="4" spans="1:95" ht="19.5" customHeigh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4"/>
      <c r="CB4" s="5"/>
      <c r="CC4" s="5"/>
      <c r="CD4" s="6"/>
      <c r="CE4" s="5"/>
      <c r="CF4" s="5"/>
      <c r="CG4" s="5"/>
      <c r="CH4" s="6"/>
      <c r="CI4" s="5"/>
      <c r="CJ4" s="5"/>
      <c r="CK4" s="5"/>
      <c r="CL4" s="5"/>
      <c r="CM4" s="6"/>
      <c r="CN4" s="5"/>
      <c r="CO4" s="5"/>
      <c r="CP4" s="5"/>
      <c r="CQ4" s="5"/>
    </row>
    <row r="5" spans="1:95" ht="19.5" customHeight="1">
      <c r="A5" s="210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210"/>
      <c r="BN5" s="210"/>
      <c r="BO5" s="210"/>
      <c r="BP5" s="210"/>
      <c r="BQ5" s="210"/>
      <c r="BR5" s="210"/>
      <c r="BS5" s="210"/>
      <c r="BT5" s="210"/>
      <c r="BU5" s="210"/>
      <c r="BV5" s="210"/>
      <c r="BW5" s="210"/>
      <c r="BX5" s="210"/>
      <c r="BY5" s="210"/>
      <c r="BZ5" s="210"/>
      <c r="CA5" s="4"/>
      <c r="CB5" s="5"/>
      <c r="CC5" s="5"/>
      <c r="CD5" s="6"/>
      <c r="CE5" s="5"/>
      <c r="CF5" s="5"/>
      <c r="CG5" s="5"/>
      <c r="CH5" s="6"/>
      <c r="CI5" s="5"/>
      <c r="CJ5" s="5"/>
      <c r="CK5" s="5"/>
      <c r="CL5" s="5"/>
      <c r="CM5" s="6"/>
      <c r="CN5" s="5"/>
      <c r="CO5" s="5"/>
      <c r="CP5" s="5"/>
      <c r="CQ5" s="5"/>
    </row>
    <row r="6" spans="1:95" ht="19.5" customHeight="1">
      <c r="A6" s="193" t="s">
        <v>1</v>
      </c>
      <c r="B6" s="190"/>
      <c r="C6" s="190"/>
      <c r="D6" s="191"/>
      <c r="E6" s="211"/>
      <c r="F6" s="192" t="s">
        <v>2</v>
      </c>
      <c r="G6" s="190"/>
      <c r="H6" s="190"/>
      <c r="I6" s="191"/>
      <c r="J6" s="7"/>
      <c r="K6" s="192" t="s">
        <v>3</v>
      </c>
      <c r="L6" s="190"/>
      <c r="M6" s="190"/>
      <c r="N6" s="190"/>
      <c r="O6" s="190"/>
      <c r="P6" s="191"/>
      <c r="Q6" s="7"/>
      <c r="R6" s="192" t="s">
        <v>223</v>
      </c>
      <c r="S6" s="190"/>
      <c r="T6" s="190"/>
      <c r="U6" s="190"/>
      <c r="V6" s="190"/>
      <c r="W6" s="191"/>
      <c r="X6" s="214"/>
      <c r="Y6" s="192" t="s">
        <v>4</v>
      </c>
      <c r="Z6" s="190"/>
      <c r="AA6" s="190"/>
      <c r="AB6" s="191"/>
      <c r="AC6" s="199"/>
      <c r="AD6" s="192" t="s">
        <v>5</v>
      </c>
      <c r="AE6" s="190"/>
      <c r="AF6" s="190"/>
      <c r="AG6" s="190"/>
      <c r="AH6" s="190"/>
      <c r="AI6" s="191"/>
      <c r="AJ6" s="199"/>
      <c r="AK6" s="192" t="s">
        <v>6</v>
      </c>
      <c r="AL6" s="190"/>
      <c r="AM6" s="190"/>
      <c r="AN6" s="190"/>
      <c r="AO6" s="190"/>
      <c r="AP6" s="191"/>
      <c r="AQ6" s="199"/>
      <c r="AR6" s="192" t="s">
        <v>7</v>
      </c>
      <c r="AS6" s="190"/>
      <c r="AT6" s="190"/>
      <c r="AU6" s="190"/>
      <c r="AV6" s="190"/>
      <c r="AW6" s="190"/>
      <c r="AX6" s="190"/>
      <c r="AY6" s="191"/>
      <c r="AZ6" s="199"/>
      <c r="BA6" s="192" t="s">
        <v>8</v>
      </c>
      <c r="BB6" s="190"/>
      <c r="BC6" s="190"/>
      <c r="BD6" s="190"/>
      <c r="BE6" s="190"/>
      <c r="BF6" s="191"/>
      <c r="BG6" s="214"/>
      <c r="BH6" s="192" t="s">
        <v>9</v>
      </c>
      <c r="BI6" s="190"/>
      <c r="BJ6" s="190"/>
      <c r="BK6" s="191"/>
      <c r="BL6" s="7"/>
      <c r="BM6" s="192" t="s">
        <v>10</v>
      </c>
      <c r="BN6" s="191"/>
      <c r="BO6" s="7"/>
      <c r="BP6" s="192" t="s">
        <v>11</v>
      </c>
      <c r="BQ6" s="190"/>
      <c r="BR6" s="190"/>
      <c r="BS6" s="191"/>
      <c r="BT6" s="199"/>
      <c r="BU6" s="192" t="s">
        <v>12</v>
      </c>
      <c r="BV6" s="191"/>
      <c r="BW6" s="199"/>
      <c r="BX6" s="192" t="s">
        <v>13</v>
      </c>
      <c r="BY6" s="191"/>
      <c r="BZ6" s="196"/>
      <c r="CA6" s="194" t="s">
        <v>14</v>
      </c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</row>
    <row r="7" spans="1:95" ht="19.5" customHeight="1">
      <c r="A7" s="189" t="s">
        <v>15</v>
      </c>
      <c r="B7" s="190"/>
      <c r="C7" s="191"/>
      <c r="D7" s="10" t="s">
        <v>16</v>
      </c>
      <c r="E7" s="197"/>
      <c r="F7" s="11" t="s">
        <v>17</v>
      </c>
      <c r="G7" s="11" t="s">
        <v>18</v>
      </c>
      <c r="H7" s="11" t="s">
        <v>17</v>
      </c>
      <c r="I7" s="11" t="s">
        <v>18</v>
      </c>
      <c r="J7" s="7"/>
      <c r="K7" s="11" t="s">
        <v>17</v>
      </c>
      <c r="L7" s="11" t="s">
        <v>18</v>
      </c>
      <c r="M7" s="11" t="s">
        <v>17</v>
      </c>
      <c r="N7" s="11" t="s">
        <v>18</v>
      </c>
      <c r="O7" s="11" t="s">
        <v>17</v>
      </c>
      <c r="P7" s="11" t="s">
        <v>18</v>
      </c>
      <c r="Q7" s="7"/>
      <c r="R7" s="11" t="s">
        <v>17</v>
      </c>
      <c r="S7" s="11" t="s">
        <v>18</v>
      </c>
      <c r="T7" s="11" t="s">
        <v>17</v>
      </c>
      <c r="U7" s="11" t="s">
        <v>18</v>
      </c>
      <c r="V7" s="11" t="s">
        <v>17</v>
      </c>
      <c r="W7" s="11" t="s">
        <v>18</v>
      </c>
      <c r="X7" s="186"/>
      <c r="Y7" s="11" t="s">
        <v>17</v>
      </c>
      <c r="Z7" s="11" t="s">
        <v>18</v>
      </c>
      <c r="AA7" s="11" t="s">
        <v>17</v>
      </c>
      <c r="AB7" s="11" t="s">
        <v>18</v>
      </c>
      <c r="AC7" s="200"/>
      <c r="AD7" s="11" t="s">
        <v>17</v>
      </c>
      <c r="AE7" s="11" t="s">
        <v>18</v>
      </c>
      <c r="AF7" s="11" t="s">
        <v>17</v>
      </c>
      <c r="AG7" s="11" t="s">
        <v>18</v>
      </c>
      <c r="AH7" s="11" t="s">
        <v>17</v>
      </c>
      <c r="AI7" s="11" t="s">
        <v>18</v>
      </c>
      <c r="AJ7" s="200"/>
      <c r="AK7" s="11" t="s">
        <v>17</v>
      </c>
      <c r="AL7" s="11" t="s">
        <v>18</v>
      </c>
      <c r="AM7" s="11" t="s">
        <v>17</v>
      </c>
      <c r="AN7" s="11" t="s">
        <v>18</v>
      </c>
      <c r="AO7" s="11" t="s">
        <v>17</v>
      </c>
      <c r="AP7" s="11" t="s">
        <v>18</v>
      </c>
      <c r="AQ7" s="200"/>
      <c r="AR7" s="11" t="s">
        <v>17</v>
      </c>
      <c r="AS7" s="11" t="s">
        <v>18</v>
      </c>
      <c r="AT7" s="11" t="s">
        <v>17</v>
      </c>
      <c r="AU7" s="11" t="s">
        <v>18</v>
      </c>
      <c r="AV7" s="11" t="s">
        <v>17</v>
      </c>
      <c r="AW7" s="11" t="s">
        <v>18</v>
      </c>
      <c r="AX7" s="11" t="s">
        <v>17</v>
      </c>
      <c r="AY7" s="11" t="s">
        <v>18</v>
      </c>
      <c r="AZ7" s="200"/>
      <c r="BA7" s="11" t="s">
        <v>17</v>
      </c>
      <c r="BB7" s="11" t="s">
        <v>18</v>
      </c>
      <c r="BC7" s="11" t="s">
        <v>17</v>
      </c>
      <c r="BD7" s="11" t="s">
        <v>18</v>
      </c>
      <c r="BE7" s="11" t="s">
        <v>17</v>
      </c>
      <c r="BF7" s="11" t="s">
        <v>18</v>
      </c>
      <c r="BG7" s="186"/>
      <c r="BH7" s="11" t="s">
        <v>17</v>
      </c>
      <c r="BI7" s="11" t="s">
        <v>18</v>
      </c>
      <c r="BJ7" s="11" t="s">
        <v>17</v>
      </c>
      <c r="BK7" s="11" t="s">
        <v>18</v>
      </c>
      <c r="BL7" s="7"/>
      <c r="BM7" s="11" t="s">
        <v>17</v>
      </c>
      <c r="BN7" s="65" t="s">
        <v>18</v>
      </c>
      <c r="BO7" s="214"/>
      <c r="BP7" s="11" t="s">
        <v>17</v>
      </c>
      <c r="BQ7" s="11" t="s">
        <v>18</v>
      </c>
      <c r="BR7" s="11" t="s">
        <v>17</v>
      </c>
      <c r="BS7" s="11" t="s">
        <v>18</v>
      </c>
      <c r="BT7" s="200"/>
      <c r="BU7" s="195"/>
      <c r="BV7" s="191"/>
      <c r="BW7" s="200"/>
      <c r="BX7" s="195"/>
      <c r="BY7" s="191"/>
      <c r="BZ7" s="197"/>
      <c r="CA7" s="186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</row>
    <row r="8" spans="1:95" ht="19.5" customHeight="1">
      <c r="A8" s="189" t="s">
        <v>19</v>
      </c>
      <c r="B8" s="190"/>
      <c r="C8" s="191"/>
      <c r="D8" s="13" t="s">
        <v>64</v>
      </c>
      <c r="E8" s="197"/>
      <c r="F8" s="185" t="s">
        <v>21</v>
      </c>
      <c r="G8" s="188" t="s">
        <v>22</v>
      </c>
      <c r="H8" s="185" t="s">
        <v>21</v>
      </c>
      <c r="I8" s="188" t="s">
        <v>23</v>
      </c>
      <c r="J8" s="7"/>
      <c r="K8" s="185" t="s">
        <v>21</v>
      </c>
      <c r="L8" s="188" t="s">
        <v>24</v>
      </c>
      <c r="M8" s="185" t="s">
        <v>21</v>
      </c>
      <c r="N8" s="188" t="s">
        <v>25</v>
      </c>
      <c r="O8" s="185" t="s">
        <v>21</v>
      </c>
      <c r="P8" s="188" t="s">
        <v>26</v>
      </c>
      <c r="Q8" s="7"/>
      <c r="R8" s="185" t="s">
        <v>21</v>
      </c>
      <c r="S8" s="188" t="s">
        <v>27</v>
      </c>
      <c r="T8" s="185" t="s">
        <v>21</v>
      </c>
      <c r="U8" s="188" t="s">
        <v>28</v>
      </c>
      <c r="V8" s="185" t="s">
        <v>21</v>
      </c>
      <c r="W8" s="188" t="s">
        <v>29</v>
      </c>
      <c r="X8" s="186"/>
      <c r="Y8" s="185" t="s">
        <v>21</v>
      </c>
      <c r="Z8" s="223" t="s">
        <v>30</v>
      </c>
      <c r="AA8" s="185" t="s">
        <v>21</v>
      </c>
      <c r="AB8" s="225" t="s">
        <v>31</v>
      </c>
      <c r="AC8" s="200"/>
      <c r="AD8" s="185" t="s">
        <v>21</v>
      </c>
      <c r="AE8" s="188" t="s">
        <v>32</v>
      </c>
      <c r="AF8" s="185" t="s">
        <v>21</v>
      </c>
      <c r="AG8" s="188" t="s">
        <v>33</v>
      </c>
      <c r="AH8" s="185" t="s">
        <v>21</v>
      </c>
      <c r="AI8" s="188" t="s">
        <v>34</v>
      </c>
      <c r="AJ8" s="200"/>
      <c r="AK8" s="185" t="s">
        <v>21</v>
      </c>
      <c r="AL8" s="188" t="s">
        <v>35</v>
      </c>
      <c r="AM8" s="185" t="s">
        <v>21</v>
      </c>
      <c r="AN8" s="188" t="s">
        <v>36</v>
      </c>
      <c r="AO8" s="185" t="s">
        <v>21</v>
      </c>
      <c r="AP8" s="188" t="s">
        <v>37</v>
      </c>
      <c r="AQ8" s="200"/>
      <c r="AR8" s="185" t="s">
        <v>21</v>
      </c>
      <c r="AS8" s="188" t="s">
        <v>38</v>
      </c>
      <c r="AT8" s="185" t="s">
        <v>21</v>
      </c>
      <c r="AU8" s="188" t="s">
        <v>39</v>
      </c>
      <c r="AV8" s="185" t="s">
        <v>21</v>
      </c>
      <c r="AW8" s="188" t="s">
        <v>40</v>
      </c>
      <c r="AX8" s="185" t="s">
        <v>21</v>
      </c>
      <c r="AY8" s="188" t="s">
        <v>41</v>
      </c>
      <c r="AZ8" s="200"/>
      <c r="BA8" s="185" t="s">
        <v>21</v>
      </c>
      <c r="BB8" s="188" t="s">
        <v>42</v>
      </c>
      <c r="BC8" s="185" t="s">
        <v>21</v>
      </c>
      <c r="BD8" s="188" t="s">
        <v>43</v>
      </c>
      <c r="BE8" s="185" t="s">
        <v>21</v>
      </c>
      <c r="BF8" s="188" t="s">
        <v>44</v>
      </c>
      <c r="BG8" s="186"/>
      <c r="BH8" s="226" t="s">
        <v>21</v>
      </c>
      <c r="BI8" s="188" t="s">
        <v>45</v>
      </c>
      <c r="BJ8" s="185" t="s">
        <v>21</v>
      </c>
      <c r="BK8" s="188" t="s">
        <v>46</v>
      </c>
      <c r="BL8" s="7"/>
      <c r="BM8" s="185" t="s">
        <v>21</v>
      </c>
      <c r="BN8" s="227" t="s">
        <v>47</v>
      </c>
      <c r="BO8" s="186"/>
      <c r="BP8" s="185" t="s">
        <v>21</v>
      </c>
      <c r="BQ8" s="188" t="s">
        <v>48</v>
      </c>
      <c r="BR8" s="185" t="s">
        <v>21</v>
      </c>
      <c r="BS8" s="188" t="s">
        <v>49</v>
      </c>
      <c r="BT8" s="200"/>
      <c r="BU8" s="188" t="s">
        <v>50</v>
      </c>
      <c r="BV8" s="188" t="s">
        <v>51</v>
      </c>
      <c r="BW8" s="200"/>
      <c r="BX8" s="188" t="s">
        <v>50</v>
      </c>
      <c r="BY8" s="188" t="s">
        <v>51</v>
      </c>
      <c r="BZ8" s="197"/>
      <c r="CA8" s="186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</row>
    <row r="9" spans="1:95" ht="19.5" customHeight="1">
      <c r="A9" s="189" t="s">
        <v>52</v>
      </c>
      <c r="B9" s="190"/>
      <c r="C9" s="191"/>
      <c r="D9" s="13">
        <v>2023</v>
      </c>
      <c r="E9" s="197"/>
      <c r="F9" s="186"/>
      <c r="G9" s="186"/>
      <c r="H9" s="186"/>
      <c r="I9" s="186"/>
      <c r="J9" s="7"/>
      <c r="K9" s="186"/>
      <c r="L9" s="186"/>
      <c r="M9" s="186"/>
      <c r="N9" s="186"/>
      <c r="O9" s="186"/>
      <c r="P9" s="186"/>
      <c r="Q9" s="7"/>
      <c r="R9" s="186"/>
      <c r="S9" s="186"/>
      <c r="T9" s="186"/>
      <c r="U9" s="186"/>
      <c r="V9" s="186"/>
      <c r="W9" s="186"/>
      <c r="X9" s="186"/>
      <c r="Y9" s="186"/>
      <c r="Z9" s="224"/>
      <c r="AA9" s="186"/>
      <c r="AB9" s="184"/>
      <c r="AC9" s="200"/>
      <c r="AD9" s="186"/>
      <c r="AE9" s="186"/>
      <c r="AF9" s="186"/>
      <c r="AG9" s="186"/>
      <c r="AH9" s="186"/>
      <c r="AI9" s="186"/>
      <c r="AJ9" s="200"/>
      <c r="AK9" s="186"/>
      <c r="AL9" s="186"/>
      <c r="AM9" s="186"/>
      <c r="AN9" s="186"/>
      <c r="AO9" s="186"/>
      <c r="AP9" s="186"/>
      <c r="AQ9" s="200"/>
      <c r="AR9" s="186"/>
      <c r="AS9" s="186"/>
      <c r="AT9" s="186"/>
      <c r="AU9" s="186"/>
      <c r="AV9" s="186"/>
      <c r="AW9" s="186"/>
      <c r="AX9" s="186"/>
      <c r="AY9" s="186"/>
      <c r="AZ9" s="200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7"/>
      <c r="BM9" s="186"/>
      <c r="BN9" s="186"/>
      <c r="BO9" s="186"/>
      <c r="BP9" s="186"/>
      <c r="BQ9" s="186"/>
      <c r="BR9" s="186"/>
      <c r="BS9" s="186"/>
      <c r="BT9" s="200"/>
      <c r="BU9" s="186"/>
      <c r="BV9" s="186"/>
      <c r="BW9" s="200"/>
      <c r="BX9" s="186"/>
      <c r="BY9" s="186"/>
      <c r="BZ9" s="197"/>
      <c r="CA9" s="186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</row>
    <row r="10" spans="1:95" ht="19.5" customHeight="1">
      <c r="A10" s="215" t="s">
        <v>224</v>
      </c>
      <c r="B10" s="191"/>
      <c r="C10" s="215" t="s">
        <v>225</v>
      </c>
      <c r="D10" s="191"/>
      <c r="E10" s="197"/>
      <c r="F10" s="186"/>
      <c r="G10" s="186"/>
      <c r="H10" s="186"/>
      <c r="I10" s="186"/>
      <c r="J10" s="7"/>
      <c r="K10" s="186"/>
      <c r="L10" s="186"/>
      <c r="M10" s="186"/>
      <c r="N10" s="186"/>
      <c r="O10" s="186"/>
      <c r="P10" s="186"/>
      <c r="Q10" s="7"/>
      <c r="R10" s="186"/>
      <c r="S10" s="186"/>
      <c r="T10" s="186"/>
      <c r="U10" s="186"/>
      <c r="V10" s="186"/>
      <c r="W10" s="186"/>
      <c r="X10" s="186"/>
      <c r="Y10" s="186"/>
      <c r="Z10" s="224"/>
      <c r="AA10" s="186"/>
      <c r="AB10" s="184"/>
      <c r="AC10" s="200"/>
      <c r="AD10" s="186"/>
      <c r="AE10" s="186"/>
      <c r="AF10" s="186"/>
      <c r="AG10" s="186"/>
      <c r="AH10" s="186"/>
      <c r="AI10" s="186"/>
      <c r="AJ10" s="200"/>
      <c r="AK10" s="186"/>
      <c r="AL10" s="186"/>
      <c r="AM10" s="186"/>
      <c r="AN10" s="186"/>
      <c r="AO10" s="186"/>
      <c r="AP10" s="186"/>
      <c r="AQ10" s="200"/>
      <c r="AR10" s="186"/>
      <c r="AS10" s="186"/>
      <c r="AT10" s="186"/>
      <c r="AU10" s="186"/>
      <c r="AV10" s="186"/>
      <c r="AW10" s="186"/>
      <c r="AX10" s="186"/>
      <c r="AY10" s="186"/>
      <c r="AZ10" s="20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7"/>
      <c r="BM10" s="186"/>
      <c r="BN10" s="186"/>
      <c r="BO10" s="186"/>
      <c r="BP10" s="186"/>
      <c r="BQ10" s="186"/>
      <c r="BR10" s="186"/>
      <c r="BS10" s="186"/>
      <c r="BT10" s="200"/>
      <c r="BU10" s="186"/>
      <c r="BV10" s="186"/>
      <c r="BW10" s="200"/>
      <c r="BX10" s="186"/>
      <c r="BY10" s="186"/>
      <c r="BZ10" s="197"/>
      <c r="CA10" s="186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</row>
    <row r="11" spans="1:95" ht="19.5" customHeight="1">
      <c r="A11" s="216" t="s">
        <v>55</v>
      </c>
      <c r="B11" s="217" t="s">
        <v>56</v>
      </c>
      <c r="C11" s="204"/>
      <c r="D11" s="218"/>
      <c r="E11" s="197"/>
      <c r="F11" s="186"/>
      <c r="G11" s="187"/>
      <c r="H11" s="186"/>
      <c r="I11" s="187"/>
      <c r="J11" s="17"/>
      <c r="K11" s="186"/>
      <c r="L11" s="187"/>
      <c r="M11" s="186"/>
      <c r="N11" s="187"/>
      <c r="O11" s="186"/>
      <c r="P11" s="187"/>
      <c r="Q11" s="17"/>
      <c r="R11" s="186"/>
      <c r="S11" s="187"/>
      <c r="T11" s="186"/>
      <c r="U11" s="187"/>
      <c r="V11" s="186"/>
      <c r="W11" s="187"/>
      <c r="X11" s="186"/>
      <c r="Y11" s="186"/>
      <c r="Z11" s="224"/>
      <c r="AA11" s="186"/>
      <c r="AB11" s="184"/>
      <c r="AC11" s="200"/>
      <c r="AD11" s="186"/>
      <c r="AE11" s="187"/>
      <c r="AF11" s="186"/>
      <c r="AG11" s="187"/>
      <c r="AH11" s="186"/>
      <c r="AI11" s="187"/>
      <c r="AJ11" s="200"/>
      <c r="AK11" s="186"/>
      <c r="AL11" s="187"/>
      <c r="AM11" s="186"/>
      <c r="AN11" s="187"/>
      <c r="AO11" s="186"/>
      <c r="AP11" s="187"/>
      <c r="AQ11" s="200"/>
      <c r="AR11" s="186"/>
      <c r="AS11" s="187"/>
      <c r="AT11" s="186"/>
      <c r="AU11" s="187"/>
      <c r="AV11" s="186"/>
      <c r="AW11" s="187"/>
      <c r="AX11" s="186"/>
      <c r="AY11" s="187"/>
      <c r="AZ11" s="200"/>
      <c r="BA11" s="186"/>
      <c r="BB11" s="187"/>
      <c r="BC11" s="186"/>
      <c r="BD11" s="187"/>
      <c r="BE11" s="186"/>
      <c r="BF11" s="187"/>
      <c r="BG11" s="186"/>
      <c r="BH11" s="186"/>
      <c r="BI11" s="187"/>
      <c r="BJ11" s="186"/>
      <c r="BK11" s="187"/>
      <c r="BL11" s="202"/>
      <c r="BM11" s="186"/>
      <c r="BN11" s="187"/>
      <c r="BO11" s="186"/>
      <c r="BP11" s="186"/>
      <c r="BQ11" s="187"/>
      <c r="BR11" s="186"/>
      <c r="BS11" s="187"/>
      <c r="BT11" s="200"/>
      <c r="BU11" s="187"/>
      <c r="BV11" s="187"/>
      <c r="BW11" s="200"/>
      <c r="BX11" s="187"/>
      <c r="BY11" s="187"/>
      <c r="BZ11" s="197"/>
      <c r="CA11" s="186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</row>
    <row r="12" spans="1:95" ht="32.25" customHeight="1">
      <c r="A12" s="187"/>
      <c r="B12" s="219"/>
      <c r="C12" s="220"/>
      <c r="D12" s="221"/>
      <c r="E12" s="197"/>
      <c r="F12" s="187"/>
      <c r="G12" s="18" t="s">
        <v>57</v>
      </c>
      <c r="H12" s="187"/>
      <c r="I12" s="19" t="s">
        <v>57</v>
      </c>
      <c r="J12" s="17"/>
      <c r="K12" s="187"/>
      <c r="L12" s="18" t="s">
        <v>57</v>
      </c>
      <c r="M12" s="187"/>
      <c r="N12" s="18" t="s">
        <v>57</v>
      </c>
      <c r="O12" s="187"/>
      <c r="P12" s="18" t="s">
        <v>57</v>
      </c>
      <c r="Q12" s="17"/>
      <c r="R12" s="187"/>
      <c r="S12" s="18" t="s">
        <v>57</v>
      </c>
      <c r="T12" s="187"/>
      <c r="U12" s="18" t="s">
        <v>57</v>
      </c>
      <c r="V12" s="187"/>
      <c r="W12" s="18" t="s">
        <v>57</v>
      </c>
      <c r="X12" s="186"/>
      <c r="Y12" s="187"/>
      <c r="Z12" s="19" t="s">
        <v>57</v>
      </c>
      <c r="AA12" s="187"/>
      <c r="AB12" s="19" t="s">
        <v>58</v>
      </c>
      <c r="AC12" s="200"/>
      <c r="AD12" s="187"/>
      <c r="AE12" s="20" t="s">
        <v>58</v>
      </c>
      <c r="AF12" s="187"/>
      <c r="AG12" s="21" t="s">
        <v>58</v>
      </c>
      <c r="AH12" s="187"/>
      <c r="AI12" s="22" t="s">
        <v>58</v>
      </c>
      <c r="AJ12" s="200"/>
      <c r="AK12" s="187"/>
      <c r="AL12" s="19" t="s">
        <v>58</v>
      </c>
      <c r="AM12" s="187"/>
      <c r="AN12" s="19" t="s">
        <v>58</v>
      </c>
      <c r="AO12" s="187"/>
      <c r="AP12" s="19" t="s">
        <v>58</v>
      </c>
      <c r="AQ12" s="200"/>
      <c r="AR12" s="187"/>
      <c r="AS12" s="18" t="s">
        <v>57</v>
      </c>
      <c r="AT12" s="187"/>
      <c r="AU12" s="18" t="s">
        <v>57</v>
      </c>
      <c r="AV12" s="187"/>
      <c r="AW12" s="18" t="s">
        <v>57</v>
      </c>
      <c r="AX12" s="187"/>
      <c r="AY12" s="18" t="s">
        <v>57</v>
      </c>
      <c r="AZ12" s="200"/>
      <c r="BA12" s="187"/>
      <c r="BB12" s="18" t="s">
        <v>57</v>
      </c>
      <c r="BC12" s="187"/>
      <c r="BD12" s="18" t="s">
        <v>57</v>
      </c>
      <c r="BE12" s="187"/>
      <c r="BF12" s="18" t="s">
        <v>57</v>
      </c>
      <c r="BG12" s="186"/>
      <c r="BH12" s="187"/>
      <c r="BI12" s="18" t="s">
        <v>57</v>
      </c>
      <c r="BJ12" s="187"/>
      <c r="BK12" s="18" t="s">
        <v>57</v>
      </c>
      <c r="BL12" s="200"/>
      <c r="BM12" s="187"/>
      <c r="BN12" s="18" t="s">
        <v>57</v>
      </c>
      <c r="BO12" s="186"/>
      <c r="BP12" s="187"/>
      <c r="BQ12" s="18" t="s">
        <v>57</v>
      </c>
      <c r="BR12" s="187"/>
      <c r="BS12" s="18" t="s">
        <v>57</v>
      </c>
      <c r="BT12" s="200"/>
      <c r="BU12" s="18" t="s">
        <v>59</v>
      </c>
      <c r="BV12" s="18" t="s">
        <v>59</v>
      </c>
      <c r="BW12" s="200"/>
      <c r="BX12" s="18" t="s">
        <v>60</v>
      </c>
      <c r="BY12" s="18" t="s">
        <v>60</v>
      </c>
      <c r="BZ12" s="197"/>
      <c r="CA12" s="187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</row>
    <row r="13" spans="1:95" ht="33" customHeight="1">
      <c r="A13" s="24">
        <v>1</v>
      </c>
      <c r="B13" s="66" t="s">
        <v>226</v>
      </c>
      <c r="C13" s="67" t="s">
        <v>227</v>
      </c>
      <c r="D13" s="68" t="s">
        <v>228</v>
      </c>
      <c r="E13" s="197"/>
      <c r="F13" s="27" t="s">
        <v>20</v>
      </c>
      <c r="G13" s="48" t="s">
        <v>229</v>
      </c>
      <c r="H13" s="27" t="s">
        <v>20</v>
      </c>
      <c r="I13" s="48" t="s">
        <v>229</v>
      </c>
      <c r="J13" s="29"/>
      <c r="K13" s="27" t="s">
        <v>20</v>
      </c>
      <c r="L13" s="31" t="s">
        <v>68</v>
      </c>
      <c r="M13" s="27" t="s">
        <v>20</v>
      </c>
      <c r="N13" s="31" t="s">
        <v>68</v>
      </c>
      <c r="O13" s="27" t="s">
        <v>20</v>
      </c>
      <c r="P13" s="31" t="s">
        <v>68</v>
      </c>
      <c r="Q13" s="17"/>
      <c r="R13" s="27" t="s">
        <v>20</v>
      </c>
      <c r="S13" s="35" t="s">
        <v>161</v>
      </c>
      <c r="T13" s="33" t="s">
        <v>20</v>
      </c>
      <c r="U13" s="32" t="s">
        <v>70</v>
      </c>
      <c r="V13" s="33" t="s">
        <v>20</v>
      </c>
      <c r="W13" s="32" t="s">
        <v>71</v>
      </c>
      <c r="X13" s="186"/>
      <c r="Y13" s="33" t="s">
        <v>64</v>
      </c>
      <c r="Z13" s="28" t="s">
        <v>97</v>
      </c>
      <c r="AA13" s="27" t="s">
        <v>102</v>
      </c>
      <c r="AB13" s="28" t="s">
        <v>169</v>
      </c>
      <c r="AC13" s="200"/>
      <c r="AD13" s="27" t="s">
        <v>64</v>
      </c>
      <c r="AE13" s="28" t="s">
        <v>230</v>
      </c>
      <c r="AF13" s="27" t="s">
        <v>64</v>
      </c>
      <c r="AG13" s="28" t="s">
        <v>76</v>
      </c>
      <c r="AH13" s="27" t="s">
        <v>64</v>
      </c>
      <c r="AI13" s="28" t="s">
        <v>231</v>
      </c>
      <c r="AJ13" s="200"/>
      <c r="AK13" s="27" t="s">
        <v>64</v>
      </c>
      <c r="AL13" s="35" t="s">
        <v>232</v>
      </c>
      <c r="AM13" s="27" t="s">
        <v>20</v>
      </c>
      <c r="AN13" s="35" t="s">
        <v>233</v>
      </c>
      <c r="AO13" s="27" t="s">
        <v>20</v>
      </c>
      <c r="AP13" s="35" t="s">
        <v>234</v>
      </c>
      <c r="AQ13" s="200"/>
      <c r="AR13" s="27" t="s">
        <v>64</v>
      </c>
      <c r="AS13" s="28" t="s">
        <v>81</v>
      </c>
      <c r="AT13" s="27" t="s">
        <v>64</v>
      </c>
      <c r="AU13" s="28" t="s">
        <v>82</v>
      </c>
      <c r="AV13" s="27" t="s">
        <v>64</v>
      </c>
      <c r="AW13" s="28" t="s">
        <v>83</v>
      </c>
      <c r="AX13" s="27" t="s">
        <v>64</v>
      </c>
      <c r="AY13" s="28" t="s">
        <v>84</v>
      </c>
      <c r="AZ13" s="200"/>
      <c r="BA13" s="27" t="s">
        <v>20</v>
      </c>
      <c r="BB13" s="28" t="s">
        <v>124</v>
      </c>
      <c r="BC13" s="27" t="s">
        <v>64</v>
      </c>
      <c r="BD13" s="28" t="s">
        <v>86</v>
      </c>
      <c r="BE13" s="27" t="s">
        <v>64</v>
      </c>
      <c r="BF13" s="28" t="s">
        <v>145</v>
      </c>
      <c r="BG13" s="186"/>
      <c r="BH13" s="69" t="s">
        <v>20</v>
      </c>
      <c r="BI13" s="38" t="s">
        <v>140</v>
      </c>
      <c r="BJ13" s="69" t="s">
        <v>64</v>
      </c>
      <c r="BK13" s="38" t="s">
        <v>89</v>
      </c>
      <c r="BL13" s="200"/>
      <c r="BM13" s="27" t="s">
        <v>64</v>
      </c>
      <c r="BN13" s="70" t="s">
        <v>146</v>
      </c>
      <c r="BO13" s="186"/>
      <c r="BP13" s="27" t="s">
        <v>20</v>
      </c>
      <c r="BQ13" s="28" t="s">
        <v>235</v>
      </c>
      <c r="BR13" s="27" t="s">
        <v>20</v>
      </c>
      <c r="BS13" s="28" t="s">
        <v>236</v>
      </c>
      <c r="BT13" s="200"/>
      <c r="BU13" s="40"/>
      <c r="BV13" s="28">
        <v>1</v>
      </c>
      <c r="BW13" s="200"/>
      <c r="BX13" s="40"/>
      <c r="BY13" s="40"/>
      <c r="BZ13" s="197"/>
      <c r="CA13" s="41" t="s">
        <v>20</v>
      </c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</row>
    <row r="14" spans="1:95" ht="33" customHeight="1">
      <c r="A14" s="24">
        <v>2</v>
      </c>
      <c r="B14" s="71" t="s">
        <v>237</v>
      </c>
      <c r="C14" s="72" t="s">
        <v>238</v>
      </c>
      <c r="D14" s="73" t="s">
        <v>239</v>
      </c>
      <c r="E14" s="197"/>
      <c r="F14" s="27" t="s">
        <v>102</v>
      </c>
      <c r="G14" s="28" t="s">
        <v>240</v>
      </c>
      <c r="H14" s="27" t="s">
        <v>64</v>
      </c>
      <c r="I14" s="48" t="s">
        <v>241</v>
      </c>
      <c r="J14" s="29"/>
      <c r="K14" s="27" t="s">
        <v>64</v>
      </c>
      <c r="L14" s="30" t="s">
        <v>67</v>
      </c>
      <c r="M14" s="27" t="s">
        <v>64</v>
      </c>
      <c r="N14" s="30" t="s">
        <v>67</v>
      </c>
      <c r="O14" s="27" t="s">
        <v>64</v>
      </c>
      <c r="P14" s="30" t="s">
        <v>67</v>
      </c>
      <c r="Q14" s="17"/>
      <c r="R14" s="27" t="s">
        <v>64</v>
      </c>
      <c r="S14" s="35" t="s">
        <v>114</v>
      </c>
      <c r="T14" s="33" t="s">
        <v>64</v>
      </c>
      <c r="U14" s="177" t="s">
        <v>115</v>
      </c>
      <c r="V14" s="33" t="s">
        <v>64</v>
      </c>
      <c r="W14" s="46" t="s">
        <v>116</v>
      </c>
      <c r="X14" s="186"/>
      <c r="Y14" s="27" t="s">
        <v>64</v>
      </c>
      <c r="Z14" s="28" t="s">
        <v>97</v>
      </c>
      <c r="AA14" s="27" t="s">
        <v>102</v>
      </c>
      <c r="AB14" s="28" t="s">
        <v>169</v>
      </c>
      <c r="AC14" s="200"/>
      <c r="AD14" s="27" t="s">
        <v>102</v>
      </c>
      <c r="AE14" s="34" t="s">
        <v>105</v>
      </c>
      <c r="AF14" s="27" t="s">
        <v>102</v>
      </c>
      <c r="AG14" s="34" t="s">
        <v>105</v>
      </c>
      <c r="AH14" s="27" t="s">
        <v>64</v>
      </c>
      <c r="AI14" s="28" t="s">
        <v>231</v>
      </c>
      <c r="AJ14" s="200"/>
      <c r="AK14" s="27" t="s">
        <v>64</v>
      </c>
      <c r="AL14" s="35" t="s">
        <v>232</v>
      </c>
      <c r="AM14" s="27" t="s">
        <v>64</v>
      </c>
      <c r="AN14" s="35" t="s">
        <v>242</v>
      </c>
      <c r="AO14" s="27" t="s">
        <v>20</v>
      </c>
      <c r="AP14" s="35" t="s">
        <v>234</v>
      </c>
      <c r="AQ14" s="200"/>
      <c r="AR14" s="27" t="s">
        <v>64</v>
      </c>
      <c r="AS14" s="28" t="s">
        <v>81</v>
      </c>
      <c r="AT14" s="27" t="s">
        <v>64</v>
      </c>
      <c r="AU14" s="28" t="s">
        <v>82</v>
      </c>
      <c r="AV14" s="27" t="s">
        <v>64</v>
      </c>
      <c r="AW14" s="28" t="s">
        <v>83</v>
      </c>
      <c r="AX14" s="27" t="s">
        <v>64</v>
      </c>
      <c r="AY14" s="28" t="s">
        <v>84</v>
      </c>
      <c r="AZ14" s="200"/>
      <c r="BA14" s="27" t="s">
        <v>64</v>
      </c>
      <c r="BB14" s="28" t="s">
        <v>85</v>
      </c>
      <c r="BC14" s="27" t="s">
        <v>64</v>
      </c>
      <c r="BD14" s="28" t="s">
        <v>86</v>
      </c>
      <c r="BE14" s="27" t="s">
        <v>102</v>
      </c>
      <c r="BF14" s="28" t="s">
        <v>107</v>
      </c>
      <c r="BG14" s="186"/>
      <c r="BH14" s="69" t="s">
        <v>64</v>
      </c>
      <c r="BI14" s="35" t="s">
        <v>88</v>
      </c>
      <c r="BJ14" s="69" t="s">
        <v>102</v>
      </c>
      <c r="BK14" s="38" t="s">
        <v>108</v>
      </c>
      <c r="BL14" s="200"/>
      <c r="BM14" s="27" t="s">
        <v>64</v>
      </c>
      <c r="BN14" s="70" t="s">
        <v>146</v>
      </c>
      <c r="BO14" s="186"/>
      <c r="BP14" s="27" t="s">
        <v>20</v>
      </c>
      <c r="BQ14" s="28" t="s">
        <v>235</v>
      </c>
      <c r="BR14" s="27" t="s">
        <v>64</v>
      </c>
      <c r="BS14" s="28" t="s">
        <v>243</v>
      </c>
      <c r="BT14" s="200"/>
      <c r="BU14" s="40"/>
      <c r="BV14" s="28">
        <v>2</v>
      </c>
      <c r="BW14" s="200"/>
      <c r="BX14" s="40"/>
      <c r="BY14" s="28">
        <v>1</v>
      </c>
      <c r="BZ14" s="197"/>
      <c r="CA14" s="41" t="s">
        <v>20</v>
      </c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</row>
    <row r="15" spans="1:95" ht="33" customHeight="1">
      <c r="A15" s="24">
        <v>3</v>
      </c>
      <c r="B15" s="71" t="s">
        <v>244</v>
      </c>
      <c r="C15" s="72" t="s">
        <v>245</v>
      </c>
      <c r="D15" s="73" t="s">
        <v>246</v>
      </c>
      <c r="E15" s="197"/>
      <c r="F15" s="27" t="s">
        <v>20</v>
      </c>
      <c r="G15" s="48" t="s">
        <v>229</v>
      </c>
      <c r="H15" s="27" t="s">
        <v>20</v>
      </c>
      <c r="I15" s="42" t="s">
        <v>229</v>
      </c>
      <c r="J15" s="29"/>
      <c r="K15" s="27" t="s">
        <v>64</v>
      </c>
      <c r="L15" s="30" t="s">
        <v>67</v>
      </c>
      <c r="M15" s="27" t="s">
        <v>102</v>
      </c>
      <c r="N15" s="28" t="s">
        <v>103</v>
      </c>
      <c r="O15" s="27" t="s">
        <v>64</v>
      </c>
      <c r="P15" s="30" t="s">
        <v>67</v>
      </c>
      <c r="Q15" s="17"/>
      <c r="R15" s="27" t="s">
        <v>20</v>
      </c>
      <c r="S15" s="35" t="s">
        <v>161</v>
      </c>
      <c r="T15" s="33" t="s">
        <v>20</v>
      </c>
      <c r="U15" s="32" t="s">
        <v>70</v>
      </c>
      <c r="V15" s="33" t="s">
        <v>20</v>
      </c>
      <c r="W15" s="32" t="s">
        <v>71</v>
      </c>
      <c r="X15" s="186"/>
      <c r="Y15" s="27" t="s">
        <v>20</v>
      </c>
      <c r="Z15" s="28" t="s">
        <v>247</v>
      </c>
      <c r="AA15" s="27" t="s">
        <v>20</v>
      </c>
      <c r="AB15" s="28" t="s">
        <v>97</v>
      </c>
      <c r="AC15" s="200"/>
      <c r="AD15" s="27" t="s">
        <v>64</v>
      </c>
      <c r="AE15" s="28" t="s">
        <v>230</v>
      </c>
      <c r="AF15" s="27" t="s">
        <v>64</v>
      </c>
      <c r="AG15" s="28" t="s">
        <v>76</v>
      </c>
      <c r="AH15" s="27" t="s">
        <v>64</v>
      </c>
      <c r="AI15" s="28" t="s">
        <v>231</v>
      </c>
      <c r="AJ15" s="200"/>
      <c r="AK15" s="27" t="s">
        <v>64</v>
      </c>
      <c r="AL15" s="35" t="s">
        <v>232</v>
      </c>
      <c r="AM15" s="27" t="s">
        <v>20</v>
      </c>
      <c r="AN15" s="35" t="s">
        <v>233</v>
      </c>
      <c r="AO15" s="27" t="s">
        <v>20</v>
      </c>
      <c r="AP15" s="35" t="s">
        <v>234</v>
      </c>
      <c r="AQ15" s="200"/>
      <c r="AR15" s="27" t="s">
        <v>20</v>
      </c>
      <c r="AS15" s="28" t="s">
        <v>197</v>
      </c>
      <c r="AT15" s="27" t="s">
        <v>20</v>
      </c>
      <c r="AU15" s="28" t="s">
        <v>198</v>
      </c>
      <c r="AV15" s="27" t="s">
        <v>20</v>
      </c>
      <c r="AW15" s="28" t="s">
        <v>199</v>
      </c>
      <c r="AX15" s="27" t="s">
        <v>20</v>
      </c>
      <c r="AY15" s="28" t="s">
        <v>200</v>
      </c>
      <c r="AZ15" s="200"/>
      <c r="BA15" s="27" t="s">
        <v>20</v>
      </c>
      <c r="BB15" s="28" t="s">
        <v>124</v>
      </c>
      <c r="BC15" s="27" t="s">
        <v>64</v>
      </c>
      <c r="BD15" s="28" t="s">
        <v>86</v>
      </c>
      <c r="BE15" s="27" t="s">
        <v>64</v>
      </c>
      <c r="BF15" s="28" t="s">
        <v>145</v>
      </c>
      <c r="BG15" s="186"/>
      <c r="BH15" s="69" t="s">
        <v>20</v>
      </c>
      <c r="BI15" s="38" t="s">
        <v>140</v>
      </c>
      <c r="BJ15" s="69" t="s">
        <v>64</v>
      </c>
      <c r="BK15" s="38" t="s">
        <v>89</v>
      </c>
      <c r="BL15" s="200"/>
      <c r="BM15" s="27" t="s">
        <v>64</v>
      </c>
      <c r="BN15" s="70" t="s">
        <v>146</v>
      </c>
      <c r="BO15" s="186"/>
      <c r="BP15" s="27" t="s">
        <v>20</v>
      </c>
      <c r="BQ15" s="28" t="s">
        <v>235</v>
      </c>
      <c r="BR15" s="27" t="s">
        <v>20</v>
      </c>
      <c r="BS15" s="28" t="s">
        <v>236</v>
      </c>
      <c r="BT15" s="200"/>
      <c r="BU15" s="40"/>
      <c r="BV15" s="28"/>
      <c r="BW15" s="200"/>
      <c r="BX15" s="40"/>
      <c r="BY15" s="28">
        <v>3</v>
      </c>
      <c r="BZ15" s="197"/>
      <c r="CA15" s="41" t="s">
        <v>20</v>
      </c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</row>
    <row r="16" spans="1:95" ht="33" customHeight="1">
      <c r="A16" s="24">
        <v>4</v>
      </c>
      <c r="B16" s="74" t="s">
        <v>248</v>
      </c>
      <c r="C16" s="75" t="s">
        <v>249</v>
      </c>
      <c r="D16" s="76" t="s">
        <v>250</v>
      </c>
      <c r="E16" s="197"/>
      <c r="F16" s="27" t="s">
        <v>64</v>
      </c>
      <c r="G16" s="42" t="s">
        <v>241</v>
      </c>
      <c r="H16" s="27" t="s">
        <v>102</v>
      </c>
      <c r="I16" s="48" t="s">
        <v>240</v>
      </c>
      <c r="J16" s="29"/>
      <c r="K16" s="27" t="s">
        <v>64</v>
      </c>
      <c r="L16" s="30" t="s">
        <v>67</v>
      </c>
      <c r="M16" s="27" t="s">
        <v>102</v>
      </c>
      <c r="N16" s="28" t="s">
        <v>103</v>
      </c>
      <c r="O16" s="27" t="s">
        <v>102</v>
      </c>
      <c r="P16" s="28" t="s">
        <v>103</v>
      </c>
      <c r="Q16" s="29"/>
      <c r="R16" s="27" t="s">
        <v>20</v>
      </c>
      <c r="S16" s="28" t="s">
        <v>161</v>
      </c>
      <c r="T16" s="27" t="s">
        <v>64</v>
      </c>
      <c r="U16" s="32" t="s">
        <v>115</v>
      </c>
      <c r="V16" s="27" t="s">
        <v>20</v>
      </c>
      <c r="W16" s="32" t="s">
        <v>71</v>
      </c>
      <c r="X16" s="186"/>
      <c r="Y16" s="27" t="s">
        <v>64</v>
      </c>
      <c r="Z16" s="28" t="s">
        <v>97</v>
      </c>
      <c r="AA16" s="27" t="s">
        <v>20</v>
      </c>
      <c r="AB16" s="28" t="s">
        <v>97</v>
      </c>
      <c r="AC16" s="200"/>
      <c r="AD16" s="27" t="s">
        <v>102</v>
      </c>
      <c r="AE16" s="34" t="s">
        <v>105</v>
      </c>
      <c r="AF16" s="27" t="s">
        <v>102</v>
      </c>
      <c r="AG16" s="34" t="s">
        <v>105</v>
      </c>
      <c r="AH16" s="27" t="s">
        <v>64</v>
      </c>
      <c r="AI16" s="28" t="s">
        <v>231</v>
      </c>
      <c r="AJ16" s="200"/>
      <c r="AK16" s="27" t="s">
        <v>64</v>
      </c>
      <c r="AL16" s="35" t="s">
        <v>232</v>
      </c>
      <c r="AM16" s="27" t="s">
        <v>64</v>
      </c>
      <c r="AN16" s="35" t="s">
        <v>242</v>
      </c>
      <c r="AO16" s="27" t="s">
        <v>20</v>
      </c>
      <c r="AP16" s="35" t="s">
        <v>234</v>
      </c>
      <c r="AQ16" s="200"/>
      <c r="AR16" s="27" t="s">
        <v>64</v>
      </c>
      <c r="AS16" s="28" t="s">
        <v>81</v>
      </c>
      <c r="AT16" s="27" t="s">
        <v>64</v>
      </c>
      <c r="AU16" s="28" t="s">
        <v>82</v>
      </c>
      <c r="AV16" s="27" t="s">
        <v>64</v>
      </c>
      <c r="AW16" s="28" t="s">
        <v>83</v>
      </c>
      <c r="AX16" s="27" t="s">
        <v>64</v>
      </c>
      <c r="AY16" s="28" t="s">
        <v>84</v>
      </c>
      <c r="AZ16" s="200"/>
      <c r="BA16" s="27" t="s">
        <v>64</v>
      </c>
      <c r="BB16" s="28" t="s">
        <v>85</v>
      </c>
      <c r="BC16" s="27" t="s">
        <v>64</v>
      </c>
      <c r="BD16" s="28" t="s">
        <v>86</v>
      </c>
      <c r="BE16" s="27" t="s">
        <v>64</v>
      </c>
      <c r="BF16" s="28" t="s">
        <v>145</v>
      </c>
      <c r="BG16" s="186"/>
      <c r="BH16" s="69" t="s">
        <v>64</v>
      </c>
      <c r="BI16" s="35" t="s">
        <v>88</v>
      </c>
      <c r="BJ16" s="69" t="s">
        <v>64</v>
      </c>
      <c r="BK16" s="38" t="s">
        <v>89</v>
      </c>
      <c r="BL16" s="200"/>
      <c r="BM16" s="27" t="s">
        <v>64</v>
      </c>
      <c r="BN16" s="70" t="s">
        <v>146</v>
      </c>
      <c r="BO16" s="186"/>
      <c r="BP16" s="27" t="s">
        <v>20</v>
      </c>
      <c r="BQ16" s="28" t="s">
        <v>235</v>
      </c>
      <c r="BR16" s="27" t="s">
        <v>20</v>
      </c>
      <c r="BS16" s="28" t="s">
        <v>236</v>
      </c>
      <c r="BT16" s="200"/>
      <c r="BU16" s="40"/>
      <c r="BV16" s="28">
        <v>2</v>
      </c>
      <c r="BW16" s="200"/>
      <c r="BX16" s="40"/>
      <c r="BY16" s="40"/>
      <c r="BZ16" s="197"/>
      <c r="CA16" s="41" t="s">
        <v>20</v>
      </c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</row>
    <row r="17" spans="1:95" ht="33" customHeight="1">
      <c r="A17" s="24">
        <v>5</v>
      </c>
      <c r="B17" s="77" t="s">
        <v>251</v>
      </c>
      <c r="C17" s="78" t="s">
        <v>132</v>
      </c>
      <c r="D17" s="79" t="s">
        <v>252</v>
      </c>
      <c r="E17" s="197"/>
      <c r="F17" s="27" t="s">
        <v>64</v>
      </c>
      <c r="G17" s="42" t="s">
        <v>241</v>
      </c>
      <c r="H17" s="27" t="s">
        <v>64</v>
      </c>
      <c r="I17" s="42" t="s">
        <v>241</v>
      </c>
      <c r="J17" s="29"/>
      <c r="K17" s="27" t="s">
        <v>20</v>
      </c>
      <c r="L17" s="31" t="s">
        <v>68</v>
      </c>
      <c r="M17" s="27" t="s">
        <v>20</v>
      </c>
      <c r="N17" s="31" t="s">
        <v>68</v>
      </c>
      <c r="O17" s="27" t="s">
        <v>20</v>
      </c>
      <c r="P17" s="31" t="s">
        <v>68</v>
      </c>
      <c r="Q17" s="29"/>
      <c r="R17" s="27" t="s">
        <v>64</v>
      </c>
      <c r="S17" s="35" t="s">
        <v>114</v>
      </c>
      <c r="T17" s="27" t="s">
        <v>20</v>
      </c>
      <c r="U17" s="32" t="s">
        <v>70</v>
      </c>
      <c r="V17" s="27" t="s">
        <v>20</v>
      </c>
      <c r="W17" s="32" t="s">
        <v>71</v>
      </c>
      <c r="X17" s="186"/>
      <c r="Y17" s="27" t="s">
        <v>64</v>
      </c>
      <c r="Z17" s="28" t="s">
        <v>97</v>
      </c>
      <c r="AA17" s="27" t="s">
        <v>64</v>
      </c>
      <c r="AB17" s="28" t="s">
        <v>97</v>
      </c>
      <c r="AC17" s="200"/>
      <c r="AD17" s="27" t="s">
        <v>64</v>
      </c>
      <c r="AE17" s="28" t="s">
        <v>230</v>
      </c>
      <c r="AF17" s="27" t="s">
        <v>102</v>
      </c>
      <c r="AG17" s="34" t="s">
        <v>105</v>
      </c>
      <c r="AH17" s="27" t="s">
        <v>64</v>
      </c>
      <c r="AI17" s="28" t="s">
        <v>231</v>
      </c>
      <c r="AJ17" s="200"/>
      <c r="AK17" s="27" t="s">
        <v>64</v>
      </c>
      <c r="AL17" s="35" t="s">
        <v>232</v>
      </c>
      <c r="AM17" s="27" t="s">
        <v>20</v>
      </c>
      <c r="AN17" s="35" t="s">
        <v>233</v>
      </c>
      <c r="AO17" s="27" t="s">
        <v>20</v>
      </c>
      <c r="AP17" s="35" t="s">
        <v>234</v>
      </c>
      <c r="AQ17" s="200"/>
      <c r="AR17" s="27" t="s">
        <v>64</v>
      </c>
      <c r="AS17" s="28" t="s">
        <v>81</v>
      </c>
      <c r="AT17" s="27" t="s">
        <v>64</v>
      </c>
      <c r="AU17" s="28" t="s">
        <v>82</v>
      </c>
      <c r="AV17" s="27" t="s">
        <v>64</v>
      </c>
      <c r="AW17" s="28" t="s">
        <v>83</v>
      </c>
      <c r="AX17" s="27" t="s">
        <v>64</v>
      </c>
      <c r="AY17" s="28" t="s">
        <v>84</v>
      </c>
      <c r="AZ17" s="200"/>
      <c r="BA17" s="27" t="s">
        <v>64</v>
      </c>
      <c r="BB17" s="28" t="s">
        <v>85</v>
      </c>
      <c r="BC17" s="27" t="s">
        <v>64</v>
      </c>
      <c r="BD17" s="28" t="s">
        <v>86</v>
      </c>
      <c r="BE17" s="27" t="s">
        <v>64</v>
      </c>
      <c r="BF17" s="28" t="s">
        <v>145</v>
      </c>
      <c r="BG17" s="186"/>
      <c r="BH17" s="69" t="s">
        <v>64</v>
      </c>
      <c r="BI17" s="35" t="s">
        <v>88</v>
      </c>
      <c r="BJ17" s="69" t="s">
        <v>20</v>
      </c>
      <c r="BK17" s="38" t="s">
        <v>127</v>
      </c>
      <c r="BL17" s="200"/>
      <c r="BM17" s="27" t="s">
        <v>64</v>
      </c>
      <c r="BN17" s="70" t="s">
        <v>146</v>
      </c>
      <c r="BO17" s="186"/>
      <c r="BP17" s="27" t="s">
        <v>20</v>
      </c>
      <c r="BQ17" s="28" t="s">
        <v>235</v>
      </c>
      <c r="BR17" s="27" t="s">
        <v>20</v>
      </c>
      <c r="BS17" s="28" t="s">
        <v>236</v>
      </c>
      <c r="BT17" s="200"/>
      <c r="BU17" s="40"/>
      <c r="BV17" s="28">
        <v>1</v>
      </c>
      <c r="BW17" s="200"/>
      <c r="BX17" s="40"/>
      <c r="BY17" s="28">
        <v>1</v>
      </c>
      <c r="BZ17" s="197"/>
      <c r="CA17" s="41" t="s">
        <v>20</v>
      </c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</row>
    <row r="18" spans="1:95" ht="33" customHeight="1">
      <c r="A18" s="57">
        <v>6</v>
      </c>
      <c r="B18" s="66" t="s">
        <v>253</v>
      </c>
      <c r="C18" s="67" t="s">
        <v>254</v>
      </c>
      <c r="D18" s="67" t="s">
        <v>255</v>
      </c>
      <c r="E18" s="197"/>
      <c r="F18" s="27" t="s">
        <v>102</v>
      </c>
      <c r="G18" s="42" t="s">
        <v>240</v>
      </c>
      <c r="H18" s="27" t="s">
        <v>64</v>
      </c>
      <c r="I18" s="42" t="s">
        <v>241</v>
      </c>
      <c r="J18" s="29"/>
      <c r="K18" s="27" t="s">
        <v>64</v>
      </c>
      <c r="L18" s="30" t="s">
        <v>67</v>
      </c>
      <c r="M18" s="27" t="s">
        <v>64</v>
      </c>
      <c r="N18" s="30" t="s">
        <v>67</v>
      </c>
      <c r="O18" s="27" t="s">
        <v>64</v>
      </c>
      <c r="P18" s="30" t="s">
        <v>67</v>
      </c>
      <c r="Q18" s="29"/>
      <c r="R18" s="27" t="s">
        <v>64</v>
      </c>
      <c r="S18" s="35" t="s">
        <v>114</v>
      </c>
      <c r="T18" s="27" t="s">
        <v>20</v>
      </c>
      <c r="U18" s="32" t="s">
        <v>70</v>
      </c>
      <c r="V18" s="27" t="s">
        <v>64</v>
      </c>
      <c r="W18" s="46" t="s">
        <v>116</v>
      </c>
      <c r="X18" s="186"/>
      <c r="Y18" s="27" t="s">
        <v>20</v>
      </c>
      <c r="Z18" s="28" t="s">
        <v>247</v>
      </c>
      <c r="AA18" s="27" t="s">
        <v>20</v>
      </c>
      <c r="AB18" s="28" t="s">
        <v>97</v>
      </c>
      <c r="AC18" s="200"/>
      <c r="AD18" s="27" t="s">
        <v>64</v>
      </c>
      <c r="AE18" s="28" t="s">
        <v>230</v>
      </c>
      <c r="AF18" s="27" t="s">
        <v>102</v>
      </c>
      <c r="AG18" s="34" t="s">
        <v>105</v>
      </c>
      <c r="AH18" s="27" t="s">
        <v>64</v>
      </c>
      <c r="AI18" s="28" t="s">
        <v>231</v>
      </c>
      <c r="AJ18" s="200"/>
      <c r="AK18" s="27" t="s">
        <v>64</v>
      </c>
      <c r="AL18" s="35" t="s">
        <v>232</v>
      </c>
      <c r="AM18" s="27" t="s">
        <v>20</v>
      </c>
      <c r="AN18" s="35" t="s">
        <v>233</v>
      </c>
      <c r="AO18" s="27" t="s">
        <v>20</v>
      </c>
      <c r="AP18" s="35" t="s">
        <v>234</v>
      </c>
      <c r="AQ18" s="200"/>
      <c r="AR18" s="27" t="s">
        <v>64</v>
      </c>
      <c r="AS18" s="28" t="s">
        <v>81</v>
      </c>
      <c r="AT18" s="27" t="s">
        <v>64</v>
      </c>
      <c r="AU18" s="28" t="s">
        <v>82</v>
      </c>
      <c r="AV18" s="27" t="s">
        <v>64</v>
      </c>
      <c r="AW18" s="28" t="s">
        <v>83</v>
      </c>
      <c r="AX18" s="27" t="s">
        <v>64</v>
      </c>
      <c r="AY18" s="28" t="s">
        <v>84</v>
      </c>
      <c r="AZ18" s="200"/>
      <c r="BA18" s="27" t="s">
        <v>64</v>
      </c>
      <c r="BB18" s="28" t="s">
        <v>85</v>
      </c>
      <c r="BC18" s="27" t="s">
        <v>64</v>
      </c>
      <c r="BD18" s="28" t="s">
        <v>86</v>
      </c>
      <c r="BE18" s="27" t="s">
        <v>20</v>
      </c>
      <c r="BF18" s="28" t="s">
        <v>87</v>
      </c>
      <c r="BG18" s="186"/>
      <c r="BH18" s="69" t="s">
        <v>64</v>
      </c>
      <c r="BI18" s="35" t="s">
        <v>88</v>
      </c>
      <c r="BJ18" s="69" t="s">
        <v>64</v>
      </c>
      <c r="BK18" s="38" t="s">
        <v>89</v>
      </c>
      <c r="BL18" s="200"/>
      <c r="BM18" s="27" t="s">
        <v>20</v>
      </c>
      <c r="BN18" s="80" t="s">
        <v>256</v>
      </c>
      <c r="BO18" s="186"/>
      <c r="BP18" s="27" t="s">
        <v>20</v>
      </c>
      <c r="BQ18" s="28" t="s">
        <v>235</v>
      </c>
      <c r="BR18" s="27" t="s">
        <v>20</v>
      </c>
      <c r="BS18" s="28" t="s">
        <v>236</v>
      </c>
      <c r="BT18" s="200"/>
      <c r="BU18" s="40"/>
      <c r="BV18" s="28">
        <v>1</v>
      </c>
      <c r="BW18" s="200"/>
      <c r="BX18" s="40"/>
      <c r="BY18" s="40"/>
      <c r="BZ18" s="197"/>
      <c r="CA18" s="41" t="s">
        <v>20</v>
      </c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</row>
    <row r="19" spans="1:95" ht="33" customHeight="1">
      <c r="A19" s="24">
        <v>7</v>
      </c>
      <c r="B19" s="74" t="s">
        <v>257</v>
      </c>
      <c r="C19" s="75" t="s">
        <v>258</v>
      </c>
      <c r="D19" s="76" t="s">
        <v>259</v>
      </c>
      <c r="E19" s="197"/>
      <c r="F19" s="27" t="s">
        <v>20</v>
      </c>
      <c r="G19" s="42" t="s">
        <v>229</v>
      </c>
      <c r="H19" s="27" t="s">
        <v>64</v>
      </c>
      <c r="I19" s="48" t="s">
        <v>241</v>
      </c>
      <c r="J19" s="29"/>
      <c r="K19" s="27" t="s">
        <v>64</v>
      </c>
      <c r="L19" s="30" t="s">
        <v>67</v>
      </c>
      <c r="M19" s="27" t="s">
        <v>64</v>
      </c>
      <c r="N19" s="30" t="s">
        <v>67</v>
      </c>
      <c r="O19" s="27" t="s">
        <v>64</v>
      </c>
      <c r="P19" s="30" t="s">
        <v>67</v>
      </c>
      <c r="Q19" s="29"/>
      <c r="R19" s="27" t="s">
        <v>20</v>
      </c>
      <c r="S19" s="28" t="s">
        <v>161</v>
      </c>
      <c r="T19" s="27" t="s">
        <v>20</v>
      </c>
      <c r="U19" s="32" t="s">
        <v>70</v>
      </c>
      <c r="V19" s="27" t="s">
        <v>20</v>
      </c>
      <c r="W19" s="32" t="s">
        <v>71</v>
      </c>
      <c r="X19" s="186"/>
      <c r="Y19" s="27" t="s">
        <v>20</v>
      </c>
      <c r="Z19" s="28" t="s">
        <v>247</v>
      </c>
      <c r="AA19" s="27" t="s">
        <v>20</v>
      </c>
      <c r="AB19" s="28" t="s">
        <v>97</v>
      </c>
      <c r="AC19" s="200"/>
      <c r="AD19" s="27" t="s">
        <v>64</v>
      </c>
      <c r="AE19" s="28" t="s">
        <v>230</v>
      </c>
      <c r="AF19" s="27" t="s">
        <v>64</v>
      </c>
      <c r="AG19" s="28" t="s">
        <v>76</v>
      </c>
      <c r="AH19" s="27" t="s">
        <v>20</v>
      </c>
      <c r="AI19" s="28" t="s">
        <v>260</v>
      </c>
      <c r="AJ19" s="200"/>
      <c r="AK19" s="27" t="s">
        <v>64</v>
      </c>
      <c r="AL19" s="35" t="s">
        <v>232</v>
      </c>
      <c r="AM19" s="27" t="s">
        <v>20</v>
      </c>
      <c r="AN19" s="35" t="s">
        <v>233</v>
      </c>
      <c r="AO19" s="27" t="s">
        <v>20</v>
      </c>
      <c r="AP19" s="35" t="s">
        <v>234</v>
      </c>
      <c r="AQ19" s="200"/>
      <c r="AR19" s="27" t="s">
        <v>20</v>
      </c>
      <c r="AS19" s="28" t="s">
        <v>197</v>
      </c>
      <c r="AT19" s="27" t="s">
        <v>20</v>
      </c>
      <c r="AU19" s="28" t="s">
        <v>198</v>
      </c>
      <c r="AV19" s="27" t="s">
        <v>20</v>
      </c>
      <c r="AW19" s="28" t="s">
        <v>199</v>
      </c>
      <c r="AX19" s="27" t="s">
        <v>20</v>
      </c>
      <c r="AY19" s="28" t="s">
        <v>200</v>
      </c>
      <c r="AZ19" s="200"/>
      <c r="BA19" s="27" t="s">
        <v>20</v>
      </c>
      <c r="BB19" s="28" t="s">
        <v>124</v>
      </c>
      <c r="BC19" s="27" t="s">
        <v>64</v>
      </c>
      <c r="BD19" s="28" t="s">
        <v>86</v>
      </c>
      <c r="BE19" s="27" t="s">
        <v>20</v>
      </c>
      <c r="BF19" s="28" t="s">
        <v>87</v>
      </c>
      <c r="BG19" s="186"/>
      <c r="BH19" s="69" t="s">
        <v>64</v>
      </c>
      <c r="BI19" s="35" t="s">
        <v>88</v>
      </c>
      <c r="BJ19" s="69" t="s">
        <v>64</v>
      </c>
      <c r="BK19" s="38" t="s">
        <v>89</v>
      </c>
      <c r="BL19" s="200"/>
      <c r="BM19" s="27" t="s">
        <v>20</v>
      </c>
      <c r="BN19" s="81" t="s">
        <v>256</v>
      </c>
      <c r="BO19" s="186"/>
      <c r="BP19" s="27" t="s">
        <v>20</v>
      </c>
      <c r="BQ19" s="28" t="s">
        <v>235</v>
      </c>
      <c r="BR19" s="27" t="s">
        <v>20</v>
      </c>
      <c r="BS19" s="28" t="s">
        <v>236</v>
      </c>
      <c r="BT19" s="200"/>
      <c r="BU19" s="40"/>
      <c r="BV19" s="28">
        <v>1</v>
      </c>
      <c r="BW19" s="200"/>
      <c r="BX19" s="40"/>
      <c r="BY19" s="28"/>
      <c r="BZ19" s="197"/>
      <c r="CA19" s="41" t="s">
        <v>20</v>
      </c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</row>
    <row r="20" spans="1:95" ht="33" customHeight="1">
      <c r="A20" s="24">
        <v>8</v>
      </c>
      <c r="B20" s="66" t="s">
        <v>261</v>
      </c>
      <c r="C20" s="67" t="s">
        <v>262</v>
      </c>
      <c r="D20" s="73" t="s">
        <v>263</v>
      </c>
      <c r="E20" s="197"/>
      <c r="F20" s="27" t="s">
        <v>102</v>
      </c>
      <c r="G20" s="48" t="s">
        <v>240</v>
      </c>
      <c r="H20" s="27" t="s">
        <v>102</v>
      </c>
      <c r="I20" s="42" t="s">
        <v>240</v>
      </c>
      <c r="J20" s="29"/>
      <c r="K20" s="27" t="s">
        <v>102</v>
      </c>
      <c r="L20" s="28" t="s">
        <v>103</v>
      </c>
      <c r="M20" s="27" t="s">
        <v>102</v>
      </c>
      <c r="N20" s="28" t="s">
        <v>103</v>
      </c>
      <c r="O20" s="27" t="s">
        <v>102</v>
      </c>
      <c r="P20" s="28" t="s">
        <v>103</v>
      </c>
      <c r="Q20" s="29"/>
      <c r="R20" s="27" t="s">
        <v>64</v>
      </c>
      <c r="S20" s="35" t="s">
        <v>114</v>
      </c>
      <c r="T20" s="27" t="s">
        <v>64</v>
      </c>
      <c r="U20" s="32" t="s">
        <v>115</v>
      </c>
      <c r="V20" s="27" t="s">
        <v>64</v>
      </c>
      <c r="W20" s="46" t="s">
        <v>116</v>
      </c>
      <c r="X20" s="186"/>
      <c r="Y20" s="27" t="s">
        <v>102</v>
      </c>
      <c r="Z20" s="28" t="s">
        <v>264</v>
      </c>
      <c r="AA20" s="27" t="s">
        <v>102</v>
      </c>
      <c r="AB20" s="28" t="s">
        <v>169</v>
      </c>
      <c r="AC20" s="200"/>
      <c r="AD20" s="27" t="s">
        <v>102</v>
      </c>
      <c r="AE20" s="34" t="s">
        <v>105</v>
      </c>
      <c r="AF20" s="27" t="s">
        <v>102</v>
      </c>
      <c r="AG20" s="34" t="s">
        <v>105</v>
      </c>
      <c r="AH20" s="27" t="s">
        <v>102</v>
      </c>
      <c r="AI20" s="34" t="s">
        <v>105</v>
      </c>
      <c r="AJ20" s="200"/>
      <c r="AK20" s="27" t="s">
        <v>102</v>
      </c>
      <c r="AL20" s="28" t="s">
        <v>265</v>
      </c>
      <c r="AM20" s="27" t="s">
        <v>64</v>
      </c>
      <c r="AN20" s="28" t="s">
        <v>242</v>
      </c>
      <c r="AO20" s="27" t="s">
        <v>20</v>
      </c>
      <c r="AP20" s="35" t="s">
        <v>234</v>
      </c>
      <c r="AQ20" s="200"/>
      <c r="AR20" s="27" t="s">
        <v>64</v>
      </c>
      <c r="AS20" s="28" t="s">
        <v>81</v>
      </c>
      <c r="AT20" s="27" t="s">
        <v>64</v>
      </c>
      <c r="AU20" s="28" t="s">
        <v>82</v>
      </c>
      <c r="AV20" s="27" t="s">
        <v>64</v>
      </c>
      <c r="AW20" s="28" t="s">
        <v>83</v>
      </c>
      <c r="AX20" s="27" t="s">
        <v>64</v>
      </c>
      <c r="AY20" s="28" t="s">
        <v>84</v>
      </c>
      <c r="AZ20" s="200"/>
      <c r="BA20" s="27" t="s">
        <v>102</v>
      </c>
      <c r="BB20" s="28" t="s">
        <v>106</v>
      </c>
      <c r="BC20" s="27" t="s">
        <v>64</v>
      </c>
      <c r="BD20" s="28" t="s">
        <v>86</v>
      </c>
      <c r="BE20" s="27" t="s">
        <v>102</v>
      </c>
      <c r="BF20" s="28" t="s">
        <v>107</v>
      </c>
      <c r="BG20" s="186"/>
      <c r="BH20" s="69" t="s">
        <v>102</v>
      </c>
      <c r="BI20" s="38" t="s">
        <v>108</v>
      </c>
      <c r="BJ20" s="69" t="s">
        <v>102</v>
      </c>
      <c r="BK20" s="38" t="s">
        <v>108</v>
      </c>
      <c r="BL20" s="200"/>
      <c r="BM20" s="27" t="s">
        <v>102</v>
      </c>
      <c r="BN20" s="80" t="s">
        <v>266</v>
      </c>
      <c r="BO20" s="186"/>
      <c r="BP20" s="27" t="s">
        <v>20</v>
      </c>
      <c r="BQ20" s="28" t="s">
        <v>235</v>
      </c>
      <c r="BR20" s="27" t="s">
        <v>20</v>
      </c>
      <c r="BS20" s="28" t="s">
        <v>236</v>
      </c>
      <c r="BT20" s="200"/>
      <c r="BU20" s="40"/>
      <c r="BV20" s="28">
        <v>12</v>
      </c>
      <c r="BW20" s="200"/>
      <c r="BX20" s="40"/>
      <c r="BY20" s="40"/>
      <c r="BZ20" s="197"/>
      <c r="CA20" s="41" t="s">
        <v>20</v>
      </c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</row>
    <row r="21" spans="1:95" ht="33" customHeight="1">
      <c r="A21" s="24">
        <v>9</v>
      </c>
      <c r="B21" s="71" t="s">
        <v>267</v>
      </c>
      <c r="C21" s="72" t="s">
        <v>268</v>
      </c>
      <c r="D21" s="73" t="s">
        <v>269</v>
      </c>
      <c r="E21" s="197"/>
      <c r="F21" s="27" t="s">
        <v>64</v>
      </c>
      <c r="G21" s="42" t="s">
        <v>241</v>
      </c>
      <c r="H21" s="27" t="s">
        <v>20</v>
      </c>
      <c r="I21" s="42" t="s">
        <v>229</v>
      </c>
      <c r="J21" s="29"/>
      <c r="K21" s="27" t="s">
        <v>64</v>
      </c>
      <c r="L21" s="30" t="s">
        <v>67</v>
      </c>
      <c r="M21" s="27" t="s">
        <v>102</v>
      </c>
      <c r="N21" s="28" t="s">
        <v>103</v>
      </c>
      <c r="O21" s="27" t="s">
        <v>64</v>
      </c>
      <c r="P21" s="30" t="s">
        <v>67</v>
      </c>
      <c r="Q21" s="29"/>
      <c r="R21" s="27" t="s">
        <v>64</v>
      </c>
      <c r="S21" s="35" t="s">
        <v>114</v>
      </c>
      <c r="T21" s="27" t="s">
        <v>64</v>
      </c>
      <c r="U21" s="32" t="s">
        <v>115</v>
      </c>
      <c r="V21" s="27" t="s">
        <v>64</v>
      </c>
      <c r="W21" s="46" t="s">
        <v>116</v>
      </c>
      <c r="X21" s="186"/>
      <c r="Y21" s="27" t="s">
        <v>20</v>
      </c>
      <c r="Z21" s="28" t="s">
        <v>247</v>
      </c>
      <c r="AA21" s="27" t="s">
        <v>20</v>
      </c>
      <c r="AB21" s="28" t="s">
        <v>97</v>
      </c>
      <c r="AC21" s="200"/>
      <c r="AD21" s="27" t="s">
        <v>64</v>
      </c>
      <c r="AE21" s="28" t="s">
        <v>230</v>
      </c>
      <c r="AF21" s="27" t="s">
        <v>102</v>
      </c>
      <c r="AG21" s="34" t="s">
        <v>105</v>
      </c>
      <c r="AH21" s="27" t="s">
        <v>64</v>
      </c>
      <c r="AI21" s="28" t="s">
        <v>231</v>
      </c>
      <c r="AJ21" s="200"/>
      <c r="AK21" s="27" t="s">
        <v>64</v>
      </c>
      <c r="AL21" s="35" t="s">
        <v>232</v>
      </c>
      <c r="AM21" s="27" t="s">
        <v>64</v>
      </c>
      <c r="AN21" s="28" t="s">
        <v>242</v>
      </c>
      <c r="AO21" s="27" t="s">
        <v>20</v>
      </c>
      <c r="AP21" s="35" t="s">
        <v>234</v>
      </c>
      <c r="AQ21" s="200"/>
      <c r="AR21" s="27" t="s">
        <v>64</v>
      </c>
      <c r="AS21" s="28" t="s">
        <v>81</v>
      </c>
      <c r="AT21" s="27" t="s">
        <v>64</v>
      </c>
      <c r="AU21" s="28" t="s">
        <v>82</v>
      </c>
      <c r="AV21" s="27" t="s">
        <v>64</v>
      </c>
      <c r="AW21" s="28" t="s">
        <v>83</v>
      </c>
      <c r="AX21" s="27" t="s">
        <v>64</v>
      </c>
      <c r="AY21" s="28" t="s">
        <v>84</v>
      </c>
      <c r="AZ21" s="200"/>
      <c r="BA21" s="27" t="s">
        <v>64</v>
      </c>
      <c r="BB21" s="28" t="s">
        <v>85</v>
      </c>
      <c r="BC21" s="27" t="s">
        <v>64</v>
      </c>
      <c r="BD21" s="28" t="s">
        <v>86</v>
      </c>
      <c r="BE21" s="27" t="s">
        <v>102</v>
      </c>
      <c r="BF21" s="28" t="s">
        <v>107</v>
      </c>
      <c r="BG21" s="186"/>
      <c r="BH21" s="69" t="s">
        <v>102</v>
      </c>
      <c r="BI21" s="38" t="s">
        <v>108</v>
      </c>
      <c r="BJ21" s="69" t="s">
        <v>102</v>
      </c>
      <c r="BK21" s="38" t="s">
        <v>108</v>
      </c>
      <c r="BL21" s="200"/>
      <c r="BM21" s="27" t="s">
        <v>64</v>
      </c>
      <c r="BN21" s="80" t="s">
        <v>146</v>
      </c>
      <c r="BO21" s="186"/>
      <c r="BP21" s="27" t="s">
        <v>20</v>
      </c>
      <c r="BQ21" s="28" t="s">
        <v>235</v>
      </c>
      <c r="BR21" s="27" t="s">
        <v>20</v>
      </c>
      <c r="BS21" s="28" t="s">
        <v>236</v>
      </c>
      <c r="BT21" s="200"/>
      <c r="BU21" s="40"/>
      <c r="BV21" s="28">
        <v>3</v>
      </c>
      <c r="BW21" s="200"/>
      <c r="BX21" s="40"/>
      <c r="BY21" s="28">
        <v>8</v>
      </c>
      <c r="BZ21" s="197"/>
      <c r="CA21" s="41" t="s">
        <v>20</v>
      </c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</row>
    <row r="22" spans="1:95" ht="33" customHeight="1">
      <c r="A22" s="24">
        <v>10</v>
      </c>
      <c r="B22" s="71" t="s">
        <v>270</v>
      </c>
      <c r="C22" s="72" t="s">
        <v>271</v>
      </c>
      <c r="D22" s="73" t="s">
        <v>272</v>
      </c>
      <c r="E22" s="197"/>
      <c r="F22" s="27" t="s">
        <v>64</v>
      </c>
      <c r="G22" s="42" t="s">
        <v>241</v>
      </c>
      <c r="H22" s="27" t="s">
        <v>64</v>
      </c>
      <c r="I22" s="42" t="s">
        <v>241</v>
      </c>
      <c r="J22" s="29"/>
      <c r="K22" s="27" t="s">
        <v>64</v>
      </c>
      <c r="L22" s="30" t="s">
        <v>67</v>
      </c>
      <c r="M22" s="27" t="s">
        <v>64</v>
      </c>
      <c r="N22" s="30" t="s">
        <v>67</v>
      </c>
      <c r="O22" s="27" t="s">
        <v>64</v>
      </c>
      <c r="P22" s="30" t="s">
        <v>67</v>
      </c>
      <c r="Q22" s="29"/>
      <c r="R22" s="27" t="s">
        <v>64</v>
      </c>
      <c r="S22" s="35" t="s">
        <v>114</v>
      </c>
      <c r="T22" s="27" t="s">
        <v>64</v>
      </c>
      <c r="U22" s="32" t="s">
        <v>115</v>
      </c>
      <c r="V22" s="27" t="s">
        <v>64</v>
      </c>
      <c r="W22" s="46" t="s">
        <v>116</v>
      </c>
      <c r="X22" s="186"/>
      <c r="Y22" s="27" t="s">
        <v>20</v>
      </c>
      <c r="Z22" s="28" t="s">
        <v>247</v>
      </c>
      <c r="AA22" s="27" t="s">
        <v>20</v>
      </c>
      <c r="AB22" s="28" t="s">
        <v>97</v>
      </c>
      <c r="AC22" s="200"/>
      <c r="AD22" s="27" t="s">
        <v>64</v>
      </c>
      <c r="AE22" s="28" t="s">
        <v>230</v>
      </c>
      <c r="AF22" s="27" t="s">
        <v>64</v>
      </c>
      <c r="AG22" s="28" t="s">
        <v>76</v>
      </c>
      <c r="AH22" s="27" t="s">
        <v>64</v>
      </c>
      <c r="AI22" s="28" t="s">
        <v>231</v>
      </c>
      <c r="AJ22" s="200"/>
      <c r="AK22" s="27" t="s">
        <v>64</v>
      </c>
      <c r="AL22" s="35" t="s">
        <v>232</v>
      </c>
      <c r="AM22" s="27" t="s">
        <v>64</v>
      </c>
      <c r="AN22" s="28" t="s">
        <v>242</v>
      </c>
      <c r="AO22" s="27" t="s">
        <v>20</v>
      </c>
      <c r="AP22" s="35" t="s">
        <v>234</v>
      </c>
      <c r="AQ22" s="200"/>
      <c r="AR22" s="27" t="s">
        <v>64</v>
      </c>
      <c r="AS22" s="28" t="s">
        <v>81</v>
      </c>
      <c r="AT22" s="27" t="s">
        <v>64</v>
      </c>
      <c r="AU22" s="28" t="s">
        <v>82</v>
      </c>
      <c r="AV22" s="27" t="s">
        <v>64</v>
      </c>
      <c r="AW22" s="28" t="s">
        <v>83</v>
      </c>
      <c r="AX22" s="27" t="s">
        <v>64</v>
      </c>
      <c r="AY22" s="28" t="s">
        <v>84</v>
      </c>
      <c r="AZ22" s="200"/>
      <c r="BA22" s="27" t="s">
        <v>64</v>
      </c>
      <c r="BB22" s="28" t="s">
        <v>85</v>
      </c>
      <c r="BC22" s="27" t="s">
        <v>64</v>
      </c>
      <c r="BD22" s="28" t="s">
        <v>86</v>
      </c>
      <c r="BE22" s="27" t="s">
        <v>102</v>
      </c>
      <c r="BF22" s="28" t="s">
        <v>107</v>
      </c>
      <c r="BG22" s="186"/>
      <c r="BH22" s="69" t="s">
        <v>64</v>
      </c>
      <c r="BI22" s="35" t="s">
        <v>88</v>
      </c>
      <c r="BJ22" s="69" t="s">
        <v>64</v>
      </c>
      <c r="BK22" s="38" t="s">
        <v>89</v>
      </c>
      <c r="BL22" s="200"/>
      <c r="BM22" s="27" t="s">
        <v>20</v>
      </c>
      <c r="BN22" s="80" t="s">
        <v>256</v>
      </c>
      <c r="BO22" s="186"/>
      <c r="BP22" s="27" t="s">
        <v>20</v>
      </c>
      <c r="BQ22" s="28" t="s">
        <v>235</v>
      </c>
      <c r="BR22" s="27" t="s">
        <v>20</v>
      </c>
      <c r="BS22" s="28" t="s">
        <v>236</v>
      </c>
      <c r="BT22" s="200"/>
      <c r="BU22" s="40"/>
      <c r="BV22" s="28">
        <v>1</v>
      </c>
      <c r="BW22" s="200"/>
      <c r="BX22" s="40"/>
      <c r="BY22" s="28">
        <v>3</v>
      </c>
      <c r="BZ22" s="197"/>
      <c r="CA22" s="41" t="s">
        <v>20</v>
      </c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</row>
    <row r="23" spans="1:95" ht="33" customHeight="1">
      <c r="A23" s="24">
        <v>11</v>
      </c>
      <c r="B23" s="71" t="s">
        <v>273</v>
      </c>
      <c r="C23" s="72" t="s">
        <v>274</v>
      </c>
      <c r="D23" s="73" t="s">
        <v>275</v>
      </c>
      <c r="E23" s="197"/>
      <c r="F23" s="27" t="s">
        <v>64</v>
      </c>
      <c r="G23" s="42" t="s">
        <v>241</v>
      </c>
      <c r="H23" s="27" t="s">
        <v>64</v>
      </c>
      <c r="I23" s="42" t="s">
        <v>241</v>
      </c>
      <c r="J23" s="29"/>
      <c r="K23" s="27" t="s">
        <v>102</v>
      </c>
      <c r="L23" s="28" t="s">
        <v>103</v>
      </c>
      <c r="M23" s="27" t="s">
        <v>64</v>
      </c>
      <c r="N23" s="30" t="s">
        <v>67</v>
      </c>
      <c r="O23" s="27" t="s">
        <v>64</v>
      </c>
      <c r="P23" s="30" t="s">
        <v>67</v>
      </c>
      <c r="Q23" s="29"/>
      <c r="R23" s="27" t="s">
        <v>20</v>
      </c>
      <c r="S23" s="35" t="s">
        <v>161</v>
      </c>
      <c r="T23" s="27" t="s">
        <v>64</v>
      </c>
      <c r="U23" s="32" t="s">
        <v>115</v>
      </c>
      <c r="V23" s="27" t="s">
        <v>20</v>
      </c>
      <c r="W23" s="32" t="s">
        <v>71</v>
      </c>
      <c r="X23" s="186"/>
      <c r="Y23" s="27" t="s">
        <v>64</v>
      </c>
      <c r="Z23" s="28" t="s">
        <v>97</v>
      </c>
      <c r="AA23" s="27" t="s">
        <v>20</v>
      </c>
      <c r="AB23" s="28" t="s">
        <v>97</v>
      </c>
      <c r="AC23" s="200"/>
      <c r="AD23" s="27" t="s">
        <v>64</v>
      </c>
      <c r="AE23" s="28" t="s">
        <v>230</v>
      </c>
      <c r="AF23" s="27" t="s">
        <v>102</v>
      </c>
      <c r="AG23" s="34" t="s">
        <v>105</v>
      </c>
      <c r="AH23" s="27" t="s">
        <v>64</v>
      </c>
      <c r="AI23" s="28" t="s">
        <v>231</v>
      </c>
      <c r="AJ23" s="200"/>
      <c r="AK23" s="27" t="s">
        <v>64</v>
      </c>
      <c r="AL23" s="35" t="s">
        <v>232</v>
      </c>
      <c r="AM23" s="27" t="s">
        <v>64</v>
      </c>
      <c r="AN23" s="28" t="s">
        <v>242</v>
      </c>
      <c r="AO23" s="27" t="s">
        <v>20</v>
      </c>
      <c r="AP23" s="35" t="s">
        <v>234</v>
      </c>
      <c r="AQ23" s="200"/>
      <c r="AR23" s="27" t="s">
        <v>64</v>
      </c>
      <c r="AS23" s="28" t="s">
        <v>81</v>
      </c>
      <c r="AT23" s="27" t="s">
        <v>64</v>
      </c>
      <c r="AU23" s="28" t="s">
        <v>82</v>
      </c>
      <c r="AV23" s="27" t="s">
        <v>64</v>
      </c>
      <c r="AW23" s="28" t="s">
        <v>83</v>
      </c>
      <c r="AX23" s="27" t="s">
        <v>64</v>
      </c>
      <c r="AY23" s="28" t="s">
        <v>84</v>
      </c>
      <c r="AZ23" s="200"/>
      <c r="BA23" s="27" t="s">
        <v>64</v>
      </c>
      <c r="BB23" s="28" t="s">
        <v>85</v>
      </c>
      <c r="BC23" s="27" t="s">
        <v>64</v>
      </c>
      <c r="BD23" s="28" t="s">
        <v>86</v>
      </c>
      <c r="BE23" s="27" t="s">
        <v>102</v>
      </c>
      <c r="BF23" s="28" t="s">
        <v>107</v>
      </c>
      <c r="BG23" s="186"/>
      <c r="BH23" s="69" t="s">
        <v>64</v>
      </c>
      <c r="BI23" s="35" t="s">
        <v>88</v>
      </c>
      <c r="BJ23" s="69" t="s">
        <v>64</v>
      </c>
      <c r="BK23" s="38" t="s">
        <v>89</v>
      </c>
      <c r="BL23" s="200"/>
      <c r="BM23" s="27" t="s">
        <v>20</v>
      </c>
      <c r="BN23" s="80" t="s">
        <v>256</v>
      </c>
      <c r="BO23" s="186"/>
      <c r="BP23" s="27" t="s">
        <v>20</v>
      </c>
      <c r="BQ23" s="28" t="s">
        <v>235</v>
      </c>
      <c r="BR23" s="27" t="s">
        <v>20</v>
      </c>
      <c r="BS23" s="28" t="s">
        <v>236</v>
      </c>
      <c r="BT23" s="200"/>
      <c r="BU23" s="40"/>
      <c r="BV23" s="28">
        <v>3</v>
      </c>
      <c r="BW23" s="200"/>
      <c r="BX23" s="40"/>
      <c r="BY23" s="28">
        <v>3</v>
      </c>
      <c r="BZ23" s="197"/>
      <c r="CA23" s="41" t="s">
        <v>20</v>
      </c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</row>
    <row r="24" spans="1:95" ht="33" customHeight="1">
      <c r="A24" s="24">
        <v>12</v>
      </c>
      <c r="B24" s="71" t="s">
        <v>276</v>
      </c>
      <c r="C24" s="72" t="s">
        <v>262</v>
      </c>
      <c r="D24" s="73" t="s">
        <v>277</v>
      </c>
      <c r="E24" s="197"/>
      <c r="F24" s="27" t="s">
        <v>102</v>
      </c>
      <c r="G24" s="28" t="s">
        <v>240</v>
      </c>
      <c r="H24" s="27" t="s">
        <v>102</v>
      </c>
      <c r="I24" s="42" t="s">
        <v>240</v>
      </c>
      <c r="J24" s="29"/>
      <c r="K24" s="27" t="s">
        <v>64</v>
      </c>
      <c r="L24" s="30" t="s">
        <v>67</v>
      </c>
      <c r="M24" s="27" t="s">
        <v>64</v>
      </c>
      <c r="N24" s="30" t="s">
        <v>67</v>
      </c>
      <c r="O24" s="27" t="s">
        <v>64</v>
      </c>
      <c r="P24" s="30" t="s">
        <v>67</v>
      </c>
      <c r="Q24" s="29"/>
      <c r="R24" s="27" t="s">
        <v>20</v>
      </c>
      <c r="S24" s="28" t="s">
        <v>161</v>
      </c>
      <c r="T24" s="27" t="s">
        <v>64</v>
      </c>
      <c r="U24" s="32" t="s">
        <v>115</v>
      </c>
      <c r="V24" s="27" t="s">
        <v>20</v>
      </c>
      <c r="W24" s="32" t="s">
        <v>71</v>
      </c>
      <c r="X24" s="186"/>
      <c r="Y24" s="27" t="s">
        <v>20</v>
      </c>
      <c r="Z24" s="28" t="s">
        <v>247</v>
      </c>
      <c r="AA24" s="27" t="s">
        <v>102</v>
      </c>
      <c r="AB24" s="28" t="s">
        <v>169</v>
      </c>
      <c r="AC24" s="200"/>
      <c r="AD24" s="27" t="s">
        <v>102</v>
      </c>
      <c r="AE24" s="34" t="s">
        <v>105</v>
      </c>
      <c r="AF24" s="27" t="s">
        <v>102</v>
      </c>
      <c r="AG24" s="34" t="s">
        <v>105</v>
      </c>
      <c r="AH24" s="27" t="s">
        <v>102</v>
      </c>
      <c r="AI24" s="34" t="s">
        <v>105</v>
      </c>
      <c r="AJ24" s="200"/>
      <c r="AK24" s="27" t="s">
        <v>102</v>
      </c>
      <c r="AL24" s="35" t="s">
        <v>265</v>
      </c>
      <c r="AM24" s="27" t="s">
        <v>64</v>
      </c>
      <c r="AN24" s="28" t="s">
        <v>242</v>
      </c>
      <c r="AO24" s="27" t="s">
        <v>20</v>
      </c>
      <c r="AP24" s="35" t="s">
        <v>234</v>
      </c>
      <c r="AQ24" s="200"/>
      <c r="AR24" s="27" t="s">
        <v>64</v>
      </c>
      <c r="AS24" s="28" t="s">
        <v>81</v>
      </c>
      <c r="AT24" s="27" t="s">
        <v>64</v>
      </c>
      <c r="AU24" s="28" t="s">
        <v>82</v>
      </c>
      <c r="AV24" s="27" t="s">
        <v>64</v>
      </c>
      <c r="AW24" s="28" t="s">
        <v>83</v>
      </c>
      <c r="AX24" s="27" t="s">
        <v>64</v>
      </c>
      <c r="AY24" s="28" t="s">
        <v>84</v>
      </c>
      <c r="AZ24" s="200"/>
      <c r="BA24" s="27" t="s">
        <v>102</v>
      </c>
      <c r="BB24" s="28" t="s">
        <v>106</v>
      </c>
      <c r="BC24" s="27" t="s">
        <v>64</v>
      </c>
      <c r="BD24" s="28" t="s">
        <v>86</v>
      </c>
      <c r="BE24" s="27" t="s">
        <v>102</v>
      </c>
      <c r="BF24" s="28" t="s">
        <v>107</v>
      </c>
      <c r="BG24" s="186"/>
      <c r="BH24" s="69" t="s">
        <v>102</v>
      </c>
      <c r="BI24" s="38" t="s">
        <v>108</v>
      </c>
      <c r="BJ24" s="69" t="s">
        <v>102</v>
      </c>
      <c r="BK24" s="38" t="s">
        <v>108</v>
      </c>
      <c r="BL24" s="200"/>
      <c r="BM24" s="27" t="s">
        <v>64</v>
      </c>
      <c r="BN24" s="80" t="s">
        <v>146</v>
      </c>
      <c r="BO24" s="186"/>
      <c r="BP24" s="27" t="s">
        <v>20</v>
      </c>
      <c r="BQ24" s="28" t="s">
        <v>235</v>
      </c>
      <c r="BR24" s="27" t="s">
        <v>20</v>
      </c>
      <c r="BS24" s="28" t="s">
        <v>236</v>
      </c>
      <c r="BT24" s="200"/>
      <c r="BU24" s="40"/>
      <c r="BV24" s="40"/>
      <c r="BW24" s="200"/>
      <c r="BX24" s="40"/>
      <c r="BY24" s="28">
        <v>1</v>
      </c>
      <c r="BZ24" s="197"/>
      <c r="CA24" s="41" t="s">
        <v>20</v>
      </c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</row>
    <row r="25" spans="1:95" ht="33" customHeight="1">
      <c r="A25" s="24">
        <v>13</v>
      </c>
      <c r="B25" s="74" t="s">
        <v>278</v>
      </c>
      <c r="C25" s="75" t="s">
        <v>279</v>
      </c>
      <c r="D25" s="76" t="s">
        <v>280</v>
      </c>
      <c r="E25" s="197"/>
      <c r="F25" s="27" t="s">
        <v>64</v>
      </c>
      <c r="G25" s="42" t="s">
        <v>241</v>
      </c>
      <c r="H25" s="27" t="s">
        <v>64</v>
      </c>
      <c r="I25" s="42" t="s">
        <v>241</v>
      </c>
      <c r="J25" s="29"/>
      <c r="K25" s="27" t="s">
        <v>64</v>
      </c>
      <c r="L25" s="30" t="s">
        <v>67</v>
      </c>
      <c r="M25" s="27" t="s">
        <v>64</v>
      </c>
      <c r="N25" s="30" t="s">
        <v>67</v>
      </c>
      <c r="O25" s="27" t="s">
        <v>20</v>
      </c>
      <c r="P25" s="31" t="s">
        <v>68</v>
      </c>
      <c r="Q25" s="29"/>
      <c r="R25" s="27" t="s">
        <v>64</v>
      </c>
      <c r="S25" s="28" t="s">
        <v>114</v>
      </c>
      <c r="T25" s="27" t="s">
        <v>20</v>
      </c>
      <c r="U25" s="32" t="s">
        <v>70</v>
      </c>
      <c r="V25" s="27" t="s">
        <v>20</v>
      </c>
      <c r="W25" s="32" t="s">
        <v>71</v>
      </c>
      <c r="X25" s="186"/>
      <c r="Y25" s="27" t="s">
        <v>20</v>
      </c>
      <c r="Z25" s="28" t="s">
        <v>247</v>
      </c>
      <c r="AA25" s="27" t="s">
        <v>20</v>
      </c>
      <c r="AB25" s="28" t="s">
        <v>97</v>
      </c>
      <c r="AC25" s="200"/>
      <c r="AD25" s="27" t="s">
        <v>102</v>
      </c>
      <c r="AE25" s="34" t="s">
        <v>105</v>
      </c>
      <c r="AF25" s="27" t="s">
        <v>64</v>
      </c>
      <c r="AG25" s="28" t="s">
        <v>76</v>
      </c>
      <c r="AH25" s="27" t="s">
        <v>64</v>
      </c>
      <c r="AI25" s="28" t="s">
        <v>231</v>
      </c>
      <c r="AJ25" s="200"/>
      <c r="AK25" s="27" t="s">
        <v>64</v>
      </c>
      <c r="AL25" s="35" t="s">
        <v>232</v>
      </c>
      <c r="AM25" s="27" t="s">
        <v>64</v>
      </c>
      <c r="AN25" s="28" t="s">
        <v>242</v>
      </c>
      <c r="AO25" s="27" t="s">
        <v>20</v>
      </c>
      <c r="AP25" s="35" t="s">
        <v>234</v>
      </c>
      <c r="AQ25" s="200"/>
      <c r="AR25" s="27" t="s">
        <v>64</v>
      </c>
      <c r="AS25" s="28" t="s">
        <v>81</v>
      </c>
      <c r="AT25" s="27" t="s">
        <v>64</v>
      </c>
      <c r="AU25" s="28" t="s">
        <v>82</v>
      </c>
      <c r="AV25" s="27" t="s">
        <v>64</v>
      </c>
      <c r="AW25" s="28" t="s">
        <v>83</v>
      </c>
      <c r="AX25" s="27" t="s">
        <v>64</v>
      </c>
      <c r="AY25" s="28" t="s">
        <v>84</v>
      </c>
      <c r="AZ25" s="200"/>
      <c r="BA25" s="27" t="s">
        <v>64</v>
      </c>
      <c r="BB25" s="28" t="s">
        <v>85</v>
      </c>
      <c r="BC25" s="27" t="s">
        <v>64</v>
      </c>
      <c r="BD25" s="28" t="s">
        <v>86</v>
      </c>
      <c r="BE25" s="27" t="s">
        <v>20</v>
      </c>
      <c r="BF25" s="28" t="s">
        <v>87</v>
      </c>
      <c r="BG25" s="186"/>
      <c r="BH25" s="69" t="s">
        <v>64</v>
      </c>
      <c r="BI25" s="35" t="s">
        <v>88</v>
      </c>
      <c r="BJ25" s="69" t="s">
        <v>64</v>
      </c>
      <c r="BK25" s="38" t="s">
        <v>89</v>
      </c>
      <c r="BL25" s="200"/>
      <c r="BM25" s="27" t="s">
        <v>64</v>
      </c>
      <c r="BN25" s="80" t="s">
        <v>146</v>
      </c>
      <c r="BO25" s="186"/>
      <c r="BP25" s="27" t="s">
        <v>20</v>
      </c>
      <c r="BQ25" s="28" t="s">
        <v>235</v>
      </c>
      <c r="BR25" s="27" t="s">
        <v>64</v>
      </c>
      <c r="BS25" s="28" t="s">
        <v>243</v>
      </c>
      <c r="BT25" s="200"/>
      <c r="BU25" s="40"/>
      <c r="BV25" s="40"/>
      <c r="BW25" s="200"/>
      <c r="BX25" s="40"/>
      <c r="BY25" s="40"/>
      <c r="BZ25" s="197"/>
      <c r="CA25" s="41" t="s">
        <v>20</v>
      </c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</row>
    <row r="26" spans="1:95" ht="33" customHeight="1">
      <c r="A26" s="24">
        <v>14</v>
      </c>
      <c r="B26" s="66" t="s">
        <v>281</v>
      </c>
      <c r="C26" s="67" t="s">
        <v>282</v>
      </c>
      <c r="D26" s="82" t="s">
        <v>283</v>
      </c>
      <c r="E26" s="197"/>
      <c r="F26" s="27" t="s">
        <v>20</v>
      </c>
      <c r="G26" s="42" t="s">
        <v>229</v>
      </c>
      <c r="H26" s="27" t="s">
        <v>64</v>
      </c>
      <c r="I26" s="42" t="s">
        <v>241</v>
      </c>
      <c r="J26" s="29"/>
      <c r="K26" s="27" t="s">
        <v>20</v>
      </c>
      <c r="L26" s="31" t="s">
        <v>68</v>
      </c>
      <c r="M26" s="27" t="s">
        <v>64</v>
      </c>
      <c r="N26" s="30" t="s">
        <v>67</v>
      </c>
      <c r="O26" s="27" t="s">
        <v>20</v>
      </c>
      <c r="P26" s="31" t="s">
        <v>68</v>
      </c>
      <c r="Q26" s="29"/>
      <c r="R26" s="27" t="s">
        <v>20</v>
      </c>
      <c r="S26" s="35" t="s">
        <v>161</v>
      </c>
      <c r="T26" s="27" t="s">
        <v>20</v>
      </c>
      <c r="U26" s="32" t="s">
        <v>70</v>
      </c>
      <c r="V26" s="27" t="s">
        <v>20</v>
      </c>
      <c r="W26" s="46" t="s">
        <v>116</v>
      </c>
      <c r="X26" s="186"/>
      <c r="Y26" s="27" t="s">
        <v>64</v>
      </c>
      <c r="Z26" s="28" t="s">
        <v>97</v>
      </c>
      <c r="AA26" s="27" t="s">
        <v>20</v>
      </c>
      <c r="AB26" s="28" t="s">
        <v>97</v>
      </c>
      <c r="AC26" s="200"/>
      <c r="AD26" s="27" t="s">
        <v>64</v>
      </c>
      <c r="AE26" s="28" t="s">
        <v>230</v>
      </c>
      <c r="AF26" s="27" t="s">
        <v>102</v>
      </c>
      <c r="AG26" s="34" t="s">
        <v>105</v>
      </c>
      <c r="AH26" s="27" t="s">
        <v>20</v>
      </c>
      <c r="AI26" s="28" t="s">
        <v>260</v>
      </c>
      <c r="AJ26" s="200"/>
      <c r="AK26" s="27" t="s">
        <v>64</v>
      </c>
      <c r="AL26" s="28" t="s">
        <v>232</v>
      </c>
      <c r="AM26" s="27" t="s">
        <v>20</v>
      </c>
      <c r="AN26" s="28" t="s">
        <v>233</v>
      </c>
      <c r="AO26" s="27" t="s">
        <v>20</v>
      </c>
      <c r="AP26" s="35" t="s">
        <v>234</v>
      </c>
      <c r="AQ26" s="200"/>
      <c r="AR26" s="27" t="s">
        <v>64</v>
      </c>
      <c r="AS26" s="28" t="s">
        <v>81</v>
      </c>
      <c r="AT26" s="27" t="s">
        <v>64</v>
      </c>
      <c r="AU26" s="28" t="s">
        <v>82</v>
      </c>
      <c r="AV26" s="27" t="s">
        <v>64</v>
      </c>
      <c r="AW26" s="28" t="s">
        <v>83</v>
      </c>
      <c r="AX26" s="27" t="s">
        <v>64</v>
      </c>
      <c r="AY26" s="28" t="s">
        <v>84</v>
      </c>
      <c r="AZ26" s="200"/>
      <c r="BA26" s="27" t="s">
        <v>20</v>
      </c>
      <c r="BB26" s="28" t="s">
        <v>124</v>
      </c>
      <c r="BC26" s="27" t="s">
        <v>64</v>
      </c>
      <c r="BD26" s="28" t="s">
        <v>86</v>
      </c>
      <c r="BE26" s="27" t="s">
        <v>20</v>
      </c>
      <c r="BF26" s="28" t="s">
        <v>87</v>
      </c>
      <c r="BG26" s="186"/>
      <c r="BH26" s="69" t="s">
        <v>64</v>
      </c>
      <c r="BI26" s="35" t="s">
        <v>88</v>
      </c>
      <c r="BJ26" s="69" t="s">
        <v>64</v>
      </c>
      <c r="BK26" s="38" t="s">
        <v>89</v>
      </c>
      <c r="BL26" s="200"/>
      <c r="BM26" s="27" t="s">
        <v>20</v>
      </c>
      <c r="BN26" s="81" t="s">
        <v>256</v>
      </c>
      <c r="BO26" s="186"/>
      <c r="BP26" s="27" t="s">
        <v>20</v>
      </c>
      <c r="BQ26" s="28" t="s">
        <v>235</v>
      </c>
      <c r="BR26" s="27" t="s">
        <v>20</v>
      </c>
      <c r="BS26" s="28" t="s">
        <v>236</v>
      </c>
      <c r="BT26" s="200"/>
      <c r="BU26" s="40"/>
      <c r="BV26" s="28">
        <v>1</v>
      </c>
      <c r="BW26" s="200"/>
      <c r="BX26" s="40"/>
      <c r="BY26" s="28">
        <v>2</v>
      </c>
      <c r="BZ26" s="197"/>
      <c r="CA26" s="41" t="s">
        <v>20</v>
      </c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</row>
    <row r="27" spans="1:95" ht="33" customHeight="1">
      <c r="A27" s="24">
        <v>15</v>
      </c>
      <c r="B27" s="66" t="s">
        <v>284</v>
      </c>
      <c r="C27" s="67" t="s">
        <v>167</v>
      </c>
      <c r="D27" s="82" t="s">
        <v>285</v>
      </c>
      <c r="E27" s="197"/>
      <c r="F27" s="27" t="s">
        <v>102</v>
      </c>
      <c r="G27" s="28" t="s">
        <v>286</v>
      </c>
      <c r="H27" s="27" t="s">
        <v>64</v>
      </c>
      <c r="I27" s="42" t="s">
        <v>241</v>
      </c>
      <c r="J27" s="29"/>
      <c r="K27" s="27" t="s">
        <v>64</v>
      </c>
      <c r="L27" s="30" t="s">
        <v>67</v>
      </c>
      <c r="M27" s="27" t="s">
        <v>102</v>
      </c>
      <c r="N27" s="28" t="s">
        <v>103</v>
      </c>
      <c r="O27" s="27" t="s">
        <v>102</v>
      </c>
      <c r="P27" s="28" t="s">
        <v>103</v>
      </c>
      <c r="Q27" s="29"/>
      <c r="R27" s="27" t="s">
        <v>64</v>
      </c>
      <c r="S27" s="35" t="s">
        <v>114</v>
      </c>
      <c r="T27" s="27" t="s">
        <v>64</v>
      </c>
      <c r="U27" s="32" t="s">
        <v>115</v>
      </c>
      <c r="V27" s="27" t="s">
        <v>64</v>
      </c>
      <c r="W27" s="46" t="s">
        <v>116</v>
      </c>
      <c r="X27" s="186"/>
      <c r="Y27" s="27" t="s">
        <v>102</v>
      </c>
      <c r="Z27" s="28" t="s">
        <v>264</v>
      </c>
      <c r="AA27" s="27" t="s">
        <v>20</v>
      </c>
      <c r="AB27" s="28" t="s">
        <v>97</v>
      </c>
      <c r="AC27" s="200"/>
      <c r="AD27" s="27" t="s">
        <v>64</v>
      </c>
      <c r="AE27" s="28" t="s">
        <v>230</v>
      </c>
      <c r="AF27" s="27" t="s">
        <v>102</v>
      </c>
      <c r="AG27" s="34" t="s">
        <v>105</v>
      </c>
      <c r="AH27" s="27" t="s">
        <v>102</v>
      </c>
      <c r="AI27" s="34" t="s">
        <v>105</v>
      </c>
      <c r="AJ27" s="200"/>
      <c r="AK27" s="27" t="s">
        <v>102</v>
      </c>
      <c r="AL27" s="28" t="s">
        <v>265</v>
      </c>
      <c r="AM27" s="27" t="s">
        <v>102</v>
      </c>
      <c r="AN27" s="28" t="s">
        <v>287</v>
      </c>
      <c r="AO27" s="27" t="s">
        <v>20</v>
      </c>
      <c r="AP27" s="35" t="s">
        <v>234</v>
      </c>
      <c r="AQ27" s="200"/>
      <c r="AR27" s="27" t="s">
        <v>64</v>
      </c>
      <c r="AS27" s="28" t="s">
        <v>81</v>
      </c>
      <c r="AT27" s="27" t="s">
        <v>64</v>
      </c>
      <c r="AU27" s="28" t="s">
        <v>82</v>
      </c>
      <c r="AV27" s="27" t="s">
        <v>64</v>
      </c>
      <c r="AW27" s="28" t="s">
        <v>83</v>
      </c>
      <c r="AX27" s="27" t="s">
        <v>64</v>
      </c>
      <c r="AY27" s="28" t="s">
        <v>84</v>
      </c>
      <c r="AZ27" s="200"/>
      <c r="BA27" s="27" t="s">
        <v>64</v>
      </c>
      <c r="BB27" s="28" t="s">
        <v>85</v>
      </c>
      <c r="BC27" s="27" t="s">
        <v>64</v>
      </c>
      <c r="BD27" s="28" t="s">
        <v>86</v>
      </c>
      <c r="BE27" s="27" t="s">
        <v>102</v>
      </c>
      <c r="BF27" s="28" t="s">
        <v>107</v>
      </c>
      <c r="BG27" s="186"/>
      <c r="BH27" s="69" t="s">
        <v>64</v>
      </c>
      <c r="BI27" s="35" t="s">
        <v>88</v>
      </c>
      <c r="BJ27" s="69" t="s">
        <v>64</v>
      </c>
      <c r="BK27" s="38" t="s">
        <v>89</v>
      </c>
      <c r="BL27" s="200"/>
      <c r="BM27" s="27" t="s">
        <v>64</v>
      </c>
      <c r="BN27" s="80" t="s">
        <v>146</v>
      </c>
      <c r="BO27" s="186"/>
      <c r="BP27" s="27" t="s">
        <v>20</v>
      </c>
      <c r="BQ27" s="28" t="s">
        <v>235</v>
      </c>
      <c r="BR27" s="27" t="s">
        <v>64</v>
      </c>
      <c r="BS27" s="28" t="s">
        <v>243</v>
      </c>
      <c r="BT27" s="200"/>
      <c r="BU27" s="40"/>
      <c r="BV27" s="28">
        <v>8</v>
      </c>
      <c r="BW27" s="200"/>
      <c r="BX27" s="40"/>
      <c r="BY27" s="28">
        <v>4</v>
      </c>
      <c r="BZ27" s="197"/>
      <c r="CA27" s="41" t="s">
        <v>20</v>
      </c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</row>
    <row r="28" spans="1:95" ht="33" customHeight="1">
      <c r="A28" s="24">
        <v>16</v>
      </c>
      <c r="B28" s="66" t="s">
        <v>288</v>
      </c>
      <c r="C28" s="67" t="s">
        <v>289</v>
      </c>
      <c r="D28" s="82" t="s">
        <v>290</v>
      </c>
      <c r="E28" s="197"/>
      <c r="F28" s="27" t="s">
        <v>102</v>
      </c>
      <c r="G28" s="28" t="s">
        <v>286</v>
      </c>
      <c r="H28" s="27" t="s">
        <v>64</v>
      </c>
      <c r="I28" s="42" t="s">
        <v>241</v>
      </c>
      <c r="J28" s="29"/>
      <c r="K28" s="27" t="s">
        <v>102</v>
      </c>
      <c r="L28" s="28" t="s">
        <v>103</v>
      </c>
      <c r="M28" s="27" t="s">
        <v>102</v>
      </c>
      <c r="N28" s="28" t="s">
        <v>103</v>
      </c>
      <c r="O28" s="27" t="s">
        <v>102</v>
      </c>
      <c r="P28" s="28" t="s">
        <v>103</v>
      </c>
      <c r="Q28" s="29"/>
      <c r="R28" s="27" t="s">
        <v>64</v>
      </c>
      <c r="S28" s="28" t="s">
        <v>114</v>
      </c>
      <c r="T28" s="27" t="s">
        <v>64</v>
      </c>
      <c r="U28" s="32" t="s">
        <v>115</v>
      </c>
      <c r="V28" s="27" t="s">
        <v>64</v>
      </c>
      <c r="W28" s="46" t="s">
        <v>116</v>
      </c>
      <c r="X28" s="186"/>
      <c r="Y28" s="27" t="s">
        <v>102</v>
      </c>
      <c r="Z28" s="54" t="s">
        <v>264</v>
      </c>
      <c r="AA28" s="27" t="s">
        <v>102</v>
      </c>
      <c r="AB28" s="28" t="s">
        <v>169</v>
      </c>
      <c r="AC28" s="200"/>
      <c r="AD28" s="27" t="s">
        <v>20</v>
      </c>
      <c r="AE28" s="34" t="s">
        <v>291</v>
      </c>
      <c r="AF28" s="27" t="s">
        <v>102</v>
      </c>
      <c r="AG28" s="34" t="s">
        <v>105</v>
      </c>
      <c r="AH28" s="27" t="s">
        <v>64</v>
      </c>
      <c r="AI28" s="28" t="s">
        <v>231</v>
      </c>
      <c r="AJ28" s="200"/>
      <c r="AK28" s="27" t="s">
        <v>64</v>
      </c>
      <c r="AL28" s="35" t="s">
        <v>232</v>
      </c>
      <c r="AM28" s="27" t="s">
        <v>20</v>
      </c>
      <c r="AN28" s="35" t="s">
        <v>233</v>
      </c>
      <c r="AO28" s="27" t="s">
        <v>20</v>
      </c>
      <c r="AP28" s="35" t="s">
        <v>234</v>
      </c>
      <c r="AQ28" s="200"/>
      <c r="AR28" s="27" t="s">
        <v>64</v>
      </c>
      <c r="AS28" s="28" t="s">
        <v>81</v>
      </c>
      <c r="AT28" s="27" t="s">
        <v>64</v>
      </c>
      <c r="AU28" s="28" t="s">
        <v>82</v>
      </c>
      <c r="AV28" s="27" t="s">
        <v>64</v>
      </c>
      <c r="AW28" s="28" t="s">
        <v>83</v>
      </c>
      <c r="AX28" s="27" t="s">
        <v>64</v>
      </c>
      <c r="AY28" s="28" t="s">
        <v>84</v>
      </c>
      <c r="AZ28" s="200"/>
      <c r="BA28" s="27" t="s">
        <v>64</v>
      </c>
      <c r="BB28" s="28" t="s">
        <v>85</v>
      </c>
      <c r="BC28" s="27" t="s">
        <v>64</v>
      </c>
      <c r="BD28" s="28" t="s">
        <v>86</v>
      </c>
      <c r="BE28" s="27" t="s">
        <v>64</v>
      </c>
      <c r="BF28" s="28" t="s">
        <v>145</v>
      </c>
      <c r="BG28" s="186"/>
      <c r="BH28" s="69" t="s">
        <v>64</v>
      </c>
      <c r="BI28" s="35" t="s">
        <v>88</v>
      </c>
      <c r="BJ28" s="69" t="s">
        <v>64</v>
      </c>
      <c r="BK28" s="38" t="s">
        <v>89</v>
      </c>
      <c r="BL28" s="200"/>
      <c r="BM28" s="27" t="s">
        <v>64</v>
      </c>
      <c r="BN28" s="80" t="s">
        <v>146</v>
      </c>
      <c r="BO28" s="186"/>
      <c r="BP28" s="27" t="s">
        <v>20</v>
      </c>
      <c r="BQ28" s="28" t="s">
        <v>235</v>
      </c>
      <c r="BR28" s="27" t="s">
        <v>20</v>
      </c>
      <c r="BS28" s="28" t="s">
        <v>236</v>
      </c>
      <c r="BT28" s="200"/>
      <c r="BU28" s="40"/>
      <c r="BV28" s="28">
        <v>5</v>
      </c>
      <c r="BW28" s="200"/>
      <c r="BX28" s="40"/>
      <c r="BY28" s="28">
        <v>4</v>
      </c>
      <c r="BZ28" s="197"/>
      <c r="CA28" s="41" t="s">
        <v>20</v>
      </c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</row>
    <row r="29" spans="1:95" ht="33" customHeight="1">
      <c r="A29" s="24">
        <v>17</v>
      </c>
      <c r="B29" s="71" t="s">
        <v>262</v>
      </c>
      <c r="C29" s="72" t="s">
        <v>137</v>
      </c>
      <c r="D29" s="73" t="s">
        <v>292</v>
      </c>
      <c r="E29" s="197"/>
      <c r="F29" s="27" t="s">
        <v>64</v>
      </c>
      <c r="G29" s="42" t="s">
        <v>241</v>
      </c>
      <c r="H29" s="27" t="s">
        <v>64</v>
      </c>
      <c r="I29" s="42" t="s">
        <v>241</v>
      </c>
      <c r="J29" s="29"/>
      <c r="K29" s="27" t="s">
        <v>64</v>
      </c>
      <c r="L29" s="30" t="s">
        <v>67</v>
      </c>
      <c r="M29" s="27" t="s">
        <v>64</v>
      </c>
      <c r="N29" s="30" t="s">
        <v>67</v>
      </c>
      <c r="O29" s="27" t="s">
        <v>64</v>
      </c>
      <c r="P29" s="30" t="s">
        <v>67</v>
      </c>
      <c r="Q29" s="29"/>
      <c r="R29" s="27" t="s">
        <v>20</v>
      </c>
      <c r="S29" s="28" t="s">
        <v>161</v>
      </c>
      <c r="T29" s="27" t="s">
        <v>20</v>
      </c>
      <c r="U29" s="32" t="s">
        <v>70</v>
      </c>
      <c r="V29" s="27" t="s">
        <v>64</v>
      </c>
      <c r="W29" s="46" t="s">
        <v>116</v>
      </c>
      <c r="X29" s="186"/>
      <c r="Y29" s="27" t="s">
        <v>102</v>
      </c>
      <c r="Z29" s="28" t="s">
        <v>264</v>
      </c>
      <c r="AA29" s="27" t="s">
        <v>102</v>
      </c>
      <c r="AB29" s="28" t="s">
        <v>169</v>
      </c>
      <c r="AC29" s="200"/>
      <c r="AD29" s="27" t="s">
        <v>64</v>
      </c>
      <c r="AE29" s="28" t="s">
        <v>230</v>
      </c>
      <c r="AF29" s="27" t="s">
        <v>64</v>
      </c>
      <c r="AG29" s="28" t="s">
        <v>76</v>
      </c>
      <c r="AH29" s="27" t="s">
        <v>64</v>
      </c>
      <c r="AI29" s="28" t="s">
        <v>231</v>
      </c>
      <c r="AJ29" s="200"/>
      <c r="AK29" s="27" t="s">
        <v>64</v>
      </c>
      <c r="AL29" s="35" t="s">
        <v>232</v>
      </c>
      <c r="AM29" s="27" t="s">
        <v>20</v>
      </c>
      <c r="AN29" s="35" t="s">
        <v>233</v>
      </c>
      <c r="AO29" s="27" t="s">
        <v>20</v>
      </c>
      <c r="AP29" s="35" t="s">
        <v>234</v>
      </c>
      <c r="AQ29" s="200"/>
      <c r="AR29" s="27" t="s">
        <v>64</v>
      </c>
      <c r="AS29" s="28" t="s">
        <v>81</v>
      </c>
      <c r="AT29" s="27" t="s">
        <v>64</v>
      </c>
      <c r="AU29" s="28" t="s">
        <v>82</v>
      </c>
      <c r="AV29" s="27" t="s">
        <v>64</v>
      </c>
      <c r="AW29" s="28" t="s">
        <v>83</v>
      </c>
      <c r="AX29" s="27" t="s">
        <v>64</v>
      </c>
      <c r="AY29" s="28" t="s">
        <v>84</v>
      </c>
      <c r="AZ29" s="200"/>
      <c r="BA29" s="27" t="s">
        <v>64</v>
      </c>
      <c r="BB29" s="28" t="s">
        <v>85</v>
      </c>
      <c r="BC29" s="27" t="s">
        <v>64</v>
      </c>
      <c r="BD29" s="28" t="s">
        <v>86</v>
      </c>
      <c r="BE29" s="27" t="s">
        <v>64</v>
      </c>
      <c r="BF29" s="28" t="s">
        <v>145</v>
      </c>
      <c r="BG29" s="186"/>
      <c r="BH29" s="69" t="s">
        <v>20</v>
      </c>
      <c r="BI29" s="38" t="s">
        <v>140</v>
      </c>
      <c r="BJ29" s="69" t="s">
        <v>64</v>
      </c>
      <c r="BK29" s="38" t="s">
        <v>89</v>
      </c>
      <c r="BL29" s="200"/>
      <c r="BM29" s="27" t="s">
        <v>64</v>
      </c>
      <c r="BN29" s="80" t="s">
        <v>146</v>
      </c>
      <c r="BO29" s="186"/>
      <c r="BP29" s="27" t="s">
        <v>20</v>
      </c>
      <c r="BQ29" s="28" t="s">
        <v>235</v>
      </c>
      <c r="BR29" s="27" t="s">
        <v>20</v>
      </c>
      <c r="BS29" s="28" t="s">
        <v>236</v>
      </c>
      <c r="BT29" s="200"/>
      <c r="BU29" s="40"/>
      <c r="BV29" s="28">
        <v>1</v>
      </c>
      <c r="BW29" s="200"/>
      <c r="BX29" s="40"/>
      <c r="BY29" s="28">
        <v>2</v>
      </c>
      <c r="BZ29" s="197"/>
      <c r="CA29" s="41" t="s">
        <v>20</v>
      </c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</row>
    <row r="30" spans="1:95" ht="33" customHeight="1">
      <c r="A30" s="24">
        <v>18</v>
      </c>
      <c r="B30" s="71" t="s">
        <v>293</v>
      </c>
      <c r="C30" s="72" t="s">
        <v>294</v>
      </c>
      <c r="D30" s="73" t="s">
        <v>295</v>
      </c>
      <c r="E30" s="197"/>
      <c r="F30" s="27" t="s">
        <v>64</v>
      </c>
      <c r="G30" s="48" t="s">
        <v>241</v>
      </c>
      <c r="H30" s="27" t="s">
        <v>64</v>
      </c>
      <c r="I30" s="42" t="s">
        <v>241</v>
      </c>
      <c r="J30" s="29"/>
      <c r="K30" s="27" t="s">
        <v>64</v>
      </c>
      <c r="L30" s="30" t="s">
        <v>67</v>
      </c>
      <c r="M30" s="27" t="s">
        <v>64</v>
      </c>
      <c r="N30" s="30" t="s">
        <v>67</v>
      </c>
      <c r="O30" s="27" t="s">
        <v>102</v>
      </c>
      <c r="P30" s="28" t="s">
        <v>103</v>
      </c>
      <c r="Q30" s="29"/>
      <c r="R30" s="27" t="s">
        <v>64</v>
      </c>
      <c r="S30" s="35" t="s">
        <v>114</v>
      </c>
      <c r="T30" s="27" t="s">
        <v>64</v>
      </c>
      <c r="U30" s="32" t="s">
        <v>115</v>
      </c>
      <c r="V30" s="27" t="s">
        <v>64</v>
      </c>
      <c r="W30" s="46" t="s">
        <v>116</v>
      </c>
      <c r="X30" s="186"/>
      <c r="Y30" s="27" t="s">
        <v>102</v>
      </c>
      <c r="Z30" s="28" t="s">
        <v>264</v>
      </c>
      <c r="AA30" s="27" t="s">
        <v>102</v>
      </c>
      <c r="AB30" s="28" t="s">
        <v>169</v>
      </c>
      <c r="AC30" s="200"/>
      <c r="AD30" s="27" t="s">
        <v>64</v>
      </c>
      <c r="AE30" s="28" t="s">
        <v>230</v>
      </c>
      <c r="AF30" s="27" t="s">
        <v>102</v>
      </c>
      <c r="AG30" s="34" t="s">
        <v>105</v>
      </c>
      <c r="AH30" s="27" t="s">
        <v>64</v>
      </c>
      <c r="AI30" s="28" t="s">
        <v>231</v>
      </c>
      <c r="AJ30" s="200"/>
      <c r="AK30" s="27" t="s">
        <v>64</v>
      </c>
      <c r="AL30" s="35" t="s">
        <v>232</v>
      </c>
      <c r="AM30" s="27" t="s">
        <v>20</v>
      </c>
      <c r="AN30" s="35" t="s">
        <v>233</v>
      </c>
      <c r="AO30" s="27" t="s">
        <v>20</v>
      </c>
      <c r="AP30" s="35" t="s">
        <v>234</v>
      </c>
      <c r="AQ30" s="200"/>
      <c r="AR30" s="27" t="s">
        <v>64</v>
      </c>
      <c r="AS30" s="28" t="s">
        <v>81</v>
      </c>
      <c r="AT30" s="27" t="s">
        <v>64</v>
      </c>
      <c r="AU30" s="28" t="s">
        <v>82</v>
      </c>
      <c r="AV30" s="27" t="s">
        <v>64</v>
      </c>
      <c r="AW30" s="28" t="s">
        <v>83</v>
      </c>
      <c r="AX30" s="27" t="s">
        <v>64</v>
      </c>
      <c r="AY30" s="28" t="s">
        <v>84</v>
      </c>
      <c r="AZ30" s="200"/>
      <c r="BA30" s="27" t="s">
        <v>64</v>
      </c>
      <c r="BB30" s="28" t="s">
        <v>85</v>
      </c>
      <c r="BC30" s="27" t="s">
        <v>64</v>
      </c>
      <c r="BD30" s="28" t="s">
        <v>86</v>
      </c>
      <c r="BE30" s="27" t="s">
        <v>64</v>
      </c>
      <c r="BF30" s="28" t="s">
        <v>145</v>
      </c>
      <c r="BG30" s="186"/>
      <c r="BH30" s="69" t="s">
        <v>102</v>
      </c>
      <c r="BI30" s="38" t="s">
        <v>108</v>
      </c>
      <c r="BJ30" s="69" t="s">
        <v>102</v>
      </c>
      <c r="BK30" s="38" t="s">
        <v>108</v>
      </c>
      <c r="BL30" s="200"/>
      <c r="BM30" s="27" t="s">
        <v>64</v>
      </c>
      <c r="BN30" s="80" t="s">
        <v>146</v>
      </c>
      <c r="BO30" s="186"/>
      <c r="BP30" s="27" t="s">
        <v>20</v>
      </c>
      <c r="BQ30" s="28" t="s">
        <v>235</v>
      </c>
      <c r="BR30" s="27" t="s">
        <v>20</v>
      </c>
      <c r="BS30" s="28" t="s">
        <v>236</v>
      </c>
      <c r="BT30" s="200"/>
      <c r="BU30" s="40"/>
      <c r="BV30" s="28">
        <v>5</v>
      </c>
      <c r="BW30" s="200"/>
      <c r="BX30" s="40"/>
      <c r="BY30" s="40"/>
      <c r="BZ30" s="197"/>
      <c r="CA30" s="41" t="s">
        <v>20</v>
      </c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</row>
    <row r="31" spans="1:95" ht="33" customHeight="1">
      <c r="A31" s="24">
        <v>19</v>
      </c>
      <c r="B31" s="74" t="s">
        <v>180</v>
      </c>
      <c r="C31" s="75" t="s">
        <v>296</v>
      </c>
      <c r="D31" s="76" t="s">
        <v>297</v>
      </c>
      <c r="E31" s="197"/>
      <c r="F31" s="27" t="s">
        <v>64</v>
      </c>
      <c r="G31" s="42" t="s">
        <v>241</v>
      </c>
      <c r="H31" s="27" t="s">
        <v>64</v>
      </c>
      <c r="I31" s="42" t="s">
        <v>241</v>
      </c>
      <c r="J31" s="29"/>
      <c r="K31" s="27" t="s">
        <v>64</v>
      </c>
      <c r="L31" s="30" t="s">
        <v>67</v>
      </c>
      <c r="M31" s="27" t="s">
        <v>64</v>
      </c>
      <c r="N31" s="30" t="s">
        <v>67</v>
      </c>
      <c r="O31" s="27" t="s">
        <v>64</v>
      </c>
      <c r="P31" s="30" t="s">
        <v>67</v>
      </c>
      <c r="Q31" s="29"/>
      <c r="R31" s="27" t="s">
        <v>20</v>
      </c>
      <c r="S31" s="28" t="s">
        <v>298</v>
      </c>
      <c r="T31" s="27" t="s">
        <v>64</v>
      </c>
      <c r="U31" s="32" t="s">
        <v>115</v>
      </c>
      <c r="V31" s="27" t="s">
        <v>64</v>
      </c>
      <c r="W31" s="46" t="s">
        <v>116</v>
      </c>
      <c r="X31" s="186"/>
      <c r="Y31" s="27" t="s">
        <v>64</v>
      </c>
      <c r="Z31" s="28" t="s">
        <v>97</v>
      </c>
      <c r="AA31" s="27" t="s">
        <v>20</v>
      </c>
      <c r="AB31" s="28" t="s">
        <v>97</v>
      </c>
      <c r="AC31" s="200"/>
      <c r="AD31" s="27" t="s">
        <v>64</v>
      </c>
      <c r="AE31" s="28" t="s">
        <v>230</v>
      </c>
      <c r="AF31" s="27" t="s">
        <v>102</v>
      </c>
      <c r="AG31" s="34" t="s">
        <v>105</v>
      </c>
      <c r="AH31" s="27" t="s">
        <v>64</v>
      </c>
      <c r="AI31" s="28" t="s">
        <v>231</v>
      </c>
      <c r="AJ31" s="200"/>
      <c r="AK31" s="27" t="s">
        <v>64</v>
      </c>
      <c r="AL31" s="35" t="s">
        <v>232</v>
      </c>
      <c r="AM31" s="27" t="s">
        <v>64</v>
      </c>
      <c r="AN31" s="35" t="s">
        <v>242</v>
      </c>
      <c r="AO31" s="27" t="s">
        <v>20</v>
      </c>
      <c r="AP31" s="35" t="s">
        <v>234</v>
      </c>
      <c r="AQ31" s="200"/>
      <c r="AR31" s="27" t="s">
        <v>64</v>
      </c>
      <c r="AS31" s="28" t="s">
        <v>81</v>
      </c>
      <c r="AT31" s="27" t="s">
        <v>64</v>
      </c>
      <c r="AU31" s="28" t="s">
        <v>82</v>
      </c>
      <c r="AV31" s="27" t="s">
        <v>64</v>
      </c>
      <c r="AW31" s="28" t="s">
        <v>83</v>
      </c>
      <c r="AX31" s="27" t="s">
        <v>64</v>
      </c>
      <c r="AY31" s="28" t="s">
        <v>84</v>
      </c>
      <c r="AZ31" s="200"/>
      <c r="BA31" s="27" t="s">
        <v>64</v>
      </c>
      <c r="BB31" s="28" t="s">
        <v>85</v>
      </c>
      <c r="BC31" s="27" t="s">
        <v>64</v>
      </c>
      <c r="BD31" s="28" t="s">
        <v>86</v>
      </c>
      <c r="BE31" s="27" t="s">
        <v>64</v>
      </c>
      <c r="BF31" s="28" t="s">
        <v>145</v>
      </c>
      <c r="BG31" s="186"/>
      <c r="BH31" s="69" t="s">
        <v>64</v>
      </c>
      <c r="BI31" s="35" t="s">
        <v>88</v>
      </c>
      <c r="BJ31" s="69" t="s">
        <v>64</v>
      </c>
      <c r="BK31" s="38" t="s">
        <v>89</v>
      </c>
      <c r="BL31" s="200"/>
      <c r="BM31" s="27" t="s">
        <v>20</v>
      </c>
      <c r="BN31" s="80" t="s">
        <v>256</v>
      </c>
      <c r="BO31" s="186"/>
      <c r="BP31" s="27" t="s">
        <v>20</v>
      </c>
      <c r="BQ31" s="28" t="s">
        <v>235</v>
      </c>
      <c r="BR31" s="27" t="s">
        <v>20</v>
      </c>
      <c r="BS31" s="28" t="s">
        <v>236</v>
      </c>
      <c r="BT31" s="200"/>
      <c r="BU31" s="40"/>
      <c r="BV31" s="40"/>
      <c r="BW31" s="200"/>
      <c r="BX31" s="40"/>
      <c r="BY31" s="28">
        <v>2</v>
      </c>
      <c r="BZ31" s="197"/>
      <c r="CA31" s="41" t="s">
        <v>20</v>
      </c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</row>
    <row r="32" spans="1:95" ht="33" customHeight="1">
      <c r="A32" s="24">
        <v>20</v>
      </c>
      <c r="B32" s="74" t="s">
        <v>299</v>
      </c>
      <c r="C32" s="75" t="s">
        <v>162</v>
      </c>
      <c r="D32" s="76" t="s">
        <v>300</v>
      </c>
      <c r="E32" s="197"/>
      <c r="F32" s="27" t="s">
        <v>64</v>
      </c>
      <c r="G32" s="42" t="s">
        <v>241</v>
      </c>
      <c r="H32" s="27" t="s">
        <v>20</v>
      </c>
      <c r="I32" s="42" t="s">
        <v>229</v>
      </c>
      <c r="J32" s="29"/>
      <c r="K32" s="27" t="s">
        <v>102</v>
      </c>
      <c r="L32" s="28" t="s">
        <v>103</v>
      </c>
      <c r="M32" s="27" t="s">
        <v>102</v>
      </c>
      <c r="N32" s="28" t="s">
        <v>103</v>
      </c>
      <c r="O32" s="27" t="s">
        <v>102</v>
      </c>
      <c r="P32" s="28" t="s">
        <v>103</v>
      </c>
      <c r="Q32" s="29"/>
      <c r="R32" s="27" t="s">
        <v>64</v>
      </c>
      <c r="S32" s="28" t="s">
        <v>114</v>
      </c>
      <c r="T32" s="27" t="s">
        <v>64</v>
      </c>
      <c r="U32" s="32" t="s">
        <v>115</v>
      </c>
      <c r="V32" s="27" t="s">
        <v>64</v>
      </c>
      <c r="W32" s="46" t="s">
        <v>116</v>
      </c>
      <c r="X32" s="186"/>
      <c r="Y32" s="27" t="s">
        <v>64</v>
      </c>
      <c r="Z32" s="28" t="s">
        <v>97</v>
      </c>
      <c r="AA32" s="27" t="s">
        <v>102</v>
      </c>
      <c r="AB32" s="28" t="s">
        <v>169</v>
      </c>
      <c r="AC32" s="200"/>
      <c r="AD32" s="27" t="s">
        <v>64</v>
      </c>
      <c r="AE32" s="28" t="s">
        <v>230</v>
      </c>
      <c r="AF32" s="27" t="s">
        <v>102</v>
      </c>
      <c r="AG32" s="34" t="s">
        <v>105</v>
      </c>
      <c r="AH32" s="27" t="s">
        <v>102</v>
      </c>
      <c r="AI32" s="34" t="s">
        <v>105</v>
      </c>
      <c r="AJ32" s="200"/>
      <c r="AK32" s="27" t="s">
        <v>102</v>
      </c>
      <c r="AL32" s="35" t="s">
        <v>265</v>
      </c>
      <c r="AM32" s="27" t="s">
        <v>64</v>
      </c>
      <c r="AN32" s="35" t="s">
        <v>242</v>
      </c>
      <c r="AO32" s="27" t="s">
        <v>20</v>
      </c>
      <c r="AP32" s="35" t="s">
        <v>234</v>
      </c>
      <c r="AQ32" s="200"/>
      <c r="AR32" s="27" t="s">
        <v>64</v>
      </c>
      <c r="AS32" s="28" t="s">
        <v>81</v>
      </c>
      <c r="AT32" s="27" t="s">
        <v>64</v>
      </c>
      <c r="AU32" s="28" t="s">
        <v>82</v>
      </c>
      <c r="AV32" s="27" t="s">
        <v>64</v>
      </c>
      <c r="AW32" s="28" t="s">
        <v>83</v>
      </c>
      <c r="AX32" s="27" t="s">
        <v>64</v>
      </c>
      <c r="AY32" s="28" t="s">
        <v>84</v>
      </c>
      <c r="AZ32" s="200"/>
      <c r="BA32" s="27" t="s">
        <v>64</v>
      </c>
      <c r="BB32" s="28" t="s">
        <v>85</v>
      </c>
      <c r="BC32" s="27" t="s">
        <v>64</v>
      </c>
      <c r="BD32" s="28" t="s">
        <v>86</v>
      </c>
      <c r="BE32" s="27" t="s">
        <v>102</v>
      </c>
      <c r="BF32" s="28" t="s">
        <v>107</v>
      </c>
      <c r="BG32" s="186"/>
      <c r="BH32" s="69" t="s">
        <v>102</v>
      </c>
      <c r="BI32" s="38" t="s">
        <v>108</v>
      </c>
      <c r="BJ32" s="69" t="s">
        <v>102</v>
      </c>
      <c r="BK32" s="38" t="s">
        <v>108</v>
      </c>
      <c r="BL32" s="200"/>
      <c r="BM32" s="27" t="s">
        <v>64</v>
      </c>
      <c r="BN32" s="81" t="s">
        <v>146</v>
      </c>
      <c r="BO32" s="186"/>
      <c r="BP32" s="27" t="s">
        <v>20</v>
      </c>
      <c r="BQ32" s="28" t="s">
        <v>235</v>
      </c>
      <c r="BR32" s="27" t="s">
        <v>20</v>
      </c>
      <c r="BS32" s="28" t="s">
        <v>236</v>
      </c>
      <c r="BT32" s="200"/>
      <c r="BU32" s="40"/>
      <c r="BV32" s="28">
        <v>3</v>
      </c>
      <c r="BW32" s="200"/>
      <c r="BX32" s="40"/>
      <c r="BY32" s="28">
        <v>1</v>
      </c>
      <c r="BZ32" s="197"/>
      <c r="CA32" s="41" t="s">
        <v>20</v>
      </c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</row>
    <row r="33" spans="1:95" ht="33" customHeight="1">
      <c r="A33" s="24">
        <v>21</v>
      </c>
      <c r="B33" s="71" t="s">
        <v>301</v>
      </c>
      <c r="C33" s="72" t="s">
        <v>302</v>
      </c>
      <c r="D33" s="73" t="s">
        <v>303</v>
      </c>
      <c r="E33" s="197"/>
      <c r="F33" s="27" t="s">
        <v>64</v>
      </c>
      <c r="G33" s="48" t="s">
        <v>241</v>
      </c>
      <c r="H33" s="27" t="s">
        <v>64</v>
      </c>
      <c r="I33" s="42" t="s">
        <v>241</v>
      </c>
      <c r="J33" s="29"/>
      <c r="K33" s="27" t="s">
        <v>64</v>
      </c>
      <c r="L33" s="30" t="s">
        <v>67</v>
      </c>
      <c r="M33" s="27" t="s">
        <v>102</v>
      </c>
      <c r="N33" s="28" t="s">
        <v>103</v>
      </c>
      <c r="O33" s="27" t="s">
        <v>102</v>
      </c>
      <c r="P33" s="28" t="s">
        <v>103</v>
      </c>
      <c r="Q33" s="29"/>
      <c r="R33" s="27" t="s">
        <v>64</v>
      </c>
      <c r="S33" s="35" t="s">
        <v>114</v>
      </c>
      <c r="T33" s="27" t="s">
        <v>64</v>
      </c>
      <c r="U33" s="32" t="s">
        <v>115</v>
      </c>
      <c r="V33" s="27" t="s">
        <v>64</v>
      </c>
      <c r="W33" s="46" t="s">
        <v>116</v>
      </c>
      <c r="X33" s="186"/>
      <c r="Y33" s="27" t="s">
        <v>102</v>
      </c>
      <c r="Z33" s="28" t="s">
        <v>264</v>
      </c>
      <c r="AA33" s="27" t="s">
        <v>64</v>
      </c>
      <c r="AB33" s="28" t="s">
        <v>97</v>
      </c>
      <c r="AC33" s="200"/>
      <c r="AD33" s="27" t="s">
        <v>64</v>
      </c>
      <c r="AE33" s="28" t="s">
        <v>230</v>
      </c>
      <c r="AF33" s="27" t="s">
        <v>102</v>
      </c>
      <c r="AG33" s="34" t="s">
        <v>105</v>
      </c>
      <c r="AH33" s="27" t="s">
        <v>64</v>
      </c>
      <c r="AI33" s="28" t="s">
        <v>231</v>
      </c>
      <c r="AJ33" s="200"/>
      <c r="AK33" s="27" t="s">
        <v>64</v>
      </c>
      <c r="AL33" s="35" t="s">
        <v>232</v>
      </c>
      <c r="AM33" s="27" t="s">
        <v>64</v>
      </c>
      <c r="AN33" s="35" t="s">
        <v>242</v>
      </c>
      <c r="AO33" s="27" t="s">
        <v>20</v>
      </c>
      <c r="AP33" s="35" t="s">
        <v>234</v>
      </c>
      <c r="AQ33" s="200"/>
      <c r="AR33" s="27" t="s">
        <v>64</v>
      </c>
      <c r="AS33" s="28" t="s">
        <v>81</v>
      </c>
      <c r="AT33" s="27" t="s">
        <v>64</v>
      </c>
      <c r="AU33" s="28" t="s">
        <v>82</v>
      </c>
      <c r="AV33" s="27" t="s">
        <v>64</v>
      </c>
      <c r="AW33" s="28" t="s">
        <v>83</v>
      </c>
      <c r="AX33" s="27" t="s">
        <v>64</v>
      </c>
      <c r="AY33" s="28" t="s">
        <v>84</v>
      </c>
      <c r="AZ33" s="200"/>
      <c r="BA33" s="27" t="s">
        <v>64</v>
      </c>
      <c r="BB33" s="28" t="s">
        <v>85</v>
      </c>
      <c r="BC33" s="27" t="s">
        <v>64</v>
      </c>
      <c r="BD33" s="28" t="s">
        <v>86</v>
      </c>
      <c r="BE33" s="27" t="s">
        <v>102</v>
      </c>
      <c r="BF33" s="28" t="s">
        <v>107</v>
      </c>
      <c r="BG33" s="186"/>
      <c r="BH33" s="69" t="s">
        <v>64</v>
      </c>
      <c r="BI33" s="35" t="s">
        <v>88</v>
      </c>
      <c r="BJ33" s="69" t="s">
        <v>64</v>
      </c>
      <c r="BK33" s="38" t="s">
        <v>89</v>
      </c>
      <c r="BL33" s="200"/>
      <c r="BM33" s="27" t="s">
        <v>20</v>
      </c>
      <c r="BN33" s="80" t="s">
        <v>256</v>
      </c>
      <c r="BO33" s="186"/>
      <c r="BP33" s="27" t="s">
        <v>20</v>
      </c>
      <c r="BQ33" s="28" t="s">
        <v>235</v>
      </c>
      <c r="BR33" s="27" t="s">
        <v>20</v>
      </c>
      <c r="BS33" s="28" t="s">
        <v>236</v>
      </c>
      <c r="BT33" s="200"/>
      <c r="BU33" s="40"/>
      <c r="BV33" s="28">
        <v>2</v>
      </c>
      <c r="BW33" s="200"/>
      <c r="BX33" s="40"/>
      <c r="BY33" s="28">
        <v>1</v>
      </c>
      <c r="BZ33" s="197"/>
      <c r="CA33" s="41" t="s">
        <v>20</v>
      </c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</row>
    <row r="34" spans="1:95" ht="33" customHeight="1">
      <c r="A34" s="24">
        <v>22</v>
      </c>
      <c r="B34" s="71" t="s">
        <v>304</v>
      </c>
      <c r="C34" s="72" t="s">
        <v>305</v>
      </c>
      <c r="D34" s="73" t="s">
        <v>306</v>
      </c>
      <c r="E34" s="197"/>
      <c r="F34" s="27" t="s">
        <v>102</v>
      </c>
      <c r="G34" s="42" t="s">
        <v>240</v>
      </c>
      <c r="H34" s="27" t="s">
        <v>102</v>
      </c>
      <c r="I34" s="42" t="s">
        <v>240</v>
      </c>
      <c r="J34" s="29"/>
      <c r="K34" s="27" t="s">
        <v>102</v>
      </c>
      <c r="L34" s="28" t="s">
        <v>103</v>
      </c>
      <c r="M34" s="27" t="s">
        <v>102</v>
      </c>
      <c r="N34" s="28" t="s">
        <v>103</v>
      </c>
      <c r="O34" s="27" t="s">
        <v>102</v>
      </c>
      <c r="P34" s="28" t="s">
        <v>103</v>
      </c>
      <c r="Q34" s="29"/>
      <c r="R34" s="27" t="s">
        <v>64</v>
      </c>
      <c r="S34" s="35" t="s">
        <v>114</v>
      </c>
      <c r="T34" s="27" t="s">
        <v>64</v>
      </c>
      <c r="U34" s="32" t="s">
        <v>115</v>
      </c>
      <c r="V34" s="27" t="s">
        <v>64</v>
      </c>
      <c r="W34" s="46" t="s">
        <v>116</v>
      </c>
      <c r="X34" s="186"/>
      <c r="Y34" s="27" t="s">
        <v>102</v>
      </c>
      <c r="Z34" s="28" t="s">
        <v>264</v>
      </c>
      <c r="AA34" s="27" t="s">
        <v>102</v>
      </c>
      <c r="AB34" s="28" t="s">
        <v>169</v>
      </c>
      <c r="AC34" s="200"/>
      <c r="AD34" s="27" t="s">
        <v>102</v>
      </c>
      <c r="AE34" s="34" t="s">
        <v>105</v>
      </c>
      <c r="AF34" s="27" t="s">
        <v>102</v>
      </c>
      <c r="AG34" s="34" t="s">
        <v>105</v>
      </c>
      <c r="AH34" s="27" t="s">
        <v>102</v>
      </c>
      <c r="AI34" s="34" t="s">
        <v>105</v>
      </c>
      <c r="AJ34" s="200"/>
      <c r="AK34" s="27" t="s">
        <v>102</v>
      </c>
      <c r="AL34" s="35" t="s">
        <v>265</v>
      </c>
      <c r="AM34" s="27" t="s">
        <v>64</v>
      </c>
      <c r="AN34" s="35" t="s">
        <v>242</v>
      </c>
      <c r="AO34" s="27" t="s">
        <v>20</v>
      </c>
      <c r="AP34" s="35" t="s">
        <v>234</v>
      </c>
      <c r="AQ34" s="200"/>
      <c r="AR34" s="27" t="s">
        <v>64</v>
      </c>
      <c r="AS34" s="28" t="s">
        <v>81</v>
      </c>
      <c r="AT34" s="27" t="s">
        <v>64</v>
      </c>
      <c r="AU34" s="28" t="s">
        <v>82</v>
      </c>
      <c r="AV34" s="27" t="s">
        <v>64</v>
      </c>
      <c r="AW34" s="28" t="s">
        <v>83</v>
      </c>
      <c r="AX34" s="27" t="s">
        <v>64</v>
      </c>
      <c r="AY34" s="28" t="s">
        <v>84</v>
      </c>
      <c r="AZ34" s="200"/>
      <c r="BA34" s="27" t="s">
        <v>102</v>
      </c>
      <c r="BB34" s="28" t="s">
        <v>106</v>
      </c>
      <c r="BC34" s="27" t="s">
        <v>102</v>
      </c>
      <c r="BD34" s="28" t="s">
        <v>206</v>
      </c>
      <c r="BE34" s="27" t="s">
        <v>102</v>
      </c>
      <c r="BF34" s="28" t="s">
        <v>107</v>
      </c>
      <c r="BG34" s="186"/>
      <c r="BH34" s="69" t="s">
        <v>102</v>
      </c>
      <c r="BI34" s="38" t="s">
        <v>108</v>
      </c>
      <c r="BJ34" s="69" t="s">
        <v>102</v>
      </c>
      <c r="BK34" s="38" t="s">
        <v>108</v>
      </c>
      <c r="BL34" s="200"/>
      <c r="BM34" s="27" t="s">
        <v>102</v>
      </c>
      <c r="BN34" s="81" t="s">
        <v>266</v>
      </c>
      <c r="BO34" s="186"/>
      <c r="BP34" s="27" t="s">
        <v>20</v>
      </c>
      <c r="BQ34" s="28" t="s">
        <v>235</v>
      </c>
      <c r="BR34" s="27" t="s">
        <v>64</v>
      </c>
      <c r="BS34" s="28" t="s">
        <v>243</v>
      </c>
      <c r="BT34" s="200"/>
      <c r="BU34" s="40"/>
      <c r="BV34" s="28">
        <v>4</v>
      </c>
      <c r="BW34" s="200"/>
      <c r="BX34" s="40"/>
      <c r="BY34" s="28">
        <v>10</v>
      </c>
      <c r="BZ34" s="197"/>
      <c r="CA34" s="41" t="s">
        <v>20</v>
      </c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</row>
    <row r="35" spans="1:95" ht="33" customHeight="1">
      <c r="A35" s="24">
        <v>23</v>
      </c>
      <c r="B35" s="71" t="s">
        <v>307</v>
      </c>
      <c r="C35" s="72" t="s">
        <v>258</v>
      </c>
      <c r="D35" s="73" t="s">
        <v>308</v>
      </c>
      <c r="E35" s="197"/>
      <c r="F35" s="27" t="s">
        <v>64</v>
      </c>
      <c r="G35" s="48" t="s">
        <v>241</v>
      </c>
      <c r="H35" s="27" t="s">
        <v>64</v>
      </c>
      <c r="I35" s="42" t="s">
        <v>241</v>
      </c>
      <c r="J35" s="29"/>
      <c r="K35" s="27" t="s">
        <v>64</v>
      </c>
      <c r="L35" s="30" t="s">
        <v>67</v>
      </c>
      <c r="M35" s="27" t="s">
        <v>20</v>
      </c>
      <c r="N35" s="31" t="s">
        <v>68</v>
      </c>
      <c r="O35" s="27" t="s">
        <v>64</v>
      </c>
      <c r="P35" s="30" t="s">
        <v>67</v>
      </c>
      <c r="Q35" s="29"/>
      <c r="R35" s="27" t="s">
        <v>64</v>
      </c>
      <c r="S35" s="28" t="s">
        <v>114</v>
      </c>
      <c r="T35" s="27" t="s">
        <v>64</v>
      </c>
      <c r="U35" s="32" t="s">
        <v>115</v>
      </c>
      <c r="V35" s="27" t="s">
        <v>64</v>
      </c>
      <c r="W35" s="46" t="s">
        <v>116</v>
      </c>
      <c r="X35" s="186"/>
      <c r="Y35" s="27" t="s">
        <v>20</v>
      </c>
      <c r="Z35" s="28" t="s">
        <v>247</v>
      </c>
      <c r="AA35" s="27" t="s">
        <v>20</v>
      </c>
      <c r="AB35" s="28" t="s">
        <v>97</v>
      </c>
      <c r="AC35" s="200"/>
      <c r="AD35" s="27" t="s">
        <v>102</v>
      </c>
      <c r="AE35" s="34" t="s">
        <v>105</v>
      </c>
      <c r="AF35" s="27" t="s">
        <v>64</v>
      </c>
      <c r="AG35" s="28" t="s">
        <v>76</v>
      </c>
      <c r="AH35" s="27" t="s">
        <v>64</v>
      </c>
      <c r="AI35" s="28" t="s">
        <v>231</v>
      </c>
      <c r="AJ35" s="200"/>
      <c r="AK35" s="27" t="s">
        <v>102</v>
      </c>
      <c r="AL35" s="28" t="s">
        <v>265</v>
      </c>
      <c r="AM35" s="27" t="s">
        <v>64</v>
      </c>
      <c r="AN35" s="35" t="s">
        <v>242</v>
      </c>
      <c r="AO35" s="27" t="s">
        <v>20</v>
      </c>
      <c r="AP35" s="35" t="s">
        <v>234</v>
      </c>
      <c r="AQ35" s="200"/>
      <c r="AR35" s="27" t="s">
        <v>64</v>
      </c>
      <c r="AS35" s="28" t="s">
        <v>81</v>
      </c>
      <c r="AT35" s="27" t="s">
        <v>64</v>
      </c>
      <c r="AU35" s="28" t="s">
        <v>82</v>
      </c>
      <c r="AV35" s="27" t="s">
        <v>64</v>
      </c>
      <c r="AW35" s="28" t="s">
        <v>83</v>
      </c>
      <c r="AX35" s="27" t="s">
        <v>64</v>
      </c>
      <c r="AY35" s="28" t="s">
        <v>84</v>
      </c>
      <c r="AZ35" s="200"/>
      <c r="BA35" s="27" t="s">
        <v>64</v>
      </c>
      <c r="BB35" s="28" t="s">
        <v>85</v>
      </c>
      <c r="BC35" s="27" t="s">
        <v>64</v>
      </c>
      <c r="BD35" s="28" t="s">
        <v>86</v>
      </c>
      <c r="BE35" s="27" t="s">
        <v>102</v>
      </c>
      <c r="BF35" s="28" t="s">
        <v>107</v>
      </c>
      <c r="BG35" s="186"/>
      <c r="BH35" s="69" t="s">
        <v>102</v>
      </c>
      <c r="BI35" s="38" t="s">
        <v>108</v>
      </c>
      <c r="BJ35" s="69" t="s">
        <v>102</v>
      </c>
      <c r="BK35" s="38" t="s">
        <v>108</v>
      </c>
      <c r="BL35" s="200"/>
      <c r="BM35" s="27" t="s">
        <v>64</v>
      </c>
      <c r="BN35" s="80" t="s">
        <v>146</v>
      </c>
      <c r="BO35" s="186"/>
      <c r="BP35" s="27" t="s">
        <v>20</v>
      </c>
      <c r="BQ35" s="28" t="s">
        <v>235</v>
      </c>
      <c r="BR35" s="27" t="s">
        <v>20</v>
      </c>
      <c r="BS35" s="28" t="s">
        <v>236</v>
      </c>
      <c r="BT35" s="200"/>
      <c r="BU35" s="40"/>
      <c r="BV35" s="40"/>
      <c r="BW35" s="200"/>
      <c r="BX35" s="40"/>
      <c r="BY35" s="28">
        <v>3</v>
      </c>
      <c r="BZ35" s="197"/>
      <c r="CA35" s="41" t="s">
        <v>20</v>
      </c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</row>
    <row r="36" spans="1:95" ht="33" customHeight="1">
      <c r="A36" s="24">
        <v>24</v>
      </c>
      <c r="B36" s="74" t="s">
        <v>309</v>
      </c>
      <c r="C36" s="75" t="s">
        <v>310</v>
      </c>
      <c r="D36" s="76" t="s">
        <v>311</v>
      </c>
      <c r="E36" s="197"/>
      <c r="F36" s="27" t="s">
        <v>64</v>
      </c>
      <c r="G36" s="48" t="s">
        <v>241</v>
      </c>
      <c r="H36" s="27" t="s">
        <v>64</v>
      </c>
      <c r="I36" s="42" t="s">
        <v>241</v>
      </c>
      <c r="J36" s="29"/>
      <c r="K36" s="27" t="s">
        <v>20</v>
      </c>
      <c r="L36" s="31" t="s">
        <v>68</v>
      </c>
      <c r="M36" s="27" t="s">
        <v>20</v>
      </c>
      <c r="N36" s="31" t="s">
        <v>68</v>
      </c>
      <c r="O36" s="27" t="s">
        <v>64</v>
      </c>
      <c r="P36" s="30" t="s">
        <v>67</v>
      </c>
      <c r="Q36" s="29"/>
      <c r="R36" s="27" t="s">
        <v>64</v>
      </c>
      <c r="S36" s="28" t="s">
        <v>312</v>
      </c>
      <c r="T36" s="27" t="s">
        <v>20</v>
      </c>
      <c r="U36" s="32" t="s">
        <v>70</v>
      </c>
      <c r="V36" s="27" t="s">
        <v>64</v>
      </c>
      <c r="W36" s="46" t="s">
        <v>116</v>
      </c>
      <c r="X36" s="186"/>
      <c r="Y36" s="27" t="s">
        <v>20</v>
      </c>
      <c r="Z36" s="28" t="s">
        <v>247</v>
      </c>
      <c r="AA36" s="27" t="s">
        <v>102</v>
      </c>
      <c r="AB36" s="28" t="s">
        <v>169</v>
      </c>
      <c r="AC36" s="200"/>
      <c r="AD36" s="27" t="s">
        <v>20</v>
      </c>
      <c r="AE36" s="34" t="s">
        <v>291</v>
      </c>
      <c r="AF36" s="27" t="s">
        <v>102</v>
      </c>
      <c r="AG36" s="34" t="s">
        <v>105</v>
      </c>
      <c r="AH36" s="27" t="s">
        <v>64</v>
      </c>
      <c r="AI36" s="28" t="s">
        <v>231</v>
      </c>
      <c r="AJ36" s="200"/>
      <c r="AK36" s="27" t="s">
        <v>64</v>
      </c>
      <c r="AL36" s="28" t="s">
        <v>232</v>
      </c>
      <c r="AM36" s="27" t="s">
        <v>20</v>
      </c>
      <c r="AN36" s="28" t="s">
        <v>233</v>
      </c>
      <c r="AO36" s="27" t="s">
        <v>20</v>
      </c>
      <c r="AP36" s="35" t="s">
        <v>234</v>
      </c>
      <c r="AQ36" s="200"/>
      <c r="AR36" s="27" t="s">
        <v>64</v>
      </c>
      <c r="AS36" s="28" t="s">
        <v>81</v>
      </c>
      <c r="AT36" s="27" t="s">
        <v>64</v>
      </c>
      <c r="AU36" s="28" t="s">
        <v>82</v>
      </c>
      <c r="AV36" s="27" t="s">
        <v>64</v>
      </c>
      <c r="AW36" s="28" t="s">
        <v>83</v>
      </c>
      <c r="AX36" s="27" t="s">
        <v>64</v>
      </c>
      <c r="AY36" s="28" t="s">
        <v>84</v>
      </c>
      <c r="AZ36" s="200"/>
      <c r="BA36" s="27" t="s">
        <v>102</v>
      </c>
      <c r="BB36" s="28" t="s">
        <v>106</v>
      </c>
      <c r="BC36" s="27" t="s">
        <v>64</v>
      </c>
      <c r="BD36" s="28" t="s">
        <v>86</v>
      </c>
      <c r="BE36" s="27" t="s">
        <v>102</v>
      </c>
      <c r="BF36" s="28" t="s">
        <v>107</v>
      </c>
      <c r="BG36" s="186"/>
      <c r="BH36" s="69" t="s">
        <v>64</v>
      </c>
      <c r="BI36" s="35" t="s">
        <v>88</v>
      </c>
      <c r="BJ36" s="69" t="s">
        <v>64</v>
      </c>
      <c r="BK36" s="38" t="s">
        <v>89</v>
      </c>
      <c r="BL36" s="200"/>
      <c r="BM36" s="27" t="s">
        <v>20</v>
      </c>
      <c r="BN36" s="80" t="s">
        <v>256</v>
      </c>
      <c r="BO36" s="186"/>
      <c r="BP36" s="27" t="s">
        <v>20</v>
      </c>
      <c r="BQ36" s="28" t="s">
        <v>235</v>
      </c>
      <c r="BR36" s="27" t="s">
        <v>20</v>
      </c>
      <c r="BS36" s="28" t="s">
        <v>236</v>
      </c>
      <c r="BT36" s="200"/>
      <c r="BU36" s="40"/>
      <c r="BV36" s="40"/>
      <c r="BW36" s="200"/>
      <c r="BX36" s="40"/>
      <c r="BY36" s="28">
        <v>3</v>
      </c>
      <c r="BZ36" s="197"/>
      <c r="CA36" s="41" t="s">
        <v>20</v>
      </c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</row>
    <row r="37" spans="1:95" ht="33" customHeight="1">
      <c r="A37" s="24">
        <v>25</v>
      </c>
      <c r="B37" s="74" t="s">
        <v>313</v>
      </c>
      <c r="C37" s="83" t="s">
        <v>94</v>
      </c>
      <c r="D37" s="84" t="s">
        <v>314</v>
      </c>
      <c r="E37" s="197"/>
      <c r="F37" s="27" t="s">
        <v>64</v>
      </c>
      <c r="G37" s="42" t="s">
        <v>241</v>
      </c>
      <c r="H37" s="27" t="s">
        <v>64</v>
      </c>
      <c r="I37" s="42" t="s">
        <v>241</v>
      </c>
      <c r="J37" s="29"/>
      <c r="K37" s="27" t="s">
        <v>64</v>
      </c>
      <c r="L37" s="30" t="s">
        <v>67</v>
      </c>
      <c r="M37" s="27" t="s">
        <v>64</v>
      </c>
      <c r="N37" s="30" t="s">
        <v>67</v>
      </c>
      <c r="O37" s="27" t="s">
        <v>64</v>
      </c>
      <c r="P37" s="30" t="s">
        <v>67</v>
      </c>
      <c r="Q37" s="29"/>
      <c r="R37" s="27" t="s">
        <v>20</v>
      </c>
      <c r="S37" s="28" t="s">
        <v>298</v>
      </c>
      <c r="T37" s="27" t="s">
        <v>20</v>
      </c>
      <c r="U37" s="32" t="s">
        <v>70</v>
      </c>
      <c r="V37" s="27" t="s">
        <v>20</v>
      </c>
      <c r="W37" s="32" t="s">
        <v>71</v>
      </c>
      <c r="X37" s="186"/>
      <c r="Y37" s="27" t="s">
        <v>102</v>
      </c>
      <c r="Z37" s="28" t="s">
        <v>264</v>
      </c>
      <c r="AA37" s="27" t="s">
        <v>102</v>
      </c>
      <c r="AB37" s="28" t="s">
        <v>169</v>
      </c>
      <c r="AC37" s="200"/>
      <c r="AD37" s="27" t="s">
        <v>64</v>
      </c>
      <c r="AE37" s="28" t="s">
        <v>230</v>
      </c>
      <c r="AF37" s="27" t="s">
        <v>64</v>
      </c>
      <c r="AG37" s="28" t="s">
        <v>76</v>
      </c>
      <c r="AH37" s="27" t="s">
        <v>64</v>
      </c>
      <c r="AI37" s="28" t="s">
        <v>315</v>
      </c>
      <c r="AJ37" s="200"/>
      <c r="AK37" s="27" t="s">
        <v>64</v>
      </c>
      <c r="AL37" s="28" t="s">
        <v>232</v>
      </c>
      <c r="AM37" s="27" t="s">
        <v>20</v>
      </c>
      <c r="AN37" s="28" t="s">
        <v>233</v>
      </c>
      <c r="AO37" s="27" t="s">
        <v>20</v>
      </c>
      <c r="AP37" s="35" t="s">
        <v>234</v>
      </c>
      <c r="AQ37" s="200"/>
      <c r="AR37" s="27" t="s">
        <v>64</v>
      </c>
      <c r="AS37" s="28" t="s">
        <v>81</v>
      </c>
      <c r="AT37" s="27" t="s">
        <v>64</v>
      </c>
      <c r="AU37" s="28" t="s">
        <v>82</v>
      </c>
      <c r="AV37" s="27" t="s">
        <v>64</v>
      </c>
      <c r="AW37" s="28" t="s">
        <v>83</v>
      </c>
      <c r="AX37" s="27" t="s">
        <v>64</v>
      </c>
      <c r="AY37" s="28" t="s">
        <v>84</v>
      </c>
      <c r="AZ37" s="200"/>
      <c r="BA37" s="27" t="s">
        <v>20</v>
      </c>
      <c r="BB37" s="28" t="s">
        <v>124</v>
      </c>
      <c r="BC37" s="27" t="s">
        <v>20</v>
      </c>
      <c r="BD37" s="28" t="s">
        <v>125</v>
      </c>
      <c r="BE37" s="27" t="s">
        <v>20</v>
      </c>
      <c r="BF37" s="28" t="s">
        <v>87</v>
      </c>
      <c r="BG37" s="186"/>
      <c r="BH37" s="69" t="s">
        <v>64</v>
      </c>
      <c r="BI37" s="35" t="s">
        <v>88</v>
      </c>
      <c r="BJ37" s="69" t="s">
        <v>64</v>
      </c>
      <c r="BK37" s="38" t="s">
        <v>89</v>
      </c>
      <c r="BL37" s="200"/>
      <c r="BM37" s="27" t="s">
        <v>20</v>
      </c>
      <c r="BN37" s="70" t="s">
        <v>256</v>
      </c>
      <c r="BO37" s="186"/>
      <c r="BP37" s="27" t="s">
        <v>20</v>
      </c>
      <c r="BQ37" s="28" t="s">
        <v>235</v>
      </c>
      <c r="BR37" s="27" t="s">
        <v>20</v>
      </c>
      <c r="BS37" s="28" t="s">
        <v>236</v>
      </c>
      <c r="BT37" s="200"/>
      <c r="BU37" s="40"/>
      <c r="BV37" s="28">
        <v>4</v>
      </c>
      <c r="BW37" s="200"/>
      <c r="BX37" s="40"/>
      <c r="BY37" s="28">
        <v>5</v>
      </c>
      <c r="BZ37" s="197"/>
      <c r="CA37" s="41" t="s">
        <v>20</v>
      </c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</row>
    <row r="38" spans="1:95" ht="33" customHeight="1">
      <c r="A38" s="24">
        <v>26</v>
      </c>
      <c r="B38" s="74" t="s">
        <v>316</v>
      </c>
      <c r="C38" s="75" t="s">
        <v>317</v>
      </c>
      <c r="D38" s="76" t="s">
        <v>318</v>
      </c>
      <c r="E38" s="197"/>
      <c r="F38" s="27" t="s">
        <v>64</v>
      </c>
      <c r="G38" s="42" t="s">
        <v>241</v>
      </c>
      <c r="H38" s="27" t="s">
        <v>64</v>
      </c>
      <c r="I38" s="42" t="s">
        <v>241</v>
      </c>
      <c r="J38" s="29"/>
      <c r="K38" s="27" t="s">
        <v>102</v>
      </c>
      <c r="L38" s="28" t="s">
        <v>103</v>
      </c>
      <c r="M38" s="27" t="s">
        <v>102</v>
      </c>
      <c r="N38" s="28" t="s">
        <v>103</v>
      </c>
      <c r="O38" s="27" t="s">
        <v>102</v>
      </c>
      <c r="P38" s="28" t="s">
        <v>103</v>
      </c>
      <c r="Q38" s="29"/>
      <c r="R38" s="27" t="s">
        <v>64</v>
      </c>
      <c r="S38" s="28" t="s">
        <v>114</v>
      </c>
      <c r="T38" s="27" t="s">
        <v>64</v>
      </c>
      <c r="U38" s="32" t="s">
        <v>115</v>
      </c>
      <c r="V38" s="27" t="s">
        <v>64</v>
      </c>
      <c r="W38" s="46" t="s">
        <v>116</v>
      </c>
      <c r="X38" s="186"/>
      <c r="Y38" s="27" t="s">
        <v>102</v>
      </c>
      <c r="Z38" s="28" t="s">
        <v>264</v>
      </c>
      <c r="AA38" s="27" t="s">
        <v>102</v>
      </c>
      <c r="AB38" s="28" t="s">
        <v>169</v>
      </c>
      <c r="AC38" s="200"/>
      <c r="AD38" s="27" t="s">
        <v>64</v>
      </c>
      <c r="AE38" s="28" t="s">
        <v>230</v>
      </c>
      <c r="AF38" s="27" t="s">
        <v>102</v>
      </c>
      <c r="AG38" s="34" t="s">
        <v>105</v>
      </c>
      <c r="AH38" s="27" t="s">
        <v>64</v>
      </c>
      <c r="AI38" s="28" t="s">
        <v>231</v>
      </c>
      <c r="AJ38" s="200"/>
      <c r="AK38" s="27" t="s">
        <v>64</v>
      </c>
      <c r="AL38" s="28" t="s">
        <v>232</v>
      </c>
      <c r="AM38" s="27" t="s">
        <v>64</v>
      </c>
      <c r="AN38" s="28" t="s">
        <v>242</v>
      </c>
      <c r="AO38" s="27" t="s">
        <v>20</v>
      </c>
      <c r="AP38" s="35" t="s">
        <v>234</v>
      </c>
      <c r="AQ38" s="200"/>
      <c r="AR38" s="27" t="s">
        <v>64</v>
      </c>
      <c r="AS38" s="28" t="s">
        <v>81</v>
      </c>
      <c r="AT38" s="27" t="s">
        <v>64</v>
      </c>
      <c r="AU38" s="28" t="s">
        <v>82</v>
      </c>
      <c r="AV38" s="27" t="s">
        <v>64</v>
      </c>
      <c r="AW38" s="28" t="s">
        <v>83</v>
      </c>
      <c r="AX38" s="27" t="s">
        <v>64</v>
      </c>
      <c r="AY38" s="28" t="s">
        <v>84</v>
      </c>
      <c r="AZ38" s="200"/>
      <c r="BA38" s="27" t="s">
        <v>64</v>
      </c>
      <c r="BB38" s="28" t="s">
        <v>85</v>
      </c>
      <c r="BC38" s="27" t="s">
        <v>102</v>
      </c>
      <c r="BD38" s="28" t="s">
        <v>206</v>
      </c>
      <c r="BE38" s="27" t="s">
        <v>102</v>
      </c>
      <c r="BF38" s="28" t="s">
        <v>107</v>
      </c>
      <c r="BG38" s="186"/>
      <c r="BH38" s="69" t="s">
        <v>64</v>
      </c>
      <c r="BI38" s="35" t="s">
        <v>88</v>
      </c>
      <c r="BJ38" s="69" t="s">
        <v>102</v>
      </c>
      <c r="BK38" s="38" t="s">
        <v>108</v>
      </c>
      <c r="BL38" s="200"/>
      <c r="BM38" s="27" t="s">
        <v>64</v>
      </c>
      <c r="BN38" s="70" t="s">
        <v>146</v>
      </c>
      <c r="BO38" s="186"/>
      <c r="BP38" s="27" t="s">
        <v>20</v>
      </c>
      <c r="BQ38" s="28" t="s">
        <v>235</v>
      </c>
      <c r="BR38" s="27" t="s">
        <v>20</v>
      </c>
      <c r="BS38" s="28" t="s">
        <v>236</v>
      </c>
      <c r="BT38" s="200"/>
      <c r="BU38" s="40"/>
      <c r="BV38" s="28">
        <v>3</v>
      </c>
      <c r="BW38" s="200"/>
      <c r="BX38" s="40"/>
      <c r="BY38" s="28">
        <v>4</v>
      </c>
      <c r="BZ38" s="197"/>
      <c r="CA38" s="41" t="s">
        <v>20</v>
      </c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</row>
    <row r="39" spans="1:95" ht="33" customHeight="1">
      <c r="A39" s="24">
        <v>27</v>
      </c>
      <c r="B39" s="66" t="s">
        <v>319</v>
      </c>
      <c r="C39" s="67" t="s">
        <v>249</v>
      </c>
      <c r="D39" s="82" t="s">
        <v>320</v>
      </c>
      <c r="E39" s="197"/>
      <c r="F39" s="27" t="s">
        <v>20</v>
      </c>
      <c r="G39" s="42" t="s">
        <v>229</v>
      </c>
      <c r="H39" s="27" t="s">
        <v>64</v>
      </c>
      <c r="I39" s="42" t="s">
        <v>241</v>
      </c>
      <c r="J39" s="29"/>
      <c r="K39" s="27" t="s">
        <v>64</v>
      </c>
      <c r="L39" s="30" t="s">
        <v>67</v>
      </c>
      <c r="M39" s="27" t="s">
        <v>20</v>
      </c>
      <c r="N39" s="31" t="s">
        <v>68</v>
      </c>
      <c r="O39" s="27" t="s">
        <v>64</v>
      </c>
      <c r="P39" s="30" t="s">
        <v>67</v>
      </c>
      <c r="Q39" s="29"/>
      <c r="R39" s="27" t="s">
        <v>64</v>
      </c>
      <c r="S39" s="28" t="s">
        <v>114</v>
      </c>
      <c r="T39" s="27" t="s">
        <v>64</v>
      </c>
      <c r="U39" s="32" t="s">
        <v>115</v>
      </c>
      <c r="V39" s="27" t="s">
        <v>64</v>
      </c>
      <c r="W39" s="46" t="s">
        <v>116</v>
      </c>
      <c r="X39" s="186"/>
      <c r="Y39" s="27" t="s">
        <v>102</v>
      </c>
      <c r="Z39" s="28" t="s">
        <v>264</v>
      </c>
      <c r="AA39" s="27" t="s">
        <v>102</v>
      </c>
      <c r="AB39" s="28" t="s">
        <v>169</v>
      </c>
      <c r="AC39" s="200"/>
      <c r="AD39" s="27" t="s">
        <v>20</v>
      </c>
      <c r="AE39" s="34" t="s">
        <v>291</v>
      </c>
      <c r="AF39" s="27" t="s">
        <v>64</v>
      </c>
      <c r="AG39" s="28" t="s">
        <v>76</v>
      </c>
      <c r="AH39" s="27" t="s">
        <v>64</v>
      </c>
      <c r="AI39" s="28" t="s">
        <v>231</v>
      </c>
      <c r="AJ39" s="200"/>
      <c r="AK39" s="27" t="s">
        <v>64</v>
      </c>
      <c r="AL39" s="28" t="s">
        <v>232</v>
      </c>
      <c r="AM39" s="27" t="s">
        <v>20</v>
      </c>
      <c r="AN39" s="28" t="s">
        <v>233</v>
      </c>
      <c r="AO39" s="27" t="s">
        <v>20</v>
      </c>
      <c r="AP39" s="35" t="s">
        <v>234</v>
      </c>
      <c r="AQ39" s="200"/>
      <c r="AR39" s="27" t="s">
        <v>20</v>
      </c>
      <c r="AS39" s="28" t="s">
        <v>197</v>
      </c>
      <c r="AT39" s="27" t="s">
        <v>20</v>
      </c>
      <c r="AU39" s="28" t="s">
        <v>198</v>
      </c>
      <c r="AV39" s="27" t="s">
        <v>20</v>
      </c>
      <c r="AW39" s="28" t="s">
        <v>199</v>
      </c>
      <c r="AX39" s="27" t="s">
        <v>20</v>
      </c>
      <c r="AY39" s="28" t="s">
        <v>200</v>
      </c>
      <c r="AZ39" s="200"/>
      <c r="BA39" s="27" t="s">
        <v>20</v>
      </c>
      <c r="BB39" s="28" t="s">
        <v>124</v>
      </c>
      <c r="BC39" s="27" t="s">
        <v>64</v>
      </c>
      <c r="BD39" s="28" t="s">
        <v>86</v>
      </c>
      <c r="BE39" s="27" t="s">
        <v>64</v>
      </c>
      <c r="BF39" s="28" t="s">
        <v>145</v>
      </c>
      <c r="BG39" s="186"/>
      <c r="BH39" s="69" t="s">
        <v>64</v>
      </c>
      <c r="BI39" s="35" t="s">
        <v>88</v>
      </c>
      <c r="BJ39" s="69" t="s">
        <v>102</v>
      </c>
      <c r="BK39" s="38" t="s">
        <v>108</v>
      </c>
      <c r="BL39" s="200"/>
      <c r="BM39" s="27" t="s">
        <v>64</v>
      </c>
      <c r="BN39" s="70" t="s">
        <v>146</v>
      </c>
      <c r="BO39" s="186"/>
      <c r="BP39" s="27" t="s">
        <v>20</v>
      </c>
      <c r="BQ39" s="28" t="s">
        <v>235</v>
      </c>
      <c r="BR39" s="27" t="s">
        <v>20</v>
      </c>
      <c r="BS39" s="28" t="s">
        <v>236</v>
      </c>
      <c r="BT39" s="200"/>
      <c r="BU39" s="40"/>
      <c r="BV39" s="28">
        <v>3</v>
      </c>
      <c r="BW39" s="200"/>
      <c r="BX39" s="40"/>
      <c r="BY39" s="40"/>
      <c r="BZ39" s="197"/>
      <c r="CA39" s="41" t="s">
        <v>20</v>
      </c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</row>
    <row r="40" spans="1:95" ht="33" customHeight="1">
      <c r="A40" s="24">
        <v>28</v>
      </c>
      <c r="B40" s="66" t="s">
        <v>254</v>
      </c>
      <c r="C40" s="66" t="s">
        <v>281</v>
      </c>
      <c r="D40" s="82" t="s">
        <v>321</v>
      </c>
      <c r="E40" s="198"/>
      <c r="F40" s="27" t="s">
        <v>64</v>
      </c>
      <c r="G40" s="42" t="s">
        <v>241</v>
      </c>
      <c r="H40" s="27" t="s">
        <v>64</v>
      </c>
      <c r="I40" s="42" t="s">
        <v>241</v>
      </c>
      <c r="J40" s="29"/>
      <c r="K40" s="27" t="s">
        <v>64</v>
      </c>
      <c r="L40" s="30" t="s">
        <v>67</v>
      </c>
      <c r="M40" s="27" t="s">
        <v>64</v>
      </c>
      <c r="N40" s="30" t="s">
        <v>67</v>
      </c>
      <c r="O40" s="27" t="s">
        <v>20</v>
      </c>
      <c r="P40" s="31" t="s">
        <v>68</v>
      </c>
      <c r="Q40" s="29"/>
      <c r="R40" s="27" t="s">
        <v>64</v>
      </c>
      <c r="S40" s="28" t="s">
        <v>114</v>
      </c>
      <c r="T40" s="27" t="s">
        <v>20</v>
      </c>
      <c r="U40" s="32" t="s">
        <v>70</v>
      </c>
      <c r="V40" s="27" t="s">
        <v>20</v>
      </c>
      <c r="W40" s="32" t="s">
        <v>71</v>
      </c>
      <c r="X40" s="213"/>
      <c r="Y40" s="27" t="s">
        <v>20</v>
      </c>
      <c r="Z40" s="28" t="s">
        <v>247</v>
      </c>
      <c r="AA40" s="27" t="s">
        <v>20</v>
      </c>
      <c r="AB40" s="28" t="s">
        <v>97</v>
      </c>
      <c r="AC40" s="201"/>
      <c r="AD40" s="27" t="s">
        <v>102</v>
      </c>
      <c r="AE40" s="34" t="s">
        <v>105</v>
      </c>
      <c r="AF40" s="27" t="s">
        <v>102</v>
      </c>
      <c r="AG40" s="34" t="s">
        <v>105</v>
      </c>
      <c r="AH40" s="27" t="s">
        <v>102</v>
      </c>
      <c r="AI40" s="34" t="s">
        <v>105</v>
      </c>
      <c r="AJ40" s="201"/>
      <c r="AK40" s="27" t="s">
        <v>64</v>
      </c>
      <c r="AL40" s="28" t="s">
        <v>232</v>
      </c>
      <c r="AM40" s="27" t="s">
        <v>20</v>
      </c>
      <c r="AN40" s="28" t="s">
        <v>233</v>
      </c>
      <c r="AO40" s="27" t="s">
        <v>20</v>
      </c>
      <c r="AP40" s="35" t="s">
        <v>234</v>
      </c>
      <c r="AQ40" s="201"/>
      <c r="AR40" s="27" t="s">
        <v>64</v>
      </c>
      <c r="AS40" s="28" t="s">
        <v>81</v>
      </c>
      <c r="AT40" s="27" t="s">
        <v>64</v>
      </c>
      <c r="AU40" s="28" t="s">
        <v>82</v>
      </c>
      <c r="AV40" s="27" t="s">
        <v>64</v>
      </c>
      <c r="AW40" s="28" t="s">
        <v>83</v>
      </c>
      <c r="AX40" s="27" t="s">
        <v>64</v>
      </c>
      <c r="AY40" s="28" t="s">
        <v>84</v>
      </c>
      <c r="AZ40" s="201"/>
      <c r="BA40" s="27" t="s">
        <v>64</v>
      </c>
      <c r="BB40" s="28" t="s">
        <v>85</v>
      </c>
      <c r="BC40" s="27" t="s">
        <v>64</v>
      </c>
      <c r="BD40" s="28" t="s">
        <v>86</v>
      </c>
      <c r="BE40" s="27" t="s">
        <v>102</v>
      </c>
      <c r="BF40" s="28" t="s">
        <v>107</v>
      </c>
      <c r="BG40" s="213"/>
      <c r="BH40" s="69" t="s">
        <v>64</v>
      </c>
      <c r="BI40" s="35" t="s">
        <v>88</v>
      </c>
      <c r="BJ40" s="69" t="s">
        <v>64</v>
      </c>
      <c r="BK40" s="38" t="s">
        <v>89</v>
      </c>
      <c r="BL40" s="201"/>
      <c r="BM40" s="27" t="s">
        <v>64</v>
      </c>
      <c r="BN40" s="70" t="s">
        <v>146</v>
      </c>
      <c r="BO40" s="213"/>
      <c r="BP40" s="27" t="s">
        <v>20</v>
      </c>
      <c r="BQ40" s="28" t="s">
        <v>235</v>
      </c>
      <c r="BR40" s="27" t="s">
        <v>20</v>
      </c>
      <c r="BS40" s="28" t="s">
        <v>236</v>
      </c>
      <c r="BT40" s="201"/>
      <c r="BU40" s="40"/>
      <c r="BV40" s="28">
        <v>2</v>
      </c>
      <c r="BW40" s="201"/>
      <c r="BX40" s="40"/>
      <c r="BY40" s="40"/>
      <c r="BZ40" s="198"/>
      <c r="CA40" s="41" t="s">
        <v>20</v>
      </c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</row>
    <row r="41" spans="1:95" ht="19.5" customHeight="1">
      <c r="A41" s="62"/>
      <c r="B41" s="62"/>
      <c r="C41" s="62"/>
      <c r="D41" s="62"/>
      <c r="E41" s="62"/>
      <c r="F41" s="62"/>
      <c r="G41" s="59" t="s">
        <v>219</v>
      </c>
      <c r="H41" s="60"/>
      <c r="I41" s="61"/>
      <c r="J41" s="62"/>
      <c r="K41" s="62"/>
      <c r="L41" s="62"/>
      <c r="M41" s="62"/>
      <c r="N41" s="59" t="s">
        <v>219</v>
      </c>
      <c r="O41" s="60"/>
      <c r="P41" s="62"/>
      <c r="Q41" s="62"/>
      <c r="R41" s="62"/>
      <c r="S41" s="62"/>
      <c r="T41" s="62"/>
      <c r="U41" s="59"/>
      <c r="V41" s="60"/>
      <c r="W41" s="62"/>
      <c r="X41" s="62"/>
      <c r="Y41" s="62"/>
      <c r="Z41" s="59"/>
      <c r="AA41" s="60"/>
      <c r="AB41" s="62"/>
      <c r="AC41" s="62"/>
      <c r="AD41" s="62"/>
      <c r="AE41" s="62"/>
      <c r="AF41" s="62"/>
      <c r="AG41" s="59"/>
      <c r="AH41" s="60"/>
      <c r="AI41" s="62"/>
      <c r="AJ41" s="62"/>
      <c r="AK41" s="62"/>
      <c r="AL41" s="62"/>
      <c r="AM41" s="62"/>
      <c r="AN41" s="59"/>
      <c r="AO41" s="60"/>
      <c r="AP41" s="62"/>
      <c r="AQ41" s="62"/>
      <c r="AR41" s="62"/>
      <c r="AS41" s="62"/>
      <c r="AT41" s="62"/>
      <c r="AU41" s="62"/>
      <c r="AV41" s="62"/>
      <c r="AW41" s="59"/>
      <c r="AX41" s="60"/>
      <c r="AY41" s="62"/>
      <c r="AZ41" s="62"/>
      <c r="BA41" s="62"/>
      <c r="BB41" s="62"/>
      <c r="BC41" s="62"/>
      <c r="BD41" s="59"/>
      <c r="BE41" s="60"/>
      <c r="BF41" s="62"/>
      <c r="BG41" s="62"/>
      <c r="BH41" s="62"/>
      <c r="BI41" s="59"/>
      <c r="BJ41" s="60"/>
      <c r="BK41" s="62"/>
      <c r="BL41" s="62"/>
      <c r="BM41" s="60"/>
      <c r="BN41" s="59"/>
      <c r="BO41" s="62"/>
      <c r="BP41" s="60"/>
      <c r="BQ41" s="59"/>
      <c r="BR41" s="60"/>
      <c r="BS41" s="59"/>
      <c r="BT41" s="62"/>
      <c r="BU41" s="62"/>
      <c r="BV41" s="62"/>
      <c r="BW41" s="62"/>
      <c r="BX41" s="62"/>
      <c r="BY41" s="62"/>
      <c r="BZ41" s="62"/>
      <c r="CA41" s="60"/>
      <c r="CB41" s="59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</row>
    <row r="42" spans="1:95" ht="19.5" customHeight="1">
      <c r="A42" s="62"/>
      <c r="B42" s="62"/>
      <c r="C42" s="62"/>
      <c r="D42" s="62"/>
      <c r="E42" s="62"/>
      <c r="F42" s="62"/>
      <c r="G42" s="59" t="s">
        <v>72</v>
      </c>
      <c r="H42" s="60">
        <f>COUNTIFS(H12:H40,"AD")</f>
        <v>0</v>
      </c>
      <c r="I42" s="61"/>
      <c r="J42" s="62"/>
      <c r="K42" s="62"/>
      <c r="L42" s="62"/>
      <c r="M42" s="62"/>
      <c r="N42" s="59" t="s">
        <v>72</v>
      </c>
      <c r="O42" s="60">
        <f>COUNTIFS(O12:O40,"AD")</f>
        <v>0</v>
      </c>
      <c r="P42" s="62"/>
      <c r="Q42" s="62"/>
      <c r="R42" s="62"/>
      <c r="S42" s="62"/>
      <c r="T42" s="62"/>
      <c r="U42" s="59"/>
      <c r="V42" s="60"/>
      <c r="W42" s="62"/>
      <c r="X42" s="62"/>
      <c r="Y42" s="62"/>
      <c r="Z42" s="59"/>
      <c r="AA42" s="60"/>
      <c r="AB42" s="62"/>
      <c r="AC42" s="62"/>
      <c r="AD42" s="62"/>
      <c r="AE42" s="62"/>
      <c r="AF42" s="62"/>
      <c r="AG42" s="59"/>
      <c r="AH42" s="60"/>
      <c r="AI42" s="62"/>
      <c r="AJ42" s="62"/>
      <c r="AK42" s="62"/>
      <c r="AL42" s="62"/>
      <c r="AM42" s="62"/>
      <c r="AN42" s="59"/>
      <c r="AO42" s="60"/>
      <c r="AP42" s="62"/>
      <c r="AQ42" s="62"/>
      <c r="AR42" s="62"/>
      <c r="AS42" s="62"/>
      <c r="AT42" s="62"/>
      <c r="AU42" s="62"/>
      <c r="AV42" s="62"/>
      <c r="AW42" s="59"/>
      <c r="AX42" s="60"/>
      <c r="AY42" s="62"/>
      <c r="AZ42" s="62"/>
      <c r="BA42" s="62"/>
      <c r="BB42" s="62"/>
      <c r="BC42" s="62"/>
      <c r="BD42" s="59"/>
      <c r="BE42" s="60"/>
      <c r="BF42" s="62"/>
      <c r="BG42" s="62"/>
      <c r="BH42" s="62"/>
      <c r="BI42" s="59"/>
      <c r="BJ42" s="60"/>
      <c r="BK42" s="62"/>
      <c r="BL42" s="62"/>
      <c r="BM42" s="60"/>
      <c r="BN42" s="59"/>
      <c r="BO42" s="62"/>
      <c r="BP42" s="60"/>
      <c r="BQ42" s="59"/>
      <c r="BR42" s="60"/>
      <c r="BS42" s="59"/>
      <c r="BT42" s="62"/>
      <c r="BU42" s="62"/>
      <c r="BV42" s="62"/>
      <c r="BW42" s="62"/>
      <c r="BX42" s="62"/>
      <c r="BY42" s="62"/>
      <c r="BZ42" s="62"/>
      <c r="CA42" s="60"/>
      <c r="CB42" s="59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</row>
    <row r="43" spans="1:95" ht="19.5" customHeight="1">
      <c r="A43" s="62"/>
      <c r="B43" s="62"/>
      <c r="C43" s="62"/>
      <c r="D43" s="62"/>
      <c r="E43" s="62"/>
      <c r="F43" s="62"/>
      <c r="G43" s="59" t="s">
        <v>20</v>
      </c>
      <c r="H43" s="60">
        <f>COUNTIFS(H12:H40,"A")</f>
        <v>4</v>
      </c>
      <c r="I43" s="61"/>
      <c r="J43" s="62"/>
      <c r="K43" s="62"/>
      <c r="L43" s="62"/>
      <c r="M43" s="62"/>
      <c r="N43" s="59" t="s">
        <v>20</v>
      </c>
      <c r="O43" s="60">
        <f>COUNTIFS(O12:O40,"A")</f>
        <v>5</v>
      </c>
      <c r="P43" s="62"/>
      <c r="Q43" s="62"/>
      <c r="R43" s="62"/>
      <c r="S43" s="62"/>
      <c r="T43" s="62"/>
      <c r="U43" s="59"/>
      <c r="V43" s="60"/>
      <c r="W43" s="62"/>
      <c r="X43" s="62"/>
      <c r="Y43" s="62"/>
      <c r="Z43" s="59"/>
      <c r="AA43" s="60"/>
      <c r="AB43" s="62"/>
      <c r="AC43" s="62"/>
      <c r="AD43" s="62"/>
      <c r="AE43" s="62"/>
      <c r="AF43" s="62"/>
      <c r="AG43" s="59"/>
      <c r="AH43" s="60"/>
      <c r="AI43" s="62"/>
      <c r="AJ43" s="62"/>
      <c r="AK43" s="62"/>
      <c r="AL43" s="62"/>
      <c r="AM43" s="62"/>
      <c r="AN43" s="59"/>
      <c r="AO43" s="60"/>
      <c r="AP43" s="62"/>
      <c r="AQ43" s="62"/>
      <c r="AR43" s="62"/>
      <c r="AS43" s="62"/>
      <c r="AT43" s="62"/>
      <c r="AU43" s="62"/>
      <c r="AV43" s="62"/>
      <c r="AW43" s="59"/>
      <c r="AX43" s="60"/>
      <c r="AY43" s="62"/>
      <c r="AZ43" s="62"/>
      <c r="BA43" s="62"/>
      <c r="BB43" s="62"/>
      <c r="BC43" s="62"/>
      <c r="BD43" s="59"/>
      <c r="BE43" s="60"/>
      <c r="BF43" s="62"/>
      <c r="BG43" s="62"/>
      <c r="BH43" s="62"/>
      <c r="BI43" s="59"/>
      <c r="BJ43" s="60"/>
      <c r="BK43" s="62"/>
      <c r="BL43" s="62"/>
      <c r="BM43" s="60"/>
      <c r="BN43" s="59"/>
      <c r="BO43" s="62"/>
      <c r="BP43" s="60"/>
      <c r="BQ43" s="59"/>
      <c r="BR43" s="60"/>
      <c r="BS43" s="59"/>
      <c r="BT43" s="62"/>
      <c r="BU43" s="62"/>
      <c r="BV43" s="62"/>
      <c r="BW43" s="62"/>
      <c r="BX43" s="62"/>
      <c r="BY43" s="62"/>
      <c r="BZ43" s="62"/>
      <c r="CA43" s="60"/>
      <c r="CB43" s="59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</row>
    <row r="44" spans="1:95" ht="19.5" customHeight="1">
      <c r="A44" s="62"/>
      <c r="B44" s="62"/>
      <c r="C44" s="62"/>
      <c r="D44" s="62"/>
      <c r="E44" s="62"/>
      <c r="F44" s="62"/>
      <c r="G44" s="59" t="s">
        <v>64</v>
      </c>
      <c r="H44" s="60">
        <f>COUNTIFS(H12:H40,"B")</f>
        <v>20</v>
      </c>
      <c r="I44" s="61"/>
      <c r="J44" s="62"/>
      <c r="K44" s="62"/>
      <c r="L44" s="62"/>
      <c r="M44" s="62"/>
      <c r="N44" s="59" t="s">
        <v>64</v>
      </c>
      <c r="O44" s="60">
        <f>COUNTIFS(O12:O40,"B")</f>
        <v>14</v>
      </c>
      <c r="P44" s="62"/>
      <c r="Q44" s="62"/>
      <c r="R44" s="62"/>
      <c r="S44" s="62"/>
      <c r="T44" s="62"/>
      <c r="U44" s="59"/>
      <c r="V44" s="60"/>
      <c r="W44" s="62"/>
      <c r="X44" s="62"/>
      <c r="Y44" s="62"/>
      <c r="Z44" s="59"/>
      <c r="AA44" s="60"/>
      <c r="AB44" s="62"/>
      <c r="AC44" s="62"/>
      <c r="AD44" s="62"/>
      <c r="AE44" s="62"/>
      <c r="AF44" s="62"/>
      <c r="AG44" s="59"/>
      <c r="AH44" s="60"/>
      <c r="AI44" s="62"/>
      <c r="AJ44" s="62"/>
      <c r="AK44" s="62"/>
      <c r="AL44" s="62"/>
      <c r="AM44" s="62"/>
      <c r="AN44" s="59"/>
      <c r="AO44" s="60"/>
      <c r="AP44" s="62"/>
      <c r="AQ44" s="62"/>
      <c r="AR44" s="62"/>
      <c r="AS44" s="62"/>
      <c r="AT44" s="62"/>
      <c r="AU44" s="62"/>
      <c r="AV44" s="62"/>
      <c r="AW44" s="59"/>
      <c r="AX44" s="60"/>
      <c r="AY44" s="62"/>
      <c r="AZ44" s="62"/>
      <c r="BA44" s="62"/>
      <c r="BB44" s="62"/>
      <c r="BC44" s="62"/>
      <c r="BD44" s="59"/>
      <c r="BE44" s="60"/>
      <c r="BF44" s="62"/>
      <c r="BG44" s="62"/>
      <c r="BH44" s="62"/>
      <c r="BI44" s="59"/>
      <c r="BJ44" s="60"/>
      <c r="BK44" s="62"/>
      <c r="BL44" s="62"/>
      <c r="BM44" s="60"/>
      <c r="BN44" s="59"/>
      <c r="BO44" s="62"/>
      <c r="BP44" s="60"/>
      <c r="BQ44" s="59"/>
      <c r="BR44" s="60"/>
      <c r="BS44" s="59"/>
      <c r="BT44" s="62"/>
      <c r="BU44" s="62"/>
      <c r="BV44" s="62"/>
      <c r="BW44" s="62"/>
      <c r="BX44" s="62"/>
      <c r="BY44" s="62"/>
      <c r="BZ44" s="62"/>
      <c r="CA44" s="60"/>
      <c r="CB44" s="59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</row>
    <row r="45" spans="1:95" ht="19.5" customHeight="1">
      <c r="A45" s="62"/>
      <c r="B45" s="62"/>
      <c r="C45" s="62"/>
      <c r="D45" s="62"/>
      <c r="E45" s="62"/>
      <c r="F45" s="62"/>
      <c r="G45" s="59" t="s">
        <v>102</v>
      </c>
      <c r="H45" s="60">
        <f>COUNTIFS(H12:H40,"C")</f>
        <v>4</v>
      </c>
      <c r="I45" s="61"/>
      <c r="J45" s="62"/>
      <c r="K45" s="62"/>
      <c r="L45" s="62"/>
      <c r="M45" s="62"/>
      <c r="N45" s="59" t="s">
        <v>102</v>
      </c>
      <c r="O45" s="60">
        <f>COUNTIFS(O12:O40,"C")</f>
        <v>9</v>
      </c>
      <c r="P45" s="62"/>
      <c r="Q45" s="62"/>
      <c r="R45" s="62"/>
      <c r="S45" s="62"/>
      <c r="T45" s="62"/>
      <c r="U45" s="59"/>
      <c r="V45" s="60"/>
      <c r="W45" s="62"/>
      <c r="X45" s="62"/>
      <c r="Y45" s="62"/>
      <c r="Z45" s="59"/>
      <c r="AA45" s="60"/>
      <c r="AB45" s="62"/>
      <c r="AC45" s="62"/>
      <c r="AD45" s="62"/>
      <c r="AE45" s="62"/>
      <c r="AF45" s="62"/>
      <c r="AG45" s="59"/>
      <c r="AH45" s="60"/>
      <c r="AI45" s="62"/>
      <c r="AJ45" s="62"/>
      <c r="AK45" s="62"/>
      <c r="AL45" s="62"/>
      <c r="AM45" s="62"/>
      <c r="AN45" s="59"/>
      <c r="AO45" s="60"/>
      <c r="AP45" s="62"/>
      <c r="AQ45" s="62"/>
      <c r="AR45" s="62"/>
      <c r="AS45" s="62"/>
      <c r="AT45" s="62"/>
      <c r="AU45" s="62"/>
      <c r="AV45" s="62"/>
      <c r="AW45" s="59"/>
      <c r="AX45" s="60"/>
      <c r="AY45" s="62"/>
      <c r="AZ45" s="62"/>
      <c r="BA45" s="62"/>
      <c r="BB45" s="62"/>
      <c r="BC45" s="62"/>
      <c r="BD45" s="59"/>
      <c r="BE45" s="60"/>
      <c r="BF45" s="62"/>
      <c r="BG45" s="62"/>
      <c r="BH45" s="62"/>
      <c r="BI45" s="59"/>
      <c r="BJ45" s="60"/>
      <c r="BK45" s="62"/>
      <c r="BL45" s="62"/>
      <c r="BM45" s="60"/>
      <c r="BN45" s="59"/>
      <c r="BO45" s="62"/>
      <c r="BP45" s="60"/>
      <c r="BQ45" s="59"/>
      <c r="BR45" s="60"/>
      <c r="BS45" s="59"/>
      <c r="BT45" s="62"/>
      <c r="BU45" s="62"/>
      <c r="BV45" s="62"/>
      <c r="BW45" s="62"/>
      <c r="BX45" s="62"/>
      <c r="BY45" s="62"/>
      <c r="BZ45" s="62"/>
      <c r="CA45" s="60"/>
      <c r="CB45" s="59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</row>
    <row r="46" spans="1:95" ht="19.5" customHeight="1">
      <c r="A46" s="62"/>
      <c r="B46" s="62"/>
      <c r="C46" s="62"/>
      <c r="D46" s="62"/>
      <c r="E46" s="62"/>
      <c r="F46" s="62"/>
      <c r="G46" s="59" t="s">
        <v>220</v>
      </c>
      <c r="H46" s="60">
        <f>COUNTIFS(H12:H40,"TRASL.")</f>
        <v>0</v>
      </c>
      <c r="I46" s="61"/>
      <c r="J46" s="62"/>
      <c r="K46" s="62"/>
      <c r="L46" s="62"/>
      <c r="M46" s="62"/>
      <c r="N46" s="59" t="s">
        <v>220</v>
      </c>
      <c r="O46" s="60">
        <f>COUNTIFS(O12:O40,"TRASL.")</f>
        <v>0</v>
      </c>
      <c r="P46" s="62"/>
      <c r="Q46" s="62"/>
      <c r="R46" s="62"/>
      <c r="S46" s="62"/>
      <c r="T46" s="62"/>
      <c r="U46" s="59"/>
      <c r="V46" s="60"/>
      <c r="W46" s="62"/>
      <c r="X46" s="62"/>
      <c r="Y46" s="62"/>
      <c r="Z46" s="59"/>
      <c r="AA46" s="60"/>
      <c r="AB46" s="62"/>
      <c r="AC46" s="62"/>
      <c r="AD46" s="62"/>
      <c r="AE46" s="62"/>
      <c r="AF46" s="62"/>
      <c r="AG46" s="59"/>
      <c r="AH46" s="60"/>
      <c r="AI46" s="62"/>
      <c r="AJ46" s="62"/>
      <c r="AK46" s="62"/>
      <c r="AL46" s="62"/>
      <c r="AM46" s="62"/>
      <c r="AN46" s="59"/>
      <c r="AO46" s="60"/>
      <c r="AP46" s="62"/>
      <c r="AQ46" s="62"/>
      <c r="AR46" s="62"/>
      <c r="AS46" s="62"/>
      <c r="AT46" s="62"/>
      <c r="AU46" s="62"/>
      <c r="AV46" s="62"/>
      <c r="AW46" s="59"/>
      <c r="AX46" s="60"/>
      <c r="AY46" s="62"/>
      <c r="AZ46" s="62"/>
      <c r="BA46" s="62"/>
      <c r="BB46" s="62"/>
      <c r="BC46" s="62"/>
      <c r="BD46" s="59"/>
      <c r="BE46" s="60"/>
      <c r="BF46" s="62"/>
      <c r="BG46" s="62"/>
      <c r="BH46" s="62"/>
      <c r="BI46" s="59"/>
      <c r="BJ46" s="60"/>
      <c r="BK46" s="62"/>
      <c r="BL46" s="62"/>
      <c r="BM46" s="60"/>
      <c r="BN46" s="59"/>
      <c r="BO46" s="62"/>
      <c r="BP46" s="60"/>
      <c r="BQ46" s="59"/>
      <c r="BR46" s="60"/>
      <c r="BS46" s="59"/>
      <c r="BT46" s="62"/>
      <c r="BU46" s="62"/>
      <c r="BV46" s="62"/>
      <c r="BW46" s="62"/>
      <c r="BX46" s="62"/>
      <c r="BY46" s="62"/>
      <c r="BZ46" s="62"/>
      <c r="CA46" s="60"/>
      <c r="CB46" s="59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</row>
    <row r="47" spans="1:95" ht="19.5" customHeight="1">
      <c r="A47" s="62"/>
      <c r="B47" s="62"/>
      <c r="C47" s="62"/>
      <c r="D47" s="62"/>
      <c r="E47" s="62"/>
      <c r="F47" s="62"/>
      <c r="G47" s="59" t="s">
        <v>221</v>
      </c>
      <c r="H47" s="60">
        <f>COUNTIFS(H12:H40,"NA")</f>
        <v>0</v>
      </c>
      <c r="I47" s="61"/>
      <c r="J47" s="62"/>
      <c r="K47" s="62"/>
      <c r="L47" s="62"/>
      <c r="M47" s="62"/>
      <c r="N47" s="59" t="s">
        <v>221</v>
      </c>
      <c r="O47" s="60">
        <f>COUNTIFS(O12:O40,"NA")</f>
        <v>0</v>
      </c>
      <c r="P47" s="62"/>
      <c r="Q47" s="62"/>
      <c r="R47" s="62"/>
      <c r="S47" s="62"/>
      <c r="T47" s="62"/>
      <c r="U47" s="59"/>
      <c r="V47" s="60"/>
      <c r="W47" s="62"/>
      <c r="X47" s="62"/>
      <c r="Y47" s="62"/>
      <c r="Z47" s="59"/>
      <c r="AA47" s="60"/>
      <c r="AB47" s="62"/>
      <c r="AC47" s="62"/>
      <c r="AD47" s="62"/>
      <c r="AE47" s="62"/>
      <c r="AF47" s="62"/>
      <c r="AG47" s="59"/>
      <c r="AH47" s="60"/>
      <c r="AI47" s="62"/>
      <c r="AJ47" s="62"/>
      <c r="AK47" s="62"/>
      <c r="AL47" s="62"/>
      <c r="AM47" s="62"/>
      <c r="AN47" s="59"/>
      <c r="AO47" s="60"/>
      <c r="AP47" s="62"/>
      <c r="AQ47" s="62"/>
      <c r="AR47" s="62"/>
      <c r="AS47" s="62"/>
      <c r="AT47" s="62"/>
      <c r="AU47" s="62"/>
      <c r="AV47" s="62"/>
      <c r="AW47" s="59"/>
      <c r="AX47" s="60"/>
      <c r="AY47" s="62"/>
      <c r="AZ47" s="62"/>
      <c r="BA47" s="62"/>
      <c r="BB47" s="62"/>
      <c r="BC47" s="62"/>
      <c r="BD47" s="59"/>
      <c r="BE47" s="60"/>
      <c r="BF47" s="62"/>
      <c r="BG47" s="62"/>
      <c r="BH47" s="62"/>
      <c r="BI47" s="59"/>
      <c r="BJ47" s="60"/>
      <c r="BK47" s="62"/>
      <c r="BL47" s="62"/>
      <c r="BM47" s="60"/>
      <c r="BN47" s="59"/>
      <c r="BO47" s="62"/>
      <c r="BP47" s="60"/>
      <c r="BQ47" s="59"/>
      <c r="BR47" s="60"/>
      <c r="BS47" s="59"/>
      <c r="BT47" s="62"/>
      <c r="BU47" s="62"/>
      <c r="BV47" s="62"/>
      <c r="BW47" s="62"/>
      <c r="BX47" s="62"/>
      <c r="BY47" s="62"/>
      <c r="BZ47" s="62"/>
      <c r="CA47" s="60"/>
      <c r="CB47" s="59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</row>
    <row r="48" spans="1:95" ht="19.5" customHeight="1">
      <c r="A48" s="62"/>
      <c r="B48" s="62"/>
      <c r="C48" s="62"/>
      <c r="D48" s="62"/>
      <c r="E48" s="62"/>
      <c r="F48" s="62"/>
      <c r="G48" s="59" t="s">
        <v>222</v>
      </c>
      <c r="H48" s="60">
        <f>SUM(H42:H47)</f>
        <v>28</v>
      </c>
      <c r="I48" s="61"/>
      <c r="J48" s="62"/>
      <c r="K48" s="62"/>
      <c r="L48" s="62"/>
      <c r="M48" s="62"/>
      <c r="N48" s="59" t="s">
        <v>222</v>
      </c>
      <c r="O48" s="60">
        <f>SUM(O42:O47)</f>
        <v>28</v>
      </c>
      <c r="P48" s="62"/>
      <c r="Q48" s="62"/>
      <c r="R48" s="62"/>
      <c r="S48" s="62"/>
      <c r="T48" s="62"/>
      <c r="U48" s="59"/>
      <c r="V48" s="60"/>
      <c r="W48" s="62"/>
      <c r="X48" s="62"/>
      <c r="Y48" s="62"/>
      <c r="Z48" s="59"/>
      <c r="AA48" s="60"/>
      <c r="AB48" s="62"/>
      <c r="AC48" s="62"/>
      <c r="AD48" s="62"/>
      <c r="AE48" s="62"/>
      <c r="AF48" s="62"/>
      <c r="AG48" s="59"/>
      <c r="AH48" s="60"/>
      <c r="AI48" s="62"/>
      <c r="AJ48" s="62"/>
      <c r="AK48" s="62"/>
      <c r="AL48" s="62"/>
      <c r="AM48" s="62"/>
      <c r="AN48" s="59"/>
      <c r="AO48" s="60"/>
      <c r="AP48" s="62"/>
      <c r="AQ48" s="62"/>
      <c r="AR48" s="62"/>
      <c r="AS48" s="62"/>
      <c r="AT48" s="62"/>
      <c r="AU48" s="62"/>
      <c r="AV48" s="62"/>
      <c r="AW48" s="59"/>
      <c r="AX48" s="60"/>
      <c r="AY48" s="62"/>
      <c r="AZ48" s="62"/>
      <c r="BA48" s="62"/>
      <c r="BB48" s="62"/>
      <c r="BC48" s="62"/>
      <c r="BD48" s="59"/>
      <c r="BE48" s="60"/>
      <c r="BF48" s="62"/>
      <c r="BG48" s="62"/>
      <c r="BH48" s="62"/>
      <c r="BI48" s="59"/>
      <c r="BJ48" s="60"/>
      <c r="BK48" s="62"/>
      <c r="BL48" s="62"/>
      <c r="BM48" s="60"/>
      <c r="BN48" s="59"/>
      <c r="BO48" s="62"/>
      <c r="BP48" s="60"/>
      <c r="BQ48" s="59"/>
      <c r="BR48" s="60"/>
      <c r="BS48" s="59"/>
      <c r="BT48" s="62"/>
      <c r="BU48" s="62"/>
      <c r="BV48" s="62"/>
      <c r="BW48" s="62"/>
      <c r="BX48" s="62"/>
      <c r="BY48" s="62"/>
      <c r="BZ48" s="62"/>
      <c r="CA48" s="60"/>
      <c r="CB48" s="59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</row>
    <row r="49" spans="1:95" ht="19.5" customHeight="1">
      <c r="A49" s="62"/>
      <c r="B49" s="62"/>
      <c r="C49" s="62"/>
      <c r="D49" s="62"/>
      <c r="E49" s="62"/>
      <c r="F49" s="62"/>
      <c r="G49" s="61"/>
      <c r="H49" s="62"/>
      <c r="I49" s="61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85"/>
      <c r="BN49" s="85"/>
      <c r="BO49" s="85"/>
      <c r="BP49" s="85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</row>
    <row r="50" spans="1:95" ht="19.5" customHeight="1">
      <c r="A50" s="62"/>
      <c r="B50" s="62"/>
      <c r="C50" s="62"/>
      <c r="D50" s="62"/>
      <c r="E50" s="62"/>
      <c r="F50" s="62"/>
      <c r="G50" s="61"/>
      <c r="H50" s="62"/>
      <c r="I50" s="61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85"/>
      <c r="BN50" s="85"/>
      <c r="BO50" s="85"/>
      <c r="BP50" s="85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</row>
    <row r="51" spans="1:95" ht="19.5" customHeight="1">
      <c r="A51" s="62"/>
      <c r="B51" s="62"/>
      <c r="C51" s="62"/>
      <c r="D51" s="62"/>
      <c r="E51" s="62"/>
      <c r="F51" s="62"/>
      <c r="G51" s="61"/>
      <c r="H51" s="62"/>
      <c r="I51" s="61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85"/>
      <c r="BN51" s="85"/>
      <c r="BO51" s="85"/>
      <c r="BP51" s="85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</row>
    <row r="52" spans="1:95" ht="19.5" customHeight="1">
      <c r="A52" s="62"/>
      <c r="B52" s="62"/>
      <c r="C52" s="62"/>
      <c r="D52" s="62"/>
      <c r="E52" s="62"/>
      <c r="F52" s="62"/>
      <c r="G52" s="61"/>
      <c r="H52" s="62"/>
      <c r="I52" s="61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85"/>
      <c r="BN52" s="85"/>
      <c r="BO52" s="85"/>
      <c r="BP52" s="85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</row>
    <row r="53" spans="1:95" ht="19.5" customHeight="1">
      <c r="A53" s="62"/>
      <c r="B53" s="62"/>
      <c r="C53" s="62"/>
      <c r="D53" s="62"/>
      <c r="E53" s="62"/>
      <c r="F53" s="62"/>
      <c r="G53" s="61"/>
      <c r="H53" s="62"/>
      <c r="I53" s="61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85"/>
      <c r="BN53" s="85"/>
      <c r="BO53" s="85"/>
      <c r="BP53" s="85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</row>
    <row r="54" spans="1:95" ht="19.5" customHeight="1">
      <c r="A54" s="62"/>
      <c r="B54" s="62"/>
      <c r="C54" s="62"/>
      <c r="D54" s="62"/>
      <c r="E54" s="62"/>
      <c r="F54" s="62"/>
      <c r="G54" s="61"/>
      <c r="H54" s="62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85"/>
      <c r="BN54" s="85"/>
      <c r="BO54" s="85"/>
      <c r="BP54" s="85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</row>
    <row r="55" spans="1:95" ht="19.5" customHeight="1">
      <c r="A55" s="62"/>
      <c r="B55" s="62"/>
      <c r="C55" s="62"/>
      <c r="D55" s="62"/>
      <c r="E55" s="62"/>
      <c r="F55" s="62"/>
      <c r="G55" s="61"/>
      <c r="H55" s="62"/>
      <c r="I55" s="61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85"/>
      <c r="BN55" s="85"/>
      <c r="BO55" s="85"/>
      <c r="BP55" s="85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</row>
    <row r="56" spans="1:95" ht="19.5" customHeight="1">
      <c r="A56" s="62"/>
      <c r="B56" s="62"/>
      <c r="C56" s="62"/>
      <c r="D56" s="62"/>
      <c r="E56" s="62"/>
      <c r="F56" s="62"/>
      <c r="G56" s="61"/>
      <c r="H56" s="62"/>
      <c r="I56" s="61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85"/>
      <c r="BN56" s="85"/>
      <c r="BO56" s="85"/>
      <c r="BP56" s="85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</row>
    <row r="57" spans="1:95" ht="19.5" customHeight="1">
      <c r="A57" s="62"/>
      <c r="B57" s="62"/>
      <c r="C57" s="62"/>
      <c r="D57" s="62"/>
      <c r="E57" s="62"/>
      <c r="F57" s="62"/>
      <c r="G57" s="61"/>
      <c r="H57" s="62"/>
      <c r="I57" s="61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85"/>
      <c r="BN57" s="85"/>
      <c r="BO57" s="85"/>
      <c r="BP57" s="85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</row>
    <row r="58" spans="1:95" ht="19.5" customHeight="1">
      <c r="A58" s="62"/>
      <c r="B58" s="62"/>
      <c r="C58" s="62"/>
      <c r="D58" s="62"/>
      <c r="E58" s="62"/>
      <c r="F58" s="62"/>
      <c r="G58" s="61"/>
      <c r="H58" s="62"/>
      <c r="I58" s="61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85"/>
      <c r="BN58" s="85"/>
      <c r="BO58" s="85"/>
      <c r="BP58" s="85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</row>
    <row r="59" spans="1:95" ht="19.5" customHeight="1">
      <c r="A59" s="62"/>
      <c r="B59" s="62"/>
      <c r="C59" s="62"/>
      <c r="D59" s="62"/>
      <c r="E59" s="62"/>
      <c r="F59" s="62"/>
      <c r="G59" s="61"/>
      <c r="H59" s="62"/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85"/>
      <c r="BN59" s="85"/>
      <c r="BO59" s="85"/>
      <c r="BP59" s="85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</row>
    <row r="60" spans="1:95" ht="19.5" customHeight="1">
      <c r="A60" s="62"/>
      <c r="B60" s="62"/>
      <c r="C60" s="62"/>
      <c r="D60" s="62"/>
      <c r="E60" s="62"/>
      <c r="F60" s="62"/>
      <c r="G60" s="61"/>
      <c r="H60" s="62"/>
      <c r="I60" s="61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85"/>
      <c r="BN60" s="85"/>
      <c r="BO60" s="85"/>
      <c r="BP60" s="85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</row>
    <row r="61" spans="1:95" ht="19.5" customHeight="1">
      <c r="A61" s="62"/>
      <c r="B61" s="62"/>
      <c r="C61" s="62"/>
      <c r="D61" s="62"/>
      <c r="E61" s="62"/>
      <c r="F61" s="62"/>
      <c r="G61" s="61"/>
      <c r="H61" s="62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85"/>
      <c r="BN61" s="85"/>
      <c r="BO61" s="85"/>
      <c r="BP61" s="85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</row>
    <row r="62" spans="1:95" ht="19.5" customHeight="1">
      <c r="A62" s="62"/>
      <c r="B62" s="62"/>
      <c r="C62" s="62"/>
      <c r="D62" s="62"/>
      <c r="E62" s="62"/>
      <c r="F62" s="62"/>
      <c r="G62" s="61"/>
      <c r="H62" s="62"/>
      <c r="I62" s="61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85"/>
      <c r="BN62" s="85"/>
      <c r="BO62" s="85"/>
      <c r="BP62" s="85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</row>
    <row r="63" spans="1:95" ht="19.5" customHeight="1">
      <c r="A63" s="62"/>
      <c r="B63" s="62"/>
      <c r="C63" s="62"/>
      <c r="D63" s="62"/>
      <c r="E63" s="62"/>
      <c r="F63" s="62"/>
      <c r="G63" s="61"/>
      <c r="H63" s="62"/>
      <c r="I63" s="6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85"/>
      <c r="BN63" s="85"/>
      <c r="BO63" s="85"/>
      <c r="BP63" s="85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</row>
    <row r="64" spans="1:95" ht="19.5" customHeight="1">
      <c r="A64" s="62"/>
      <c r="B64" s="62"/>
      <c r="C64" s="62"/>
      <c r="D64" s="62"/>
      <c r="E64" s="62"/>
      <c r="F64" s="62"/>
      <c r="G64" s="61"/>
      <c r="H64" s="62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85"/>
      <c r="BN64" s="85"/>
      <c r="BO64" s="85"/>
      <c r="BP64" s="85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</row>
    <row r="65" spans="1:95" ht="19.5" customHeight="1">
      <c r="A65" s="62"/>
      <c r="B65" s="62"/>
      <c r="C65" s="62"/>
      <c r="D65" s="62"/>
      <c r="E65" s="62"/>
      <c r="F65" s="62"/>
      <c r="G65" s="61"/>
      <c r="H65" s="62"/>
      <c r="I65" s="61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85"/>
      <c r="BN65" s="85"/>
      <c r="BO65" s="85"/>
      <c r="BP65" s="85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</row>
    <row r="66" spans="1:95" ht="19.5" customHeight="1">
      <c r="A66" s="62"/>
      <c r="B66" s="62"/>
      <c r="C66" s="62"/>
      <c r="D66" s="62"/>
      <c r="E66" s="62"/>
      <c r="F66" s="62"/>
      <c r="G66" s="61"/>
      <c r="H66" s="62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85"/>
      <c r="BN66" s="85"/>
      <c r="BO66" s="85"/>
      <c r="BP66" s="85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</row>
    <row r="67" spans="1:95" ht="19.5" customHeight="1">
      <c r="A67" s="62"/>
      <c r="B67" s="62"/>
      <c r="C67" s="62"/>
      <c r="D67" s="62"/>
      <c r="E67" s="62"/>
      <c r="F67" s="62"/>
      <c r="G67" s="61"/>
      <c r="H67" s="62"/>
      <c r="I67" s="61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85"/>
      <c r="BN67" s="85"/>
      <c r="BO67" s="85"/>
      <c r="BP67" s="85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</row>
    <row r="68" spans="1:95" ht="19.5" customHeight="1">
      <c r="A68" s="62"/>
      <c r="B68" s="62"/>
      <c r="C68" s="62"/>
      <c r="D68" s="62"/>
      <c r="E68" s="62"/>
      <c r="F68" s="62"/>
      <c r="G68" s="61"/>
      <c r="H68" s="62"/>
      <c r="I68" s="61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85"/>
      <c r="BN68" s="85"/>
      <c r="BO68" s="85"/>
      <c r="BP68" s="85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</row>
    <row r="69" spans="1:95" ht="19.5" customHeight="1">
      <c r="A69" s="62"/>
      <c r="B69" s="62"/>
      <c r="C69" s="62"/>
      <c r="D69" s="62"/>
      <c r="E69" s="62"/>
      <c r="F69" s="62"/>
      <c r="G69" s="61"/>
      <c r="H69" s="62"/>
      <c r="I69" s="61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85"/>
      <c r="BN69" s="85"/>
      <c r="BO69" s="85"/>
      <c r="BP69" s="85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</row>
    <row r="70" spans="1:95" ht="19.5" customHeight="1">
      <c r="A70" s="62"/>
      <c r="B70" s="62"/>
      <c r="C70" s="62"/>
      <c r="D70" s="62"/>
      <c r="E70" s="62"/>
      <c r="F70" s="62"/>
      <c r="G70" s="61"/>
      <c r="H70" s="62"/>
      <c r="I70" s="61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85"/>
      <c r="BN70" s="85"/>
      <c r="BO70" s="85"/>
      <c r="BP70" s="85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</row>
    <row r="71" spans="1:95" ht="19.5" customHeight="1">
      <c r="A71" s="62"/>
      <c r="B71" s="62"/>
      <c r="C71" s="62"/>
      <c r="D71" s="62"/>
      <c r="E71" s="62"/>
      <c r="F71" s="62"/>
      <c r="G71" s="61"/>
      <c r="H71" s="62"/>
      <c r="I71" s="61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85"/>
      <c r="BN71" s="85"/>
      <c r="BO71" s="85"/>
      <c r="BP71" s="85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</row>
    <row r="72" spans="1:95" ht="19.5" customHeight="1">
      <c r="A72" s="62"/>
      <c r="B72" s="62"/>
      <c r="C72" s="62"/>
      <c r="D72" s="62"/>
      <c r="E72" s="62"/>
      <c r="F72" s="62"/>
      <c r="G72" s="61"/>
      <c r="H72" s="62"/>
      <c r="I72" s="61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85"/>
      <c r="BN72" s="85"/>
      <c r="BO72" s="85"/>
      <c r="BP72" s="85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</row>
    <row r="73" spans="1:95" ht="19.5" customHeight="1">
      <c r="A73" s="62"/>
      <c r="B73" s="62"/>
      <c r="C73" s="62"/>
      <c r="D73" s="62"/>
      <c r="E73" s="62"/>
      <c r="F73" s="62"/>
      <c r="G73" s="61"/>
      <c r="H73" s="62"/>
      <c r="I73" s="61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85"/>
      <c r="BN73" s="85"/>
      <c r="BO73" s="85"/>
      <c r="BP73" s="85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</row>
    <row r="74" spans="1:95" ht="19.5" customHeight="1">
      <c r="A74" s="62"/>
      <c r="B74" s="62"/>
      <c r="C74" s="62"/>
      <c r="D74" s="62"/>
      <c r="E74" s="62"/>
      <c r="F74" s="62"/>
      <c r="G74" s="61"/>
      <c r="H74" s="62"/>
      <c r="I74" s="61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85"/>
      <c r="BN74" s="85"/>
      <c r="BO74" s="85"/>
      <c r="BP74" s="85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</row>
    <row r="75" spans="1:95" ht="19.5" customHeight="1">
      <c r="A75" s="62"/>
      <c r="B75" s="62"/>
      <c r="C75" s="62"/>
      <c r="D75" s="62"/>
      <c r="E75" s="62"/>
      <c r="F75" s="62"/>
      <c r="G75" s="61"/>
      <c r="H75" s="62"/>
      <c r="I75" s="61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85"/>
      <c r="BN75" s="85"/>
      <c r="BO75" s="85"/>
      <c r="BP75" s="85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</row>
    <row r="76" spans="1:95" ht="19.5" customHeight="1">
      <c r="A76" s="62"/>
      <c r="B76" s="62"/>
      <c r="C76" s="62"/>
      <c r="D76" s="62"/>
      <c r="E76" s="62"/>
      <c r="F76" s="62"/>
      <c r="G76" s="61"/>
      <c r="H76" s="62"/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85"/>
      <c r="BN76" s="85"/>
      <c r="BO76" s="85"/>
      <c r="BP76" s="85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</row>
    <row r="77" spans="1:95" ht="19.5" customHeight="1">
      <c r="A77" s="62"/>
      <c r="B77" s="62"/>
      <c r="C77" s="62"/>
      <c r="D77" s="62"/>
      <c r="E77" s="62"/>
      <c r="F77" s="62"/>
      <c r="G77" s="61"/>
      <c r="H77" s="62"/>
      <c r="I77" s="61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85"/>
      <c r="BN77" s="85"/>
      <c r="BO77" s="85"/>
      <c r="BP77" s="85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</row>
    <row r="78" spans="1:95" ht="19.5" customHeight="1">
      <c r="A78" s="62"/>
      <c r="B78" s="62"/>
      <c r="C78" s="62"/>
      <c r="D78" s="62"/>
      <c r="E78" s="62"/>
      <c r="F78" s="62"/>
      <c r="G78" s="61"/>
      <c r="H78" s="62"/>
      <c r="I78" s="61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85"/>
      <c r="BN78" s="85"/>
      <c r="BO78" s="85"/>
      <c r="BP78" s="85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</row>
    <row r="79" spans="1:95" ht="19.5" customHeight="1">
      <c r="A79" s="62"/>
      <c r="B79" s="62"/>
      <c r="C79" s="62"/>
      <c r="D79" s="62"/>
      <c r="E79" s="62"/>
      <c r="F79" s="62"/>
      <c r="G79" s="61"/>
      <c r="H79" s="62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85"/>
      <c r="BN79" s="85"/>
      <c r="BO79" s="85"/>
      <c r="BP79" s="85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</row>
    <row r="80" spans="1:95" ht="19.5" customHeight="1">
      <c r="A80" s="62"/>
      <c r="B80" s="62"/>
      <c r="C80" s="62"/>
      <c r="D80" s="62"/>
      <c r="E80" s="62"/>
      <c r="F80" s="62"/>
      <c r="G80" s="61"/>
      <c r="H80" s="62"/>
      <c r="I80" s="61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85"/>
      <c r="BN80" s="85"/>
      <c r="BO80" s="85"/>
      <c r="BP80" s="85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</row>
    <row r="81" spans="1:95" ht="19.5" customHeight="1">
      <c r="A81" s="62"/>
      <c r="B81" s="62"/>
      <c r="C81" s="62"/>
      <c r="D81" s="62"/>
      <c r="E81" s="62"/>
      <c r="F81" s="62"/>
      <c r="G81" s="61"/>
      <c r="H81" s="62"/>
      <c r="I81" s="61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85"/>
      <c r="BN81" s="85"/>
      <c r="BO81" s="85"/>
      <c r="BP81" s="85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</row>
    <row r="82" spans="1:95" ht="19.5" customHeight="1">
      <c r="A82" s="62"/>
      <c r="B82" s="62"/>
      <c r="C82" s="62"/>
      <c r="D82" s="62"/>
      <c r="E82" s="62"/>
      <c r="F82" s="62"/>
      <c r="G82" s="61"/>
      <c r="H82" s="62"/>
      <c r="I82" s="61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85"/>
      <c r="BN82" s="85"/>
      <c r="BO82" s="85"/>
      <c r="BP82" s="85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</row>
    <row r="83" spans="1:95" ht="19.5" customHeight="1">
      <c r="A83" s="62"/>
      <c r="B83" s="62"/>
      <c r="C83" s="62"/>
      <c r="D83" s="62"/>
      <c r="E83" s="62"/>
      <c r="F83" s="62"/>
      <c r="G83" s="61"/>
      <c r="H83" s="62"/>
      <c r="I83" s="61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85"/>
      <c r="BN83" s="85"/>
      <c r="BO83" s="85"/>
      <c r="BP83" s="85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</row>
    <row r="84" spans="1:95" ht="19.5" customHeight="1">
      <c r="A84" s="62"/>
      <c r="B84" s="62"/>
      <c r="C84" s="62"/>
      <c r="D84" s="62"/>
      <c r="E84" s="62"/>
      <c r="F84" s="62"/>
      <c r="G84" s="61"/>
      <c r="H84" s="62"/>
      <c r="I84" s="61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85"/>
      <c r="BN84" s="85"/>
      <c r="BO84" s="85"/>
      <c r="BP84" s="85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</row>
    <row r="85" spans="1:95" ht="19.5" customHeight="1">
      <c r="A85" s="62"/>
      <c r="B85" s="62"/>
      <c r="C85" s="62"/>
      <c r="D85" s="62"/>
      <c r="E85" s="62"/>
      <c r="F85" s="62"/>
      <c r="G85" s="61"/>
      <c r="H85" s="62"/>
      <c r="I85" s="61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85"/>
      <c r="BN85" s="85"/>
      <c r="BO85" s="85"/>
      <c r="BP85" s="85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</row>
    <row r="86" spans="1:95" ht="19.5" customHeight="1">
      <c r="A86" s="62"/>
      <c r="B86" s="62"/>
      <c r="C86" s="62"/>
      <c r="D86" s="62"/>
      <c r="E86" s="62"/>
      <c r="F86" s="62"/>
      <c r="G86" s="61"/>
      <c r="H86" s="62"/>
      <c r="I86" s="61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85"/>
      <c r="BN86" s="85"/>
      <c r="BO86" s="85"/>
      <c r="BP86" s="85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</row>
    <row r="87" spans="1:95" ht="19.5" customHeight="1">
      <c r="A87" s="62"/>
      <c r="B87" s="62"/>
      <c r="C87" s="62"/>
      <c r="D87" s="62"/>
      <c r="E87" s="62"/>
      <c r="F87" s="62"/>
      <c r="G87" s="61"/>
      <c r="H87" s="62"/>
      <c r="I87" s="61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85"/>
      <c r="BN87" s="85"/>
      <c r="BO87" s="85"/>
      <c r="BP87" s="85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</row>
    <row r="88" spans="1:95" ht="19.5" customHeight="1">
      <c r="A88" s="62"/>
      <c r="B88" s="62"/>
      <c r="C88" s="62"/>
      <c r="D88" s="62"/>
      <c r="E88" s="62"/>
      <c r="F88" s="62"/>
      <c r="G88" s="61"/>
      <c r="H88" s="62"/>
      <c r="I88" s="61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85"/>
      <c r="BN88" s="85"/>
      <c r="BO88" s="85"/>
      <c r="BP88" s="85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</row>
    <row r="89" spans="1:95" ht="19.5" customHeight="1">
      <c r="A89" s="62"/>
      <c r="B89" s="62"/>
      <c r="C89" s="62"/>
      <c r="D89" s="62"/>
      <c r="E89" s="62"/>
      <c r="F89" s="62"/>
      <c r="G89" s="61"/>
      <c r="H89" s="62"/>
      <c r="I89" s="61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85"/>
      <c r="BN89" s="85"/>
      <c r="BO89" s="85"/>
      <c r="BP89" s="85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</row>
    <row r="90" spans="1:95" ht="19.5" customHeight="1">
      <c r="A90" s="62"/>
      <c r="B90" s="62"/>
      <c r="C90" s="62"/>
      <c r="D90" s="62"/>
      <c r="E90" s="62"/>
      <c r="F90" s="62"/>
      <c r="G90" s="61"/>
      <c r="H90" s="62"/>
      <c r="I90" s="61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85"/>
      <c r="BN90" s="85"/>
      <c r="BO90" s="85"/>
      <c r="BP90" s="85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</row>
    <row r="91" spans="1:95" ht="19.5" customHeight="1">
      <c r="A91" s="62"/>
      <c r="B91" s="62"/>
      <c r="C91" s="62"/>
      <c r="D91" s="62"/>
      <c r="E91" s="62"/>
      <c r="F91" s="62"/>
      <c r="G91" s="61"/>
      <c r="H91" s="62"/>
      <c r="I91" s="61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85"/>
      <c r="BN91" s="85"/>
      <c r="BO91" s="85"/>
      <c r="BP91" s="85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</row>
    <row r="92" spans="1:95" ht="19.5" customHeight="1">
      <c r="A92" s="62"/>
      <c r="B92" s="62"/>
      <c r="C92" s="62"/>
      <c r="D92" s="62"/>
      <c r="E92" s="62"/>
      <c r="F92" s="62"/>
      <c r="G92" s="61"/>
      <c r="H92" s="62"/>
      <c r="I92" s="61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85"/>
      <c r="BN92" s="85"/>
      <c r="BO92" s="85"/>
      <c r="BP92" s="85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</row>
    <row r="93" spans="1:95" ht="19.5" customHeight="1">
      <c r="A93" s="62"/>
      <c r="B93" s="62"/>
      <c r="C93" s="62"/>
      <c r="D93" s="62"/>
      <c r="E93" s="62"/>
      <c r="F93" s="62"/>
      <c r="G93" s="61"/>
      <c r="H93" s="62"/>
      <c r="I93" s="61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85"/>
      <c r="BN93" s="85"/>
      <c r="BO93" s="85"/>
      <c r="BP93" s="85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</row>
    <row r="94" spans="1:95" ht="19.5" customHeight="1">
      <c r="A94" s="62"/>
      <c r="B94" s="62"/>
      <c r="C94" s="62"/>
      <c r="D94" s="62"/>
      <c r="E94" s="62"/>
      <c r="F94" s="62"/>
      <c r="G94" s="61"/>
      <c r="H94" s="62"/>
      <c r="I94" s="61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85"/>
      <c r="BN94" s="85"/>
      <c r="BO94" s="85"/>
      <c r="BP94" s="85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</row>
    <row r="95" spans="1:95" ht="19.5" customHeight="1">
      <c r="A95" s="62"/>
      <c r="B95" s="62"/>
      <c r="C95" s="62"/>
      <c r="D95" s="62"/>
      <c r="E95" s="62"/>
      <c r="F95" s="62"/>
      <c r="G95" s="61"/>
      <c r="H95" s="62"/>
      <c r="I95" s="61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85"/>
      <c r="BN95" s="85"/>
      <c r="BO95" s="85"/>
      <c r="BP95" s="85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</row>
    <row r="96" spans="1:95" ht="19.5" customHeight="1">
      <c r="A96" s="62"/>
      <c r="B96" s="62"/>
      <c r="C96" s="62"/>
      <c r="D96" s="62"/>
      <c r="E96" s="62"/>
      <c r="F96" s="62"/>
      <c r="G96" s="61"/>
      <c r="H96" s="62"/>
      <c r="I96" s="61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85"/>
      <c r="BN96" s="85"/>
      <c r="BO96" s="85"/>
      <c r="BP96" s="85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</row>
    <row r="97" spans="1:95" ht="19.5" customHeight="1">
      <c r="A97" s="62"/>
      <c r="B97" s="62"/>
      <c r="C97" s="62"/>
      <c r="D97" s="62"/>
      <c r="E97" s="62"/>
      <c r="F97" s="62"/>
      <c r="G97" s="61"/>
      <c r="H97" s="62"/>
      <c r="I97" s="61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85"/>
      <c r="BN97" s="85"/>
      <c r="BO97" s="85"/>
      <c r="BP97" s="85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</row>
    <row r="98" spans="1:95" ht="19.5" customHeight="1">
      <c r="A98" s="62"/>
      <c r="B98" s="62"/>
      <c r="C98" s="62"/>
      <c r="D98" s="62"/>
      <c r="E98" s="62"/>
      <c r="F98" s="62"/>
      <c r="G98" s="61"/>
      <c r="H98" s="62"/>
      <c r="I98" s="61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85"/>
      <c r="BN98" s="85"/>
      <c r="BO98" s="85"/>
      <c r="BP98" s="85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</row>
    <row r="99" spans="1:95" ht="19.5" customHeight="1">
      <c r="A99" s="62"/>
      <c r="B99" s="62"/>
      <c r="C99" s="62"/>
      <c r="D99" s="62"/>
      <c r="E99" s="62"/>
      <c r="F99" s="62"/>
      <c r="G99" s="61"/>
      <c r="H99" s="62"/>
      <c r="I99" s="61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85"/>
      <c r="BN99" s="85"/>
      <c r="BO99" s="85"/>
      <c r="BP99" s="85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</row>
    <row r="100" spans="1:95" ht="19.5" customHeight="1">
      <c r="A100" s="62"/>
      <c r="B100" s="62"/>
      <c r="C100" s="62"/>
      <c r="D100" s="62"/>
      <c r="E100" s="62"/>
      <c r="F100" s="62"/>
      <c r="G100" s="61"/>
      <c r="H100" s="62"/>
      <c r="I100" s="61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85"/>
      <c r="BN100" s="85"/>
      <c r="BO100" s="85"/>
      <c r="BP100" s="85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</row>
    <row r="101" spans="1:95" ht="19.5" customHeight="1">
      <c r="A101" s="62"/>
      <c r="B101" s="62"/>
      <c r="C101" s="62"/>
      <c r="D101" s="62"/>
      <c r="E101" s="62"/>
      <c r="F101" s="62"/>
      <c r="G101" s="61"/>
      <c r="H101" s="62"/>
      <c r="I101" s="61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85"/>
      <c r="BN101" s="85"/>
      <c r="BO101" s="85"/>
      <c r="BP101" s="85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</row>
    <row r="102" spans="1:95" ht="19.5" customHeight="1">
      <c r="A102" s="62"/>
      <c r="B102" s="62"/>
      <c r="C102" s="62"/>
      <c r="D102" s="62"/>
      <c r="E102" s="62"/>
      <c r="F102" s="62"/>
      <c r="G102" s="61"/>
      <c r="H102" s="62"/>
      <c r="I102" s="61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85"/>
      <c r="BN102" s="85"/>
      <c r="BO102" s="85"/>
      <c r="BP102" s="85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</row>
    <row r="103" spans="1:95" ht="19.5" customHeight="1">
      <c r="A103" s="62"/>
      <c r="B103" s="62"/>
      <c r="C103" s="62"/>
      <c r="D103" s="62"/>
      <c r="E103" s="62"/>
      <c r="F103" s="62"/>
      <c r="G103" s="61"/>
      <c r="H103" s="62"/>
      <c r="I103" s="61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85"/>
      <c r="BN103" s="85"/>
      <c r="BO103" s="85"/>
      <c r="BP103" s="85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</row>
    <row r="104" spans="1:95" ht="19.5" customHeight="1">
      <c r="A104" s="62"/>
      <c r="B104" s="62"/>
      <c r="C104" s="62"/>
      <c r="D104" s="62"/>
      <c r="E104" s="62"/>
      <c r="F104" s="62"/>
      <c r="G104" s="61"/>
      <c r="H104" s="62"/>
      <c r="I104" s="61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85"/>
      <c r="BN104" s="85"/>
      <c r="BO104" s="85"/>
      <c r="BP104" s="85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</row>
    <row r="105" spans="1:95" ht="19.5" customHeight="1">
      <c r="A105" s="62"/>
      <c r="B105" s="62"/>
      <c r="C105" s="62"/>
      <c r="D105" s="62"/>
      <c r="E105" s="62"/>
      <c r="F105" s="62"/>
      <c r="G105" s="61"/>
      <c r="H105" s="62"/>
      <c r="I105" s="61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85"/>
      <c r="BN105" s="85"/>
      <c r="BO105" s="85"/>
      <c r="BP105" s="85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</row>
    <row r="106" spans="1:95" ht="19.5" customHeight="1">
      <c r="A106" s="62"/>
      <c r="B106" s="62"/>
      <c r="C106" s="62"/>
      <c r="D106" s="62"/>
      <c r="E106" s="62"/>
      <c r="F106" s="62"/>
      <c r="G106" s="61"/>
      <c r="H106" s="62"/>
      <c r="I106" s="61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85"/>
      <c r="BN106" s="85"/>
      <c r="BO106" s="85"/>
      <c r="BP106" s="85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</row>
    <row r="107" spans="1:95" ht="19.5" customHeight="1">
      <c r="A107" s="62"/>
      <c r="B107" s="62"/>
      <c r="C107" s="62"/>
      <c r="D107" s="62"/>
      <c r="E107" s="62"/>
      <c r="F107" s="62"/>
      <c r="G107" s="61"/>
      <c r="H107" s="62"/>
      <c r="I107" s="61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85"/>
      <c r="BN107" s="85"/>
      <c r="BO107" s="85"/>
      <c r="BP107" s="85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</row>
    <row r="108" spans="1:95" ht="19.5" customHeight="1">
      <c r="A108" s="62"/>
      <c r="B108" s="62"/>
      <c r="C108" s="62"/>
      <c r="D108" s="62"/>
      <c r="E108" s="62"/>
      <c r="F108" s="62"/>
      <c r="G108" s="61"/>
      <c r="H108" s="62"/>
      <c r="I108" s="61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85"/>
      <c r="BN108" s="85"/>
      <c r="BO108" s="85"/>
      <c r="BP108" s="85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</row>
    <row r="109" spans="1:95" ht="19.5" customHeight="1">
      <c r="A109" s="62"/>
      <c r="B109" s="62"/>
      <c r="C109" s="62"/>
      <c r="D109" s="62"/>
      <c r="E109" s="62"/>
      <c r="F109" s="62"/>
      <c r="G109" s="61"/>
      <c r="H109" s="62"/>
      <c r="I109" s="61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85"/>
      <c r="BN109" s="85"/>
      <c r="BO109" s="85"/>
      <c r="BP109" s="85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</row>
    <row r="110" spans="1:95" ht="19.5" customHeight="1">
      <c r="A110" s="62"/>
      <c r="B110" s="62"/>
      <c r="C110" s="62"/>
      <c r="D110" s="62"/>
      <c r="E110" s="62"/>
      <c r="F110" s="62"/>
      <c r="G110" s="61"/>
      <c r="H110" s="62"/>
      <c r="I110" s="61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85"/>
      <c r="BN110" s="85"/>
      <c r="BO110" s="85"/>
      <c r="BP110" s="85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</row>
    <row r="111" spans="1:95" ht="19.5" customHeight="1">
      <c r="A111" s="62"/>
      <c r="B111" s="62"/>
      <c r="C111" s="62"/>
      <c r="D111" s="62"/>
      <c r="E111" s="62"/>
      <c r="F111" s="62"/>
      <c r="G111" s="61"/>
      <c r="H111" s="62"/>
      <c r="I111" s="61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85"/>
      <c r="BN111" s="85"/>
      <c r="BO111" s="85"/>
      <c r="BP111" s="85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</row>
    <row r="112" spans="1:95" ht="19.5" customHeight="1">
      <c r="A112" s="62"/>
      <c r="B112" s="62"/>
      <c r="C112" s="62"/>
      <c r="D112" s="62"/>
      <c r="E112" s="62"/>
      <c r="F112" s="62"/>
      <c r="G112" s="61"/>
      <c r="H112" s="62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85"/>
      <c r="BN112" s="85"/>
      <c r="BO112" s="85"/>
      <c r="BP112" s="85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</row>
    <row r="113" spans="1:95" ht="19.5" customHeight="1">
      <c r="A113" s="62"/>
      <c r="B113" s="62"/>
      <c r="C113" s="62"/>
      <c r="D113" s="62"/>
      <c r="E113" s="62"/>
      <c r="F113" s="62"/>
      <c r="G113" s="61"/>
      <c r="H113" s="62"/>
      <c r="I113" s="61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85"/>
      <c r="BN113" s="85"/>
      <c r="BO113" s="85"/>
      <c r="BP113" s="85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</row>
    <row r="114" spans="1:95" ht="19.5" customHeight="1">
      <c r="A114" s="62"/>
      <c r="B114" s="62"/>
      <c r="C114" s="62"/>
      <c r="D114" s="62"/>
      <c r="E114" s="62"/>
      <c r="F114" s="62"/>
      <c r="G114" s="61"/>
      <c r="H114" s="62"/>
      <c r="I114" s="61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85"/>
      <c r="BN114" s="85"/>
      <c r="BO114" s="85"/>
      <c r="BP114" s="85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</row>
    <row r="115" spans="1:95" ht="19.5" customHeight="1">
      <c r="A115" s="62"/>
      <c r="B115" s="62"/>
      <c r="C115" s="62"/>
      <c r="D115" s="62"/>
      <c r="E115" s="62"/>
      <c r="F115" s="62"/>
      <c r="G115" s="61"/>
      <c r="H115" s="62"/>
      <c r="I115" s="61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85"/>
      <c r="BN115" s="85"/>
      <c r="BO115" s="85"/>
      <c r="BP115" s="85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</row>
    <row r="116" spans="1:95" ht="19.5" customHeight="1">
      <c r="A116" s="62"/>
      <c r="B116" s="62"/>
      <c r="C116" s="62"/>
      <c r="D116" s="62"/>
      <c r="E116" s="62"/>
      <c r="F116" s="62"/>
      <c r="G116" s="61"/>
      <c r="H116" s="62"/>
      <c r="I116" s="61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85"/>
      <c r="BN116" s="85"/>
      <c r="BO116" s="85"/>
      <c r="BP116" s="85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</row>
    <row r="117" spans="1:95" ht="19.5" customHeight="1">
      <c r="A117" s="62"/>
      <c r="B117" s="62"/>
      <c r="C117" s="62"/>
      <c r="D117" s="62"/>
      <c r="E117" s="62"/>
      <c r="F117" s="62"/>
      <c r="G117" s="61"/>
      <c r="H117" s="62"/>
      <c r="I117" s="61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85"/>
      <c r="BN117" s="85"/>
      <c r="BO117" s="85"/>
      <c r="BP117" s="85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</row>
    <row r="118" spans="1:95" ht="19.5" customHeight="1">
      <c r="A118" s="62"/>
      <c r="B118" s="62"/>
      <c r="C118" s="62"/>
      <c r="D118" s="62"/>
      <c r="E118" s="62"/>
      <c r="F118" s="62"/>
      <c r="G118" s="61"/>
      <c r="H118" s="62"/>
      <c r="I118" s="61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85"/>
      <c r="BN118" s="85"/>
      <c r="BO118" s="85"/>
      <c r="BP118" s="85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</row>
    <row r="119" spans="1:95" ht="19.5" customHeight="1">
      <c r="A119" s="62"/>
      <c r="B119" s="62"/>
      <c r="C119" s="62"/>
      <c r="D119" s="62"/>
      <c r="E119" s="62"/>
      <c r="F119" s="62"/>
      <c r="G119" s="61"/>
      <c r="H119" s="62"/>
      <c r="I119" s="61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85"/>
      <c r="BN119" s="85"/>
      <c r="BO119" s="85"/>
      <c r="BP119" s="85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</row>
    <row r="120" spans="1:95" ht="19.5" customHeight="1">
      <c r="A120" s="62"/>
      <c r="B120" s="62"/>
      <c r="C120" s="62"/>
      <c r="D120" s="62"/>
      <c r="E120" s="62"/>
      <c r="F120" s="62"/>
      <c r="G120" s="61"/>
      <c r="H120" s="62"/>
      <c r="I120" s="61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85"/>
      <c r="BN120" s="85"/>
      <c r="BO120" s="85"/>
      <c r="BP120" s="85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</row>
    <row r="121" spans="1:95" ht="19.5" customHeight="1">
      <c r="A121" s="62"/>
      <c r="B121" s="62"/>
      <c r="C121" s="62"/>
      <c r="D121" s="62"/>
      <c r="E121" s="62"/>
      <c r="F121" s="62"/>
      <c r="G121" s="61"/>
      <c r="H121" s="62"/>
      <c r="I121" s="61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85"/>
      <c r="BN121" s="85"/>
      <c r="BO121" s="85"/>
      <c r="BP121" s="85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</row>
    <row r="122" spans="1:95" ht="19.5" customHeight="1">
      <c r="A122" s="62"/>
      <c r="B122" s="62"/>
      <c r="C122" s="62"/>
      <c r="D122" s="62"/>
      <c r="E122" s="62"/>
      <c r="F122" s="62"/>
      <c r="G122" s="61"/>
      <c r="H122" s="62"/>
      <c r="I122" s="61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85"/>
      <c r="BN122" s="85"/>
      <c r="BO122" s="85"/>
      <c r="BP122" s="85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</row>
    <row r="123" spans="1:95" ht="19.5" customHeight="1">
      <c r="A123" s="62"/>
      <c r="B123" s="62"/>
      <c r="C123" s="62"/>
      <c r="D123" s="62"/>
      <c r="E123" s="62"/>
      <c r="F123" s="62"/>
      <c r="G123" s="61"/>
      <c r="H123" s="62"/>
      <c r="I123" s="61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85"/>
      <c r="BN123" s="85"/>
      <c r="BO123" s="85"/>
      <c r="BP123" s="85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</row>
    <row r="124" spans="1:95" ht="19.5" customHeight="1">
      <c r="A124" s="62"/>
      <c r="B124" s="62"/>
      <c r="C124" s="62"/>
      <c r="D124" s="62"/>
      <c r="E124" s="62"/>
      <c r="F124" s="62"/>
      <c r="G124" s="61"/>
      <c r="H124" s="62"/>
      <c r="I124" s="61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85"/>
      <c r="BN124" s="85"/>
      <c r="BO124" s="85"/>
      <c r="BP124" s="85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</row>
    <row r="125" spans="1:95" ht="19.5" customHeight="1">
      <c r="A125" s="62"/>
      <c r="B125" s="62"/>
      <c r="C125" s="62"/>
      <c r="D125" s="62"/>
      <c r="E125" s="62"/>
      <c r="F125" s="62"/>
      <c r="G125" s="61"/>
      <c r="H125" s="62"/>
      <c r="I125" s="61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85"/>
      <c r="BN125" s="85"/>
      <c r="BO125" s="85"/>
      <c r="BP125" s="85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</row>
    <row r="126" spans="1:95" ht="19.5" customHeight="1">
      <c r="A126" s="62"/>
      <c r="B126" s="62"/>
      <c r="C126" s="62"/>
      <c r="D126" s="62"/>
      <c r="E126" s="62"/>
      <c r="F126" s="62"/>
      <c r="G126" s="61"/>
      <c r="H126" s="62"/>
      <c r="I126" s="61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85"/>
      <c r="BN126" s="85"/>
      <c r="BO126" s="85"/>
      <c r="BP126" s="85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</row>
    <row r="127" spans="1:95" ht="19.5" customHeight="1">
      <c r="A127" s="62"/>
      <c r="B127" s="62"/>
      <c r="C127" s="62"/>
      <c r="D127" s="62"/>
      <c r="E127" s="62"/>
      <c r="F127" s="62"/>
      <c r="G127" s="61"/>
      <c r="H127" s="62"/>
      <c r="I127" s="61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85"/>
      <c r="BN127" s="85"/>
      <c r="BO127" s="85"/>
      <c r="BP127" s="85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</row>
    <row r="128" spans="1:95" ht="19.5" customHeight="1">
      <c r="A128" s="62"/>
      <c r="B128" s="62"/>
      <c r="C128" s="62"/>
      <c r="D128" s="62"/>
      <c r="E128" s="62"/>
      <c r="F128" s="62"/>
      <c r="G128" s="61"/>
      <c r="H128" s="62"/>
      <c r="I128" s="61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85"/>
      <c r="BN128" s="85"/>
      <c r="BO128" s="85"/>
      <c r="BP128" s="85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</row>
    <row r="129" spans="1:95" ht="19.5" customHeight="1">
      <c r="A129" s="62"/>
      <c r="B129" s="62"/>
      <c r="C129" s="62"/>
      <c r="D129" s="62"/>
      <c r="E129" s="62"/>
      <c r="F129" s="62"/>
      <c r="G129" s="61"/>
      <c r="H129" s="62"/>
      <c r="I129" s="61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85"/>
      <c r="BN129" s="85"/>
      <c r="BO129" s="85"/>
      <c r="BP129" s="85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</row>
    <row r="130" spans="1:95" ht="19.5" customHeight="1">
      <c r="A130" s="62"/>
      <c r="B130" s="62"/>
      <c r="C130" s="62"/>
      <c r="D130" s="62"/>
      <c r="E130" s="62"/>
      <c r="F130" s="62"/>
      <c r="G130" s="61"/>
      <c r="H130" s="62"/>
      <c r="I130" s="61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85"/>
      <c r="BN130" s="85"/>
      <c r="BO130" s="85"/>
      <c r="BP130" s="85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</row>
    <row r="131" spans="1:95" ht="19.5" customHeight="1">
      <c r="A131" s="62"/>
      <c r="B131" s="62"/>
      <c r="C131" s="62"/>
      <c r="D131" s="62"/>
      <c r="E131" s="62"/>
      <c r="F131" s="62"/>
      <c r="G131" s="61"/>
      <c r="H131" s="62"/>
      <c r="I131" s="61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85"/>
      <c r="BN131" s="85"/>
      <c r="BO131" s="85"/>
      <c r="BP131" s="85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</row>
    <row r="132" spans="1:95" ht="19.5" customHeight="1">
      <c r="A132" s="62"/>
      <c r="B132" s="62"/>
      <c r="C132" s="62"/>
      <c r="D132" s="62"/>
      <c r="E132" s="62"/>
      <c r="F132" s="62"/>
      <c r="G132" s="61"/>
      <c r="H132" s="62"/>
      <c r="I132" s="61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85"/>
      <c r="BN132" s="85"/>
      <c r="BO132" s="85"/>
      <c r="BP132" s="85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</row>
    <row r="133" spans="1:95" ht="19.5" customHeight="1">
      <c r="A133" s="62"/>
      <c r="B133" s="62"/>
      <c r="C133" s="62"/>
      <c r="D133" s="62"/>
      <c r="E133" s="62"/>
      <c r="F133" s="62"/>
      <c r="G133" s="61"/>
      <c r="H133" s="62"/>
      <c r="I133" s="61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85"/>
      <c r="BN133" s="85"/>
      <c r="BO133" s="85"/>
      <c r="BP133" s="85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 spans="1:95" ht="19.5" customHeight="1">
      <c r="A134" s="62"/>
      <c r="B134" s="62"/>
      <c r="C134" s="62"/>
      <c r="D134" s="62"/>
      <c r="E134" s="62"/>
      <c r="F134" s="62"/>
      <c r="G134" s="61"/>
      <c r="H134" s="62"/>
      <c r="I134" s="61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85"/>
      <c r="BN134" s="85"/>
      <c r="BO134" s="85"/>
      <c r="BP134" s="85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 spans="1:95" ht="19.5" customHeight="1">
      <c r="A135" s="62"/>
      <c r="B135" s="62"/>
      <c r="C135" s="62"/>
      <c r="D135" s="62"/>
      <c r="E135" s="62"/>
      <c r="F135" s="62"/>
      <c r="G135" s="61"/>
      <c r="H135" s="62"/>
      <c r="I135" s="61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85"/>
      <c r="BN135" s="85"/>
      <c r="BO135" s="85"/>
      <c r="BP135" s="85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 spans="1:95" ht="19.5" customHeight="1">
      <c r="A136" s="62"/>
      <c r="B136" s="62"/>
      <c r="C136" s="62"/>
      <c r="D136" s="62"/>
      <c r="E136" s="62"/>
      <c r="F136" s="62"/>
      <c r="G136" s="61"/>
      <c r="H136" s="62"/>
      <c r="I136" s="61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85"/>
      <c r="BN136" s="85"/>
      <c r="BO136" s="85"/>
      <c r="BP136" s="85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 spans="1:95" ht="19.5" customHeight="1">
      <c r="A137" s="62"/>
      <c r="B137" s="62"/>
      <c r="C137" s="62"/>
      <c r="D137" s="62"/>
      <c r="E137" s="62"/>
      <c r="F137" s="62"/>
      <c r="G137" s="61"/>
      <c r="H137" s="62"/>
      <c r="I137" s="61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85"/>
      <c r="BN137" s="85"/>
      <c r="BO137" s="85"/>
      <c r="BP137" s="85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 spans="1:95" ht="19.5" customHeight="1">
      <c r="A138" s="62"/>
      <c r="B138" s="62"/>
      <c r="C138" s="62"/>
      <c r="D138" s="62"/>
      <c r="E138" s="62"/>
      <c r="F138" s="62"/>
      <c r="G138" s="61"/>
      <c r="H138" s="62"/>
      <c r="I138" s="61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85"/>
      <c r="BN138" s="85"/>
      <c r="BO138" s="85"/>
      <c r="BP138" s="85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  <row r="139" spans="1:95" ht="19.5" customHeight="1">
      <c r="A139" s="62"/>
      <c r="B139" s="62"/>
      <c r="C139" s="62"/>
      <c r="D139" s="62"/>
      <c r="E139" s="62"/>
      <c r="F139" s="62"/>
      <c r="G139" s="61"/>
      <c r="H139" s="62"/>
      <c r="I139" s="61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85"/>
      <c r="BN139" s="85"/>
      <c r="BO139" s="85"/>
      <c r="BP139" s="85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</row>
    <row r="140" spans="1:95" ht="19.5" customHeight="1">
      <c r="A140" s="62"/>
      <c r="B140" s="62"/>
      <c r="C140" s="62"/>
      <c r="D140" s="62"/>
      <c r="E140" s="62"/>
      <c r="F140" s="62"/>
      <c r="G140" s="61"/>
      <c r="H140" s="62"/>
      <c r="I140" s="61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85"/>
      <c r="BN140" s="85"/>
      <c r="BO140" s="85"/>
      <c r="BP140" s="85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</row>
    <row r="141" spans="1:95" ht="19.5" customHeight="1">
      <c r="A141" s="62"/>
      <c r="B141" s="62"/>
      <c r="C141" s="62"/>
      <c r="D141" s="62"/>
      <c r="E141" s="62"/>
      <c r="F141" s="62"/>
      <c r="G141" s="61"/>
      <c r="H141" s="62"/>
      <c r="I141" s="61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85"/>
      <c r="BN141" s="85"/>
      <c r="BO141" s="85"/>
      <c r="BP141" s="85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</row>
    <row r="142" spans="1:95" ht="19.5" customHeight="1">
      <c r="A142" s="62"/>
      <c r="B142" s="62"/>
      <c r="C142" s="62"/>
      <c r="D142" s="62"/>
      <c r="E142" s="62"/>
      <c r="F142" s="62"/>
      <c r="G142" s="61"/>
      <c r="H142" s="62"/>
      <c r="I142" s="61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85"/>
      <c r="BN142" s="85"/>
      <c r="BO142" s="85"/>
      <c r="BP142" s="85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</row>
    <row r="143" spans="1:95" ht="19.5" customHeight="1">
      <c r="A143" s="62"/>
      <c r="B143" s="62"/>
      <c r="C143" s="62"/>
      <c r="D143" s="62"/>
      <c r="E143" s="62"/>
      <c r="F143" s="62"/>
      <c r="G143" s="61"/>
      <c r="H143" s="62"/>
      <c r="I143" s="61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85"/>
      <c r="BN143" s="85"/>
      <c r="BO143" s="85"/>
      <c r="BP143" s="85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</row>
    <row r="144" spans="1:95" ht="19.5" customHeight="1">
      <c r="A144" s="62"/>
      <c r="B144" s="62"/>
      <c r="C144" s="62"/>
      <c r="D144" s="62"/>
      <c r="E144" s="62"/>
      <c r="F144" s="62"/>
      <c r="G144" s="61"/>
      <c r="H144" s="62"/>
      <c r="I144" s="61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85"/>
      <c r="BN144" s="85"/>
      <c r="BO144" s="85"/>
      <c r="BP144" s="85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</row>
    <row r="145" spans="1:95" ht="19.5" customHeight="1">
      <c r="A145" s="62"/>
      <c r="B145" s="62"/>
      <c r="C145" s="62"/>
      <c r="D145" s="62"/>
      <c r="E145" s="62"/>
      <c r="F145" s="62"/>
      <c r="G145" s="61"/>
      <c r="H145" s="62"/>
      <c r="I145" s="61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85"/>
      <c r="BN145" s="85"/>
      <c r="BO145" s="85"/>
      <c r="BP145" s="85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</row>
    <row r="146" spans="1:95" ht="19.5" customHeight="1">
      <c r="A146" s="62"/>
      <c r="B146" s="62"/>
      <c r="C146" s="62"/>
      <c r="D146" s="62"/>
      <c r="E146" s="62"/>
      <c r="F146" s="62"/>
      <c r="G146" s="61"/>
      <c r="H146" s="62"/>
      <c r="I146" s="61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85"/>
      <c r="BN146" s="85"/>
      <c r="BO146" s="85"/>
      <c r="BP146" s="85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</row>
    <row r="147" spans="1:95" ht="19.5" customHeight="1">
      <c r="A147" s="62"/>
      <c r="B147" s="62"/>
      <c r="C147" s="62"/>
      <c r="D147" s="62"/>
      <c r="E147" s="62"/>
      <c r="F147" s="62"/>
      <c r="G147" s="61"/>
      <c r="H147" s="62"/>
      <c r="I147" s="61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85"/>
      <c r="BN147" s="85"/>
      <c r="BO147" s="85"/>
      <c r="BP147" s="85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</row>
    <row r="148" spans="1:95" ht="19.5" customHeight="1">
      <c r="A148" s="62"/>
      <c r="B148" s="62"/>
      <c r="C148" s="62"/>
      <c r="D148" s="62"/>
      <c r="E148" s="62"/>
      <c r="F148" s="62"/>
      <c r="G148" s="61"/>
      <c r="H148" s="62"/>
      <c r="I148" s="61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85"/>
      <c r="BN148" s="85"/>
      <c r="BO148" s="85"/>
      <c r="BP148" s="85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</row>
    <row r="149" spans="1:95" ht="19.5" customHeight="1">
      <c r="A149" s="62"/>
      <c r="B149" s="62"/>
      <c r="C149" s="62"/>
      <c r="D149" s="62"/>
      <c r="E149" s="62"/>
      <c r="F149" s="62"/>
      <c r="G149" s="61"/>
      <c r="H149" s="62"/>
      <c r="I149" s="61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85"/>
      <c r="BN149" s="85"/>
      <c r="BO149" s="85"/>
      <c r="BP149" s="85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</row>
    <row r="150" spans="1:95" ht="19.5" customHeight="1">
      <c r="A150" s="62"/>
      <c r="B150" s="62"/>
      <c r="C150" s="62"/>
      <c r="D150" s="62"/>
      <c r="E150" s="62"/>
      <c r="F150" s="62"/>
      <c r="G150" s="61"/>
      <c r="H150" s="62"/>
      <c r="I150" s="61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85"/>
      <c r="BN150" s="85"/>
      <c r="BO150" s="85"/>
      <c r="BP150" s="85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</row>
    <row r="151" spans="1:95" ht="19.5" customHeight="1">
      <c r="A151" s="62"/>
      <c r="B151" s="62"/>
      <c r="C151" s="62"/>
      <c r="D151" s="62"/>
      <c r="E151" s="62"/>
      <c r="F151" s="62"/>
      <c r="G151" s="61"/>
      <c r="H151" s="62"/>
      <c r="I151" s="61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85"/>
      <c r="BN151" s="85"/>
      <c r="BO151" s="85"/>
      <c r="BP151" s="85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</row>
    <row r="152" spans="1:95" ht="19.5" customHeight="1">
      <c r="A152" s="62"/>
      <c r="B152" s="62"/>
      <c r="C152" s="62"/>
      <c r="D152" s="62"/>
      <c r="E152" s="62"/>
      <c r="F152" s="62"/>
      <c r="G152" s="61"/>
      <c r="H152" s="62"/>
      <c r="I152" s="61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85"/>
      <c r="BN152" s="85"/>
      <c r="BO152" s="85"/>
      <c r="BP152" s="85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</row>
    <row r="153" spans="1:95" ht="19.5" customHeight="1">
      <c r="A153" s="62"/>
      <c r="B153" s="62"/>
      <c r="C153" s="62"/>
      <c r="D153" s="62"/>
      <c r="E153" s="62"/>
      <c r="F153" s="62"/>
      <c r="G153" s="61"/>
      <c r="H153" s="62"/>
      <c r="I153" s="61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85"/>
      <c r="BN153" s="85"/>
      <c r="BO153" s="85"/>
      <c r="BP153" s="85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</row>
    <row r="154" spans="1:95" ht="19.5" customHeight="1">
      <c r="A154" s="62"/>
      <c r="B154" s="62"/>
      <c r="C154" s="62"/>
      <c r="D154" s="62"/>
      <c r="E154" s="62"/>
      <c r="F154" s="62"/>
      <c r="G154" s="61"/>
      <c r="H154" s="62"/>
      <c r="I154" s="61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85"/>
      <c r="BN154" s="85"/>
      <c r="BO154" s="85"/>
      <c r="BP154" s="85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</row>
    <row r="155" spans="1:95" ht="19.5" customHeight="1">
      <c r="A155" s="62"/>
      <c r="B155" s="62"/>
      <c r="C155" s="62"/>
      <c r="D155" s="62"/>
      <c r="E155" s="62"/>
      <c r="F155" s="62"/>
      <c r="G155" s="61"/>
      <c r="H155" s="62"/>
      <c r="I155" s="61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85"/>
      <c r="BN155" s="85"/>
      <c r="BO155" s="85"/>
      <c r="BP155" s="85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</row>
    <row r="156" spans="1:95" ht="19.5" customHeight="1">
      <c r="A156" s="62"/>
      <c r="B156" s="62"/>
      <c r="C156" s="62"/>
      <c r="D156" s="62"/>
      <c r="E156" s="62"/>
      <c r="F156" s="62"/>
      <c r="G156" s="61"/>
      <c r="H156" s="62"/>
      <c r="I156" s="61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85"/>
      <c r="BN156" s="85"/>
      <c r="BO156" s="85"/>
      <c r="BP156" s="85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</row>
    <row r="157" spans="1:95" ht="19.5" customHeight="1">
      <c r="A157" s="62"/>
      <c r="B157" s="62"/>
      <c r="C157" s="62"/>
      <c r="D157" s="62"/>
      <c r="E157" s="62"/>
      <c r="F157" s="62"/>
      <c r="G157" s="61"/>
      <c r="H157" s="62"/>
      <c r="I157" s="61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85"/>
      <c r="BN157" s="85"/>
      <c r="BO157" s="85"/>
      <c r="BP157" s="85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</row>
    <row r="158" spans="1:95" ht="19.5" customHeight="1">
      <c r="A158" s="62"/>
      <c r="B158" s="62"/>
      <c r="C158" s="62"/>
      <c r="D158" s="62"/>
      <c r="E158" s="62"/>
      <c r="F158" s="62"/>
      <c r="G158" s="61"/>
      <c r="H158" s="62"/>
      <c r="I158" s="61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85"/>
      <c r="BN158" s="85"/>
      <c r="BO158" s="85"/>
      <c r="BP158" s="85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</row>
    <row r="159" spans="1:95" ht="19.5" customHeight="1">
      <c r="A159" s="62"/>
      <c r="B159" s="62"/>
      <c r="C159" s="62"/>
      <c r="D159" s="62"/>
      <c r="E159" s="62"/>
      <c r="F159" s="62"/>
      <c r="G159" s="61"/>
      <c r="H159" s="62"/>
      <c r="I159" s="61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85"/>
      <c r="BN159" s="85"/>
      <c r="BO159" s="85"/>
      <c r="BP159" s="85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</row>
    <row r="160" spans="1:95" ht="19.5" customHeight="1">
      <c r="A160" s="62"/>
      <c r="B160" s="62"/>
      <c r="C160" s="62"/>
      <c r="D160" s="62"/>
      <c r="E160" s="62"/>
      <c r="F160" s="62"/>
      <c r="G160" s="61"/>
      <c r="H160" s="62"/>
      <c r="I160" s="61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85"/>
      <c r="BN160" s="85"/>
      <c r="BO160" s="85"/>
      <c r="BP160" s="85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</row>
    <row r="161" spans="1:95" ht="19.5" customHeight="1">
      <c r="A161" s="62"/>
      <c r="B161" s="62"/>
      <c r="C161" s="62"/>
      <c r="D161" s="62"/>
      <c r="E161" s="62"/>
      <c r="F161" s="62"/>
      <c r="G161" s="61"/>
      <c r="H161" s="62"/>
      <c r="I161" s="61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85"/>
      <c r="BN161" s="85"/>
      <c r="BO161" s="85"/>
      <c r="BP161" s="85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</row>
    <row r="162" spans="1:95" ht="19.5" customHeight="1">
      <c r="A162" s="62"/>
      <c r="B162" s="62"/>
      <c r="C162" s="62"/>
      <c r="D162" s="62"/>
      <c r="E162" s="62"/>
      <c r="F162" s="62"/>
      <c r="G162" s="61"/>
      <c r="H162" s="62"/>
      <c r="I162" s="61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85"/>
      <c r="BN162" s="85"/>
      <c r="BO162" s="85"/>
      <c r="BP162" s="85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</row>
    <row r="163" spans="1:95" ht="19.5" customHeight="1">
      <c r="A163" s="62"/>
      <c r="B163" s="62"/>
      <c r="C163" s="62"/>
      <c r="D163" s="62"/>
      <c r="E163" s="62"/>
      <c r="F163" s="62"/>
      <c r="G163" s="61"/>
      <c r="H163" s="62"/>
      <c r="I163" s="61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85"/>
      <c r="BN163" s="85"/>
      <c r="BO163" s="85"/>
      <c r="BP163" s="85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</row>
    <row r="164" spans="1:95" ht="19.5" customHeight="1">
      <c r="A164" s="62"/>
      <c r="B164" s="62"/>
      <c r="C164" s="62"/>
      <c r="D164" s="62"/>
      <c r="E164" s="62"/>
      <c r="F164" s="62"/>
      <c r="G164" s="61"/>
      <c r="H164" s="62"/>
      <c r="I164" s="61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85"/>
      <c r="BN164" s="85"/>
      <c r="BO164" s="85"/>
      <c r="BP164" s="85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</row>
    <row r="165" spans="1:95" ht="19.5" customHeight="1">
      <c r="A165" s="62"/>
      <c r="B165" s="62"/>
      <c r="C165" s="62"/>
      <c r="D165" s="62"/>
      <c r="E165" s="62"/>
      <c r="F165" s="62"/>
      <c r="G165" s="61"/>
      <c r="H165" s="62"/>
      <c r="I165" s="61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85"/>
      <c r="BN165" s="85"/>
      <c r="BO165" s="85"/>
      <c r="BP165" s="85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</row>
    <row r="166" spans="1:95" ht="19.5" customHeight="1">
      <c r="A166" s="62"/>
      <c r="B166" s="62"/>
      <c r="C166" s="62"/>
      <c r="D166" s="62"/>
      <c r="E166" s="62"/>
      <c r="F166" s="62"/>
      <c r="G166" s="61"/>
      <c r="H166" s="62"/>
      <c r="I166" s="61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85"/>
      <c r="BN166" s="85"/>
      <c r="BO166" s="85"/>
      <c r="BP166" s="85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</row>
    <row r="167" spans="1:95" ht="19.5" customHeight="1">
      <c r="A167" s="62"/>
      <c r="B167" s="62"/>
      <c r="C167" s="62"/>
      <c r="D167" s="62"/>
      <c r="E167" s="62"/>
      <c r="F167" s="62"/>
      <c r="G167" s="61"/>
      <c r="H167" s="62"/>
      <c r="I167" s="61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85"/>
      <c r="BN167" s="85"/>
      <c r="BO167" s="85"/>
      <c r="BP167" s="85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</row>
    <row r="168" spans="1:95" ht="19.5" customHeight="1">
      <c r="A168" s="62"/>
      <c r="B168" s="62"/>
      <c r="C168" s="62"/>
      <c r="D168" s="62"/>
      <c r="E168" s="62"/>
      <c r="F168" s="62"/>
      <c r="G168" s="61"/>
      <c r="H168" s="62"/>
      <c r="I168" s="61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85"/>
      <c r="BN168" s="85"/>
      <c r="BO168" s="85"/>
      <c r="BP168" s="85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</row>
    <row r="169" spans="1:95" ht="19.5" customHeight="1">
      <c r="A169" s="62"/>
      <c r="B169" s="62"/>
      <c r="C169" s="62"/>
      <c r="D169" s="62"/>
      <c r="E169" s="62"/>
      <c r="F169" s="62"/>
      <c r="G169" s="61"/>
      <c r="H169" s="62"/>
      <c r="I169" s="61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85"/>
      <c r="BN169" s="85"/>
      <c r="BO169" s="85"/>
      <c r="BP169" s="85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</row>
    <row r="170" spans="1:95" ht="19.5" customHeight="1">
      <c r="A170" s="62"/>
      <c r="B170" s="62"/>
      <c r="C170" s="62"/>
      <c r="D170" s="62"/>
      <c r="E170" s="62"/>
      <c r="F170" s="62"/>
      <c r="G170" s="61"/>
      <c r="H170" s="62"/>
      <c r="I170" s="61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85"/>
      <c r="BN170" s="85"/>
      <c r="BO170" s="85"/>
      <c r="BP170" s="85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</row>
    <row r="171" spans="1:95" ht="19.5" customHeight="1">
      <c r="A171" s="62"/>
      <c r="B171" s="62"/>
      <c r="C171" s="62"/>
      <c r="D171" s="62"/>
      <c r="E171" s="62"/>
      <c r="F171" s="62"/>
      <c r="G171" s="61"/>
      <c r="H171" s="62"/>
      <c r="I171" s="61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85"/>
      <c r="BN171" s="85"/>
      <c r="BO171" s="85"/>
      <c r="BP171" s="85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</row>
    <row r="172" spans="1:95" ht="19.5" customHeight="1">
      <c r="A172" s="62"/>
      <c r="B172" s="62"/>
      <c r="C172" s="62"/>
      <c r="D172" s="62"/>
      <c r="E172" s="62"/>
      <c r="F172" s="62"/>
      <c r="G172" s="61"/>
      <c r="H172" s="62"/>
      <c r="I172" s="61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85"/>
      <c r="BN172" s="85"/>
      <c r="BO172" s="85"/>
      <c r="BP172" s="85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</row>
    <row r="173" spans="1:95" ht="19.5" customHeight="1">
      <c r="A173" s="62"/>
      <c r="B173" s="62"/>
      <c r="C173" s="62"/>
      <c r="D173" s="62"/>
      <c r="E173" s="62"/>
      <c r="F173" s="62"/>
      <c r="G173" s="61"/>
      <c r="H173" s="62"/>
      <c r="I173" s="61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85"/>
      <c r="BN173" s="85"/>
      <c r="BO173" s="85"/>
      <c r="BP173" s="85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</row>
    <row r="174" spans="1:95" ht="19.5" customHeight="1">
      <c r="A174" s="62"/>
      <c r="B174" s="62"/>
      <c r="C174" s="62"/>
      <c r="D174" s="62"/>
      <c r="E174" s="62"/>
      <c r="F174" s="62"/>
      <c r="G174" s="61"/>
      <c r="H174" s="62"/>
      <c r="I174" s="61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85"/>
      <c r="BN174" s="85"/>
      <c r="BO174" s="85"/>
      <c r="BP174" s="85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</row>
    <row r="175" spans="1:95" ht="19.5" customHeight="1">
      <c r="A175" s="62"/>
      <c r="B175" s="62"/>
      <c r="C175" s="62"/>
      <c r="D175" s="62"/>
      <c r="E175" s="62"/>
      <c r="F175" s="62"/>
      <c r="G175" s="61"/>
      <c r="H175" s="62"/>
      <c r="I175" s="61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85"/>
      <c r="BN175" s="85"/>
      <c r="BO175" s="85"/>
      <c r="BP175" s="85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</row>
    <row r="176" spans="1:95" ht="19.5" customHeight="1">
      <c r="A176" s="62"/>
      <c r="B176" s="62"/>
      <c r="C176" s="62"/>
      <c r="D176" s="62"/>
      <c r="E176" s="62"/>
      <c r="F176" s="62"/>
      <c r="G176" s="61"/>
      <c r="H176" s="62"/>
      <c r="I176" s="61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85"/>
      <c r="BN176" s="85"/>
      <c r="BO176" s="85"/>
      <c r="BP176" s="85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</row>
    <row r="177" spans="1:95" ht="19.5" customHeight="1">
      <c r="A177" s="62"/>
      <c r="B177" s="62"/>
      <c r="C177" s="62"/>
      <c r="D177" s="62"/>
      <c r="E177" s="62"/>
      <c r="F177" s="62"/>
      <c r="G177" s="61"/>
      <c r="H177" s="62"/>
      <c r="I177" s="61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85"/>
      <c r="BN177" s="85"/>
      <c r="BO177" s="85"/>
      <c r="BP177" s="85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</row>
    <row r="178" spans="1:95" ht="19.5" customHeight="1">
      <c r="A178" s="62"/>
      <c r="B178" s="62"/>
      <c r="C178" s="62"/>
      <c r="D178" s="62"/>
      <c r="E178" s="62"/>
      <c r="F178" s="62"/>
      <c r="G178" s="61"/>
      <c r="H178" s="62"/>
      <c r="I178" s="61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85"/>
      <c r="BN178" s="85"/>
      <c r="BO178" s="85"/>
      <c r="BP178" s="85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</row>
    <row r="179" spans="1:95" ht="19.5" customHeight="1">
      <c r="A179" s="62"/>
      <c r="B179" s="62"/>
      <c r="C179" s="62"/>
      <c r="D179" s="62"/>
      <c r="E179" s="62"/>
      <c r="F179" s="62"/>
      <c r="G179" s="61"/>
      <c r="H179" s="62"/>
      <c r="I179" s="61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85"/>
      <c r="BN179" s="85"/>
      <c r="BO179" s="85"/>
      <c r="BP179" s="85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</row>
    <row r="180" spans="1:95" ht="19.5" customHeight="1">
      <c r="A180" s="62"/>
      <c r="B180" s="62"/>
      <c r="C180" s="62"/>
      <c r="D180" s="62"/>
      <c r="E180" s="62"/>
      <c r="F180" s="62"/>
      <c r="G180" s="61"/>
      <c r="H180" s="62"/>
      <c r="I180" s="61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85"/>
      <c r="BN180" s="85"/>
      <c r="BO180" s="85"/>
      <c r="BP180" s="85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</row>
    <row r="181" spans="1:95" ht="19.5" customHeight="1">
      <c r="A181" s="62"/>
      <c r="B181" s="62"/>
      <c r="C181" s="62"/>
      <c r="D181" s="62"/>
      <c r="E181" s="62"/>
      <c r="F181" s="62"/>
      <c r="G181" s="61"/>
      <c r="H181" s="62"/>
      <c r="I181" s="61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85"/>
      <c r="BN181" s="85"/>
      <c r="BO181" s="85"/>
      <c r="BP181" s="85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</row>
    <row r="182" spans="1:95" ht="19.5" customHeight="1">
      <c r="A182" s="62"/>
      <c r="B182" s="62"/>
      <c r="C182" s="62"/>
      <c r="D182" s="62"/>
      <c r="E182" s="62"/>
      <c r="F182" s="62"/>
      <c r="G182" s="61"/>
      <c r="H182" s="62"/>
      <c r="I182" s="61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85"/>
      <c r="BN182" s="85"/>
      <c r="BO182" s="85"/>
      <c r="BP182" s="85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</row>
    <row r="183" spans="1:95" ht="19.5" customHeight="1">
      <c r="A183" s="62"/>
      <c r="B183" s="62"/>
      <c r="C183" s="62"/>
      <c r="D183" s="62"/>
      <c r="E183" s="62"/>
      <c r="F183" s="62"/>
      <c r="G183" s="61"/>
      <c r="H183" s="62"/>
      <c r="I183" s="61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85"/>
      <c r="BN183" s="85"/>
      <c r="BO183" s="85"/>
      <c r="BP183" s="85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</row>
    <row r="184" spans="1:95" ht="19.5" customHeight="1">
      <c r="A184" s="62"/>
      <c r="B184" s="62"/>
      <c r="C184" s="62"/>
      <c r="D184" s="62"/>
      <c r="E184" s="62"/>
      <c r="F184" s="62"/>
      <c r="G184" s="61"/>
      <c r="H184" s="62"/>
      <c r="I184" s="61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85"/>
      <c r="BN184" s="85"/>
      <c r="BO184" s="85"/>
      <c r="BP184" s="85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</row>
    <row r="185" spans="1:95" ht="19.5" customHeight="1">
      <c r="A185" s="62"/>
      <c r="B185" s="62"/>
      <c r="C185" s="62"/>
      <c r="D185" s="62"/>
      <c r="E185" s="62"/>
      <c r="F185" s="62"/>
      <c r="G185" s="61"/>
      <c r="H185" s="62"/>
      <c r="I185" s="61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85"/>
      <c r="BN185" s="85"/>
      <c r="BO185" s="85"/>
      <c r="BP185" s="85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</row>
    <row r="186" spans="1:95" ht="19.5" customHeight="1">
      <c r="A186" s="62"/>
      <c r="B186" s="62"/>
      <c r="C186" s="62"/>
      <c r="D186" s="62"/>
      <c r="E186" s="62"/>
      <c r="F186" s="62"/>
      <c r="G186" s="61"/>
      <c r="H186" s="62"/>
      <c r="I186" s="61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85"/>
      <c r="BN186" s="85"/>
      <c r="BO186" s="85"/>
      <c r="BP186" s="85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</row>
    <row r="187" spans="1:95" ht="19.5" customHeight="1">
      <c r="A187" s="62"/>
      <c r="B187" s="62"/>
      <c r="C187" s="62"/>
      <c r="D187" s="62"/>
      <c r="E187" s="62"/>
      <c r="F187" s="62"/>
      <c r="G187" s="61"/>
      <c r="H187" s="62"/>
      <c r="I187" s="61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85"/>
      <c r="BN187" s="85"/>
      <c r="BO187" s="85"/>
      <c r="BP187" s="85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</row>
    <row r="188" spans="1:95" ht="19.5" customHeight="1">
      <c r="A188" s="62"/>
      <c r="B188" s="62"/>
      <c r="C188" s="62"/>
      <c r="D188" s="62"/>
      <c r="E188" s="62"/>
      <c r="F188" s="62"/>
      <c r="G188" s="61"/>
      <c r="H188" s="62"/>
      <c r="I188" s="61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85"/>
      <c r="BN188" s="85"/>
      <c r="BO188" s="85"/>
      <c r="BP188" s="85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</row>
    <row r="189" spans="1:95" ht="19.5" customHeight="1">
      <c r="A189" s="62"/>
      <c r="B189" s="62"/>
      <c r="C189" s="62"/>
      <c r="D189" s="62"/>
      <c r="E189" s="62"/>
      <c r="F189" s="62"/>
      <c r="G189" s="61"/>
      <c r="H189" s="62"/>
      <c r="I189" s="61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85"/>
      <c r="BN189" s="85"/>
      <c r="BO189" s="85"/>
      <c r="BP189" s="85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</row>
    <row r="190" spans="1:95" ht="19.5" customHeight="1">
      <c r="A190" s="62"/>
      <c r="B190" s="62"/>
      <c r="C190" s="62"/>
      <c r="D190" s="62"/>
      <c r="E190" s="62"/>
      <c r="F190" s="62"/>
      <c r="G190" s="61"/>
      <c r="H190" s="62"/>
      <c r="I190" s="61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85"/>
      <c r="BN190" s="85"/>
      <c r="BO190" s="85"/>
      <c r="BP190" s="85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</row>
    <row r="191" spans="1:95" ht="19.5" customHeight="1">
      <c r="A191" s="62"/>
      <c r="B191" s="62"/>
      <c r="C191" s="62"/>
      <c r="D191" s="62"/>
      <c r="E191" s="62"/>
      <c r="F191" s="62"/>
      <c r="G191" s="61"/>
      <c r="H191" s="62"/>
      <c r="I191" s="61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85"/>
      <c r="BN191" s="85"/>
      <c r="BO191" s="85"/>
      <c r="BP191" s="85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</row>
    <row r="192" spans="1:95" ht="19.5" customHeight="1">
      <c r="A192" s="62"/>
      <c r="B192" s="62"/>
      <c r="C192" s="62"/>
      <c r="D192" s="62"/>
      <c r="E192" s="62"/>
      <c r="F192" s="62"/>
      <c r="G192" s="61"/>
      <c r="H192" s="62"/>
      <c r="I192" s="61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85"/>
      <c r="BN192" s="85"/>
      <c r="BO192" s="85"/>
      <c r="BP192" s="85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</row>
    <row r="193" spans="1:95" ht="19.5" customHeight="1">
      <c r="A193" s="62"/>
      <c r="B193" s="62"/>
      <c r="C193" s="62"/>
      <c r="D193" s="62"/>
      <c r="E193" s="62"/>
      <c r="F193" s="62"/>
      <c r="G193" s="61"/>
      <c r="H193" s="62"/>
      <c r="I193" s="61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85"/>
      <c r="BN193" s="85"/>
      <c r="BO193" s="85"/>
      <c r="BP193" s="85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</row>
    <row r="194" spans="1:95" ht="19.5" customHeight="1">
      <c r="A194" s="62"/>
      <c r="B194" s="62"/>
      <c r="C194" s="62"/>
      <c r="D194" s="62"/>
      <c r="E194" s="62"/>
      <c r="F194" s="62"/>
      <c r="G194" s="61"/>
      <c r="H194" s="62"/>
      <c r="I194" s="61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85"/>
      <c r="BN194" s="85"/>
      <c r="BO194" s="85"/>
      <c r="BP194" s="85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</row>
    <row r="195" spans="1:95" ht="19.5" customHeight="1">
      <c r="A195" s="62"/>
      <c r="B195" s="62"/>
      <c r="C195" s="62"/>
      <c r="D195" s="62"/>
      <c r="E195" s="62"/>
      <c r="F195" s="62"/>
      <c r="G195" s="61"/>
      <c r="H195" s="62"/>
      <c r="I195" s="61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85"/>
      <c r="BN195" s="85"/>
      <c r="BO195" s="85"/>
      <c r="BP195" s="85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</row>
    <row r="196" spans="1:95" ht="19.5" customHeight="1">
      <c r="A196" s="62"/>
      <c r="B196" s="62"/>
      <c r="C196" s="62"/>
      <c r="D196" s="62"/>
      <c r="E196" s="62"/>
      <c r="F196" s="62"/>
      <c r="G196" s="61"/>
      <c r="H196" s="62"/>
      <c r="I196" s="61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85"/>
      <c r="BN196" s="85"/>
      <c r="BO196" s="85"/>
      <c r="BP196" s="85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</row>
    <row r="197" spans="1:95" ht="19.5" customHeight="1">
      <c r="A197" s="62"/>
      <c r="B197" s="62"/>
      <c r="C197" s="62"/>
      <c r="D197" s="62"/>
      <c r="E197" s="62"/>
      <c r="F197" s="62"/>
      <c r="G197" s="61"/>
      <c r="H197" s="62"/>
      <c r="I197" s="61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85"/>
      <c r="BN197" s="85"/>
      <c r="BO197" s="85"/>
      <c r="BP197" s="85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</row>
    <row r="198" spans="1:95" ht="19.5" customHeight="1">
      <c r="A198" s="62"/>
      <c r="B198" s="62"/>
      <c r="C198" s="62"/>
      <c r="D198" s="62"/>
      <c r="E198" s="62"/>
      <c r="F198" s="62"/>
      <c r="G198" s="61"/>
      <c r="H198" s="62"/>
      <c r="I198" s="61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85"/>
      <c r="BN198" s="85"/>
      <c r="BO198" s="85"/>
      <c r="BP198" s="85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</row>
    <row r="199" spans="1:95" ht="19.5" customHeight="1">
      <c r="A199" s="62"/>
      <c r="B199" s="62"/>
      <c r="C199" s="62"/>
      <c r="D199" s="62"/>
      <c r="E199" s="62"/>
      <c r="F199" s="62"/>
      <c r="G199" s="61"/>
      <c r="H199" s="62"/>
      <c r="I199" s="61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85"/>
      <c r="BN199" s="85"/>
      <c r="BO199" s="85"/>
      <c r="BP199" s="85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</row>
    <row r="200" spans="1:95" ht="19.5" customHeight="1">
      <c r="A200" s="62"/>
      <c r="B200" s="62"/>
      <c r="C200" s="62"/>
      <c r="D200" s="62"/>
      <c r="E200" s="62"/>
      <c r="F200" s="62"/>
      <c r="G200" s="61"/>
      <c r="H200" s="62"/>
      <c r="I200" s="61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85"/>
      <c r="BN200" s="85"/>
      <c r="BO200" s="85"/>
      <c r="BP200" s="85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</row>
    <row r="201" spans="1:95" ht="19.5" customHeight="1">
      <c r="A201" s="62"/>
      <c r="B201" s="62"/>
      <c r="C201" s="62"/>
      <c r="D201" s="62"/>
      <c r="E201" s="62"/>
      <c r="F201" s="62"/>
      <c r="G201" s="61"/>
      <c r="H201" s="62"/>
      <c r="I201" s="61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85"/>
      <c r="BN201" s="85"/>
      <c r="BO201" s="85"/>
      <c r="BP201" s="85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</row>
    <row r="202" spans="1:95" ht="19.5" customHeight="1">
      <c r="A202" s="62"/>
      <c r="B202" s="62"/>
      <c r="C202" s="62"/>
      <c r="D202" s="62"/>
      <c r="E202" s="62"/>
      <c r="F202" s="62"/>
      <c r="G202" s="61"/>
      <c r="H202" s="62"/>
      <c r="I202" s="61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85"/>
      <c r="BN202" s="85"/>
      <c r="BO202" s="85"/>
      <c r="BP202" s="85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</row>
    <row r="203" spans="1:95" ht="19.5" customHeight="1">
      <c r="A203" s="62"/>
      <c r="B203" s="62"/>
      <c r="C203" s="62"/>
      <c r="D203" s="62"/>
      <c r="E203" s="62"/>
      <c r="F203" s="62"/>
      <c r="G203" s="61"/>
      <c r="H203" s="62"/>
      <c r="I203" s="61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85"/>
      <c r="BN203" s="85"/>
      <c r="BO203" s="85"/>
      <c r="BP203" s="85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</row>
    <row r="204" spans="1:95" ht="19.5" customHeight="1">
      <c r="A204" s="62"/>
      <c r="B204" s="62"/>
      <c r="C204" s="62"/>
      <c r="D204" s="62"/>
      <c r="E204" s="62"/>
      <c r="F204" s="62"/>
      <c r="G204" s="61"/>
      <c r="H204" s="62"/>
      <c r="I204" s="61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85"/>
      <c r="BN204" s="85"/>
      <c r="BO204" s="85"/>
      <c r="BP204" s="85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</row>
    <row r="205" spans="1:95" ht="19.5" customHeight="1">
      <c r="A205" s="62"/>
      <c r="B205" s="62"/>
      <c r="C205" s="62"/>
      <c r="D205" s="62"/>
      <c r="E205" s="62"/>
      <c r="F205" s="62"/>
      <c r="G205" s="61"/>
      <c r="H205" s="62"/>
      <c r="I205" s="61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85"/>
      <c r="BN205" s="85"/>
      <c r="BO205" s="85"/>
      <c r="BP205" s="85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</row>
    <row r="206" spans="1:95" ht="19.5" customHeight="1">
      <c r="A206" s="62"/>
      <c r="B206" s="62"/>
      <c r="C206" s="62"/>
      <c r="D206" s="62"/>
      <c r="E206" s="62"/>
      <c r="F206" s="62"/>
      <c r="G206" s="61"/>
      <c r="H206" s="62"/>
      <c r="I206" s="61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85"/>
      <c r="BN206" s="85"/>
      <c r="BO206" s="85"/>
      <c r="BP206" s="85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</row>
    <row r="207" spans="1:95" ht="19.5" customHeight="1">
      <c r="A207" s="62"/>
      <c r="B207" s="62"/>
      <c r="C207" s="62"/>
      <c r="D207" s="62"/>
      <c r="E207" s="62"/>
      <c r="F207" s="62"/>
      <c r="G207" s="61"/>
      <c r="H207" s="62"/>
      <c r="I207" s="61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85"/>
      <c r="BN207" s="85"/>
      <c r="BO207" s="85"/>
      <c r="BP207" s="85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</row>
    <row r="208" spans="1:95" ht="19.5" customHeight="1">
      <c r="A208" s="62"/>
      <c r="B208" s="62"/>
      <c r="C208" s="62"/>
      <c r="D208" s="62"/>
      <c r="E208" s="62"/>
      <c r="F208" s="62"/>
      <c r="G208" s="61"/>
      <c r="H208" s="62"/>
      <c r="I208" s="61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85"/>
      <c r="BN208" s="85"/>
      <c r="BO208" s="85"/>
      <c r="BP208" s="85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</row>
    <row r="209" spans="1:95" ht="19.5" customHeight="1">
      <c r="A209" s="62"/>
      <c r="B209" s="62"/>
      <c r="C209" s="62"/>
      <c r="D209" s="62"/>
      <c r="E209" s="62"/>
      <c r="F209" s="62"/>
      <c r="G209" s="61"/>
      <c r="H209" s="62"/>
      <c r="I209" s="61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85"/>
      <c r="BN209" s="85"/>
      <c r="BO209" s="85"/>
      <c r="BP209" s="85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</row>
    <row r="210" spans="1:95" ht="19.5" customHeight="1">
      <c r="A210" s="62"/>
      <c r="B210" s="62"/>
      <c r="C210" s="62"/>
      <c r="D210" s="62"/>
      <c r="E210" s="62"/>
      <c r="F210" s="62"/>
      <c r="G210" s="61"/>
      <c r="H210" s="62"/>
      <c r="I210" s="61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85"/>
      <c r="BN210" s="85"/>
      <c r="BO210" s="85"/>
      <c r="BP210" s="85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</row>
    <row r="211" spans="1:95" ht="19.5" customHeight="1">
      <c r="A211" s="62"/>
      <c r="B211" s="62"/>
      <c r="C211" s="62"/>
      <c r="D211" s="62"/>
      <c r="E211" s="62"/>
      <c r="F211" s="62"/>
      <c r="G211" s="61"/>
      <c r="H211" s="62"/>
      <c r="I211" s="61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85"/>
      <c r="BN211" s="85"/>
      <c r="BO211" s="85"/>
      <c r="BP211" s="85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</row>
    <row r="212" spans="1:95" ht="19.5" customHeight="1">
      <c r="A212" s="62"/>
      <c r="B212" s="62"/>
      <c r="C212" s="62"/>
      <c r="D212" s="62"/>
      <c r="E212" s="62"/>
      <c r="F212" s="62"/>
      <c r="G212" s="61"/>
      <c r="H212" s="62"/>
      <c r="I212" s="61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85"/>
      <c r="BN212" s="85"/>
      <c r="BO212" s="85"/>
      <c r="BP212" s="85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</row>
    <row r="213" spans="1:95" ht="19.5" customHeight="1">
      <c r="A213" s="62"/>
      <c r="B213" s="62"/>
      <c r="C213" s="62"/>
      <c r="D213" s="62"/>
      <c r="E213" s="62"/>
      <c r="F213" s="62"/>
      <c r="G213" s="61"/>
      <c r="H213" s="62"/>
      <c r="I213" s="61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85"/>
      <c r="BN213" s="85"/>
      <c r="BO213" s="85"/>
      <c r="BP213" s="85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</row>
    <row r="214" spans="1:95" ht="19.5" customHeight="1">
      <c r="A214" s="62"/>
      <c r="B214" s="62"/>
      <c r="C214" s="62"/>
      <c r="D214" s="62"/>
      <c r="E214" s="62"/>
      <c r="F214" s="62"/>
      <c r="G214" s="61"/>
      <c r="H214" s="62"/>
      <c r="I214" s="61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85"/>
      <c r="BN214" s="85"/>
      <c r="BO214" s="85"/>
      <c r="BP214" s="85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</row>
    <row r="215" spans="1:95" ht="19.5" customHeight="1">
      <c r="A215" s="62"/>
      <c r="B215" s="62"/>
      <c r="C215" s="62"/>
      <c r="D215" s="62"/>
      <c r="E215" s="62"/>
      <c r="F215" s="62"/>
      <c r="G215" s="61"/>
      <c r="H215" s="62"/>
      <c r="I215" s="61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85"/>
      <c r="BN215" s="85"/>
      <c r="BO215" s="85"/>
      <c r="BP215" s="85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</row>
    <row r="216" spans="1:95" ht="19.5" customHeight="1">
      <c r="A216" s="62"/>
      <c r="B216" s="62"/>
      <c r="C216" s="62"/>
      <c r="D216" s="62"/>
      <c r="E216" s="62"/>
      <c r="F216" s="62"/>
      <c r="G216" s="61"/>
      <c r="H216" s="62"/>
      <c r="I216" s="61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85"/>
      <c r="BN216" s="85"/>
      <c r="BO216" s="85"/>
      <c r="BP216" s="85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</row>
    <row r="217" spans="1:95" ht="19.5" customHeight="1">
      <c r="A217" s="62"/>
      <c r="B217" s="62"/>
      <c r="C217" s="62"/>
      <c r="D217" s="62"/>
      <c r="E217" s="62"/>
      <c r="F217" s="62"/>
      <c r="G217" s="61"/>
      <c r="H217" s="62"/>
      <c r="I217" s="61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85"/>
      <c r="BN217" s="85"/>
      <c r="BO217" s="85"/>
      <c r="BP217" s="85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</row>
    <row r="218" spans="1:95" ht="19.5" customHeight="1">
      <c r="A218" s="62"/>
      <c r="B218" s="62"/>
      <c r="C218" s="62"/>
      <c r="D218" s="62"/>
      <c r="E218" s="62"/>
      <c r="F218" s="62"/>
      <c r="G218" s="61"/>
      <c r="H218" s="62"/>
      <c r="I218" s="61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85"/>
      <c r="BN218" s="85"/>
      <c r="BO218" s="85"/>
      <c r="BP218" s="85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</row>
    <row r="219" spans="1:95" ht="19.5" customHeight="1">
      <c r="A219" s="62"/>
      <c r="B219" s="62"/>
      <c r="C219" s="62"/>
      <c r="D219" s="62"/>
      <c r="E219" s="62"/>
      <c r="F219" s="62"/>
      <c r="G219" s="61"/>
      <c r="H219" s="62"/>
      <c r="I219" s="61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85"/>
      <c r="BN219" s="85"/>
      <c r="BO219" s="85"/>
      <c r="BP219" s="85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</row>
    <row r="220" spans="1:95" ht="19.5" customHeight="1">
      <c r="A220" s="62"/>
      <c r="B220" s="62"/>
      <c r="C220" s="62"/>
      <c r="D220" s="62"/>
      <c r="E220" s="62"/>
      <c r="F220" s="62"/>
      <c r="G220" s="61"/>
      <c r="H220" s="62"/>
      <c r="I220" s="61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85"/>
      <c r="BN220" s="85"/>
      <c r="BO220" s="85"/>
      <c r="BP220" s="85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</row>
    <row r="221" spans="1:95" ht="19.5" customHeight="1">
      <c r="A221" s="62"/>
      <c r="B221" s="62"/>
      <c r="C221" s="62"/>
      <c r="D221" s="62"/>
      <c r="E221" s="62"/>
      <c r="F221" s="62"/>
      <c r="G221" s="61"/>
      <c r="H221" s="62"/>
      <c r="I221" s="61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85"/>
      <c r="BN221" s="85"/>
      <c r="BO221" s="85"/>
      <c r="BP221" s="85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</row>
    <row r="222" spans="1:95" ht="19.5" customHeight="1">
      <c r="A222" s="62"/>
      <c r="B222" s="62"/>
      <c r="C222" s="62"/>
      <c r="D222" s="62"/>
      <c r="E222" s="62"/>
      <c r="F222" s="62"/>
      <c r="G222" s="61"/>
      <c r="H222" s="62"/>
      <c r="I222" s="61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85"/>
      <c r="BN222" s="85"/>
      <c r="BO222" s="85"/>
      <c r="BP222" s="85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</row>
    <row r="223" spans="1:95" ht="19.5" customHeight="1">
      <c r="A223" s="62"/>
      <c r="B223" s="62"/>
      <c r="C223" s="62"/>
      <c r="D223" s="62"/>
      <c r="E223" s="62"/>
      <c r="F223" s="62"/>
      <c r="G223" s="61"/>
      <c r="H223" s="62"/>
      <c r="I223" s="61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85"/>
      <c r="BN223" s="85"/>
      <c r="BO223" s="85"/>
      <c r="BP223" s="85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</row>
    <row r="224" spans="1:95" ht="19.5" customHeight="1">
      <c r="A224" s="62"/>
      <c r="B224" s="62"/>
      <c r="C224" s="62"/>
      <c r="D224" s="62"/>
      <c r="E224" s="62"/>
      <c r="F224" s="62"/>
      <c r="G224" s="61"/>
      <c r="H224" s="62"/>
      <c r="I224" s="61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85"/>
      <c r="BN224" s="85"/>
      <c r="BO224" s="85"/>
      <c r="BP224" s="85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</row>
    <row r="225" spans="1:95" ht="19.5" customHeight="1">
      <c r="A225" s="62"/>
      <c r="B225" s="62"/>
      <c r="C225" s="62"/>
      <c r="D225" s="62"/>
      <c r="E225" s="62"/>
      <c r="F225" s="62"/>
      <c r="G225" s="61"/>
      <c r="H225" s="62"/>
      <c r="I225" s="61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85"/>
      <c r="BN225" s="85"/>
      <c r="BO225" s="85"/>
      <c r="BP225" s="85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</row>
    <row r="226" spans="1:95" ht="19.5" customHeight="1">
      <c r="A226" s="62"/>
      <c r="B226" s="62"/>
      <c r="C226" s="62"/>
      <c r="D226" s="62"/>
      <c r="E226" s="62"/>
      <c r="F226" s="62"/>
      <c r="G226" s="61"/>
      <c r="H226" s="62"/>
      <c r="I226" s="61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85"/>
      <c r="BN226" s="85"/>
      <c r="BO226" s="85"/>
      <c r="BP226" s="85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</row>
    <row r="227" spans="1:95" ht="19.5" customHeight="1">
      <c r="A227" s="62"/>
      <c r="B227" s="62"/>
      <c r="C227" s="62"/>
      <c r="D227" s="62"/>
      <c r="E227" s="62"/>
      <c r="F227" s="62"/>
      <c r="G227" s="61"/>
      <c r="H227" s="62"/>
      <c r="I227" s="61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85"/>
      <c r="BN227" s="85"/>
      <c r="BO227" s="85"/>
      <c r="BP227" s="85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</row>
    <row r="228" spans="1:95" ht="19.5" customHeight="1">
      <c r="A228" s="62"/>
      <c r="B228" s="62"/>
      <c r="C228" s="62"/>
      <c r="D228" s="62"/>
      <c r="E228" s="62"/>
      <c r="F228" s="62"/>
      <c r="G228" s="61"/>
      <c r="H228" s="62"/>
      <c r="I228" s="61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85"/>
      <c r="BN228" s="85"/>
      <c r="BO228" s="85"/>
      <c r="BP228" s="85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</row>
    <row r="229" spans="1:95" ht="19.5" customHeight="1">
      <c r="A229" s="62"/>
      <c r="B229" s="62"/>
      <c r="C229" s="62"/>
      <c r="D229" s="62"/>
      <c r="E229" s="62"/>
      <c r="F229" s="62"/>
      <c r="G229" s="61"/>
      <c r="H229" s="62"/>
      <c r="I229" s="61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85"/>
      <c r="BN229" s="85"/>
      <c r="BO229" s="85"/>
      <c r="BP229" s="85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</row>
    <row r="230" spans="1:95" ht="19.5" customHeight="1">
      <c r="A230" s="62"/>
      <c r="B230" s="62"/>
      <c r="C230" s="62"/>
      <c r="D230" s="62"/>
      <c r="E230" s="62"/>
      <c r="F230" s="62"/>
      <c r="G230" s="61"/>
      <c r="H230" s="62"/>
      <c r="I230" s="61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85"/>
      <c r="BN230" s="85"/>
      <c r="BO230" s="85"/>
      <c r="BP230" s="85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</row>
    <row r="231" spans="1:95" ht="19.5" customHeight="1">
      <c r="A231" s="62"/>
      <c r="B231" s="62"/>
      <c r="C231" s="62"/>
      <c r="D231" s="62"/>
      <c r="E231" s="62"/>
      <c r="F231" s="62"/>
      <c r="G231" s="61"/>
      <c r="H231" s="62"/>
      <c r="I231" s="61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85"/>
      <c r="BN231" s="85"/>
      <c r="BO231" s="85"/>
      <c r="BP231" s="85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</row>
    <row r="232" spans="1:95" ht="19.5" customHeight="1">
      <c r="A232" s="62"/>
      <c r="B232" s="62"/>
      <c r="C232" s="62"/>
      <c r="D232" s="62"/>
      <c r="E232" s="62"/>
      <c r="F232" s="62"/>
      <c r="G232" s="61"/>
      <c r="H232" s="62"/>
      <c r="I232" s="61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85"/>
      <c r="BN232" s="85"/>
      <c r="BO232" s="85"/>
      <c r="BP232" s="85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</row>
    <row r="233" spans="1:95" ht="19.5" customHeight="1">
      <c r="A233" s="62"/>
      <c r="B233" s="62"/>
      <c r="C233" s="62"/>
      <c r="D233" s="62"/>
      <c r="E233" s="62"/>
      <c r="F233" s="62"/>
      <c r="G233" s="61"/>
      <c r="H233" s="62"/>
      <c r="I233" s="61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85"/>
      <c r="BN233" s="85"/>
      <c r="BO233" s="85"/>
      <c r="BP233" s="85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</row>
    <row r="234" spans="1:95" ht="19.5" customHeight="1">
      <c r="A234" s="62"/>
      <c r="B234" s="62"/>
      <c r="C234" s="62"/>
      <c r="D234" s="62"/>
      <c r="E234" s="62"/>
      <c r="F234" s="62"/>
      <c r="G234" s="61"/>
      <c r="H234" s="62"/>
      <c r="I234" s="61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85"/>
      <c r="BN234" s="85"/>
      <c r="BO234" s="85"/>
      <c r="BP234" s="85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</row>
    <row r="235" spans="1:95" ht="19.5" customHeight="1">
      <c r="A235" s="62"/>
      <c r="B235" s="62"/>
      <c r="C235" s="62"/>
      <c r="D235" s="62"/>
      <c r="E235" s="62"/>
      <c r="F235" s="62"/>
      <c r="G235" s="61"/>
      <c r="H235" s="62"/>
      <c r="I235" s="61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85"/>
      <c r="BN235" s="85"/>
      <c r="BO235" s="85"/>
      <c r="BP235" s="85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</row>
    <row r="236" spans="1:95" ht="19.5" customHeight="1">
      <c r="A236" s="62"/>
      <c r="B236" s="62"/>
      <c r="C236" s="62"/>
      <c r="D236" s="62"/>
      <c r="E236" s="62"/>
      <c r="F236" s="62"/>
      <c r="G236" s="61"/>
      <c r="H236" s="62"/>
      <c r="I236" s="61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85"/>
      <c r="BN236" s="85"/>
      <c r="BO236" s="85"/>
      <c r="BP236" s="85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</row>
    <row r="237" spans="1:95" ht="19.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85"/>
      <c r="BN237" s="85"/>
      <c r="BO237" s="85"/>
      <c r="BP237" s="85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</row>
    <row r="238" spans="1:95" ht="19.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85"/>
      <c r="BN238" s="85"/>
      <c r="BO238" s="85"/>
      <c r="BP238" s="85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</row>
    <row r="239" spans="1:95" ht="19.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85"/>
      <c r="BN239" s="85"/>
      <c r="BO239" s="85"/>
      <c r="BP239" s="85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</row>
    <row r="240" spans="1:95" ht="19.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85"/>
      <c r="BN240" s="85"/>
      <c r="BO240" s="85"/>
      <c r="BP240" s="85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</row>
    <row r="241" spans="1:95" ht="19.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85"/>
      <c r="BN241" s="85"/>
      <c r="BO241" s="85"/>
      <c r="BP241" s="85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</row>
    <row r="242" spans="1:95" ht="19.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85"/>
      <c r="BN242" s="85"/>
      <c r="BO242" s="85"/>
      <c r="BP242" s="85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</row>
    <row r="243" spans="1:95" ht="19.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85"/>
      <c r="BN243" s="85"/>
      <c r="BO243" s="85"/>
      <c r="BP243" s="85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</row>
    <row r="244" spans="1:95" ht="19.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85"/>
      <c r="BN244" s="85"/>
      <c r="BO244" s="85"/>
      <c r="BP244" s="85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</row>
    <row r="245" spans="1:95" ht="19.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85"/>
      <c r="BN245" s="85"/>
      <c r="BO245" s="85"/>
      <c r="BP245" s="85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</row>
    <row r="246" spans="1:95" ht="19.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85"/>
      <c r="BN246" s="85"/>
      <c r="BO246" s="85"/>
      <c r="BP246" s="85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</row>
    <row r="247" spans="1:95" ht="19.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85"/>
      <c r="BN247" s="85"/>
      <c r="BO247" s="85"/>
      <c r="BP247" s="85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</row>
    <row r="248" spans="1:95" ht="19.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85"/>
      <c r="BN248" s="85"/>
      <c r="BO248" s="85"/>
      <c r="BP248" s="85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</row>
    <row r="249" spans="1:95" ht="15.75" customHeight="1"/>
    <row r="250" spans="1:95" ht="15.75" customHeight="1"/>
    <row r="251" spans="1:95" ht="15.75" customHeight="1"/>
    <row r="252" spans="1:95" ht="15.75" customHeight="1"/>
    <row r="253" spans="1:95" ht="15.75" customHeight="1"/>
    <row r="254" spans="1:95" ht="15.75" customHeight="1"/>
    <row r="255" spans="1:95" ht="15.75" customHeight="1"/>
    <row r="256" spans="1:9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8">
    <mergeCell ref="AD6:AI6"/>
    <mergeCell ref="F6:I6"/>
    <mergeCell ref="AK6:AP6"/>
    <mergeCell ref="A6:D6"/>
    <mergeCell ref="AA8:AA12"/>
    <mergeCell ref="AB8:AB11"/>
    <mergeCell ref="R6:W6"/>
    <mergeCell ref="Y6:AB6"/>
    <mergeCell ref="S8:S11"/>
    <mergeCell ref="T8:T12"/>
    <mergeCell ref="U8:U11"/>
    <mergeCell ref="V8:V12"/>
    <mergeCell ref="W8:W11"/>
    <mergeCell ref="C10:D10"/>
    <mergeCell ref="A11:A12"/>
    <mergeCell ref="B11:D12"/>
    <mergeCell ref="A4:BZ5"/>
    <mergeCell ref="BA6:BF6"/>
    <mergeCell ref="BH6:BK6"/>
    <mergeCell ref="BM6:BN6"/>
    <mergeCell ref="BP6:BS6"/>
    <mergeCell ref="BU6:BV6"/>
    <mergeCell ref="BX6:BY6"/>
    <mergeCell ref="BW6:BW40"/>
    <mergeCell ref="BZ6:BZ40"/>
    <mergeCell ref="BX8:BX11"/>
    <mergeCell ref="BY8:BY11"/>
    <mergeCell ref="E6:E40"/>
    <mergeCell ref="A7:C7"/>
    <mergeCell ref="A9:C9"/>
    <mergeCell ref="A10:B10"/>
    <mergeCell ref="K6:P6"/>
    <mergeCell ref="AR8:AR12"/>
    <mergeCell ref="AS8:AS11"/>
    <mergeCell ref="AW8:AW11"/>
    <mergeCell ref="AX8:AX12"/>
    <mergeCell ref="AY8:AY11"/>
    <mergeCell ref="BU8:BU11"/>
    <mergeCell ref="BV8:BV11"/>
    <mergeCell ref="BL11:BL40"/>
    <mergeCell ref="Y8:Y12"/>
    <mergeCell ref="Z8:Z11"/>
    <mergeCell ref="BJ8:BJ12"/>
    <mergeCell ref="BK8:BK11"/>
    <mergeCell ref="BM8:BM12"/>
    <mergeCell ref="BN8:BN11"/>
    <mergeCell ref="BP8:BP12"/>
    <mergeCell ref="BG6:BG40"/>
    <mergeCell ref="BT6:BT40"/>
    <mergeCell ref="BO7:BO40"/>
    <mergeCell ref="AN8:AN11"/>
    <mergeCell ref="AO8:AO12"/>
    <mergeCell ref="AR6:AY6"/>
    <mergeCell ref="BS8:BS11"/>
    <mergeCell ref="BB8:BB11"/>
    <mergeCell ref="BC8:BC12"/>
    <mergeCell ref="BD8:BD11"/>
    <mergeCell ref="BE8:BE12"/>
    <mergeCell ref="BI8:BI11"/>
    <mergeCell ref="BQ8:BQ11"/>
    <mergeCell ref="BR8:BR12"/>
    <mergeCell ref="A2:CA3"/>
    <mergeCell ref="X6:X40"/>
    <mergeCell ref="AC6:AC40"/>
    <mergeCell ref="AJ6:AJ40"/>
    <mergeCell ref="AQ6:AQ40"/>
    <mergeCell ref="AZ6:AZ40"/>
    <mergeCell ref="CA6:CA12"/>
    <mergeCell ref="AD8:AD12"/>
    <mergeCell ref="AE8:AE11"/>
    <mergeCell ref="AF8:AF12"/>
    <mergeCell ref="AG8:AG11"/>
    <mergeCell ref="AH8:AH12"/>
    <mergeCell ref="BF8:BF11"/>
    <mergeCell ref="BU7:BV7"/>
    <mergeCell ref="BX7:BY7"/>
    <mergeCell ref="A8:C8"/>
    <mergeCell ref="F8:F12"/>
    <mergeCell ref="G8:G11"/>
    <mergeCell ref="H8:H12"/>
    <mergeCell ref="I8:I11"/>
    <mergeCell ref="K8:K12"/>
    <mergeCell ref="L8:L11"/>
    <mergeCell ref="M8:M12"/>
    <mergeCell ref="N8:N11"/>
    <mergeCell ref="O8:O12"/>
    <mergeCell ref="BH8:BH12"/>
    <mergeCell ref="BA8:BA12"/>
    <mergeCell ref="P8:P11"/>
    <mergeCell ref="R8:R12"/>
    <mergeCell ref="AT8:AT12"/>
    <mergeCell ref="AU8:AU11"/>
    <mergeCell ref="AV8:AV12"/>
    <mergeCell ref="AI8:AI11"/>
    <mergeCell ref="AK8:AK12"/>
    <mergeCell ref="AL8:AL11"/>
    <mergeCell ref="AM8:AM12"/>
    <mergeCell ref="AP8:AP11"/>
  </mergeCells>
  <dataValidations count="3">
    <dataValidation type="list" allowBlank="1" showInputMessage="1" showErrorMessage="1" prompt="solo letras" sqref="F13:F40 H13:H40 K13:K40 M13:M40 O13:O40 R13:R40 T13:T40 V13:V40 Y13:Y40 AA13:AA40 AD13:AD40 AF13:AF40 AH13:AH40 AK13:AK40 AM13:AM40 AO13:AO40 AR13:AR40 AT13:AT40 AV13:AV40 AX13:AX40 BA13:BA40 BC13:BC40 BE13:BE40 BH13:BH40 BJ13:BJ40 BM13:BM40 BP13:BP40 BR13:BR40" xr:uid="{00000000-0002-0000-0100-000000000000}">
      <formula1>"AD,A,B,C,TRASL.,NA"</formula1>
    </dataValidation>
    <dataValidation type="custom" allowBlank="1" showErrorMessage="1" sqref="S13:S34 U13:U34 W13:W34 J13:J40 Q16:Q40" xr:uid="{00000000-0002-0000-0100-000001000000}">
      <formula1>AND(GTE(LEN(J13),MIN((0),(100))),LTE(LEN(J13),MAX((0),(100))))</formula1>
    </dataValidation>
    <dataValidation type="list" allowBlank="1" showErrorMessage="1" sqref="CA13:CA40" xr:uid="{00000000-0002-0000-0100-000002000000}">
      <formula1>"AD,A,B,C,TRASL.,NA"</formula1>
    </dataValidation>
  </dataValidations>
  <pageMargins left="0.7" right="0.7" top="0.75" bottom="0.75" header="0" footer="0"/>
  <pageSetup paperSize="9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1000"/>
  <sheetViews>
    <sheetView showGridLines="0" zoomScaleNormal="100" workbookViewId="0">
      <pane xSplit="5" ySplit="12" topLeftCell="BE13" activePane="bottomRight" state="frozen"/>
      <selection pane="topRight" activeCell="F1" sqref="F1"/>
      <selection pane="bottomLeft" activeCell="A13" sqref="A13"/>
      <selection pane="bottomRight" activeCell="BF16" sqref="BF16"/>
    </sheetView>
  </sheetViews>
  <sheetFormatPr baseColWidth="10" defaultColWidth="12.59765625" defaultRowHeight="15" customHeight="1"/>
  <cols>
    <col min="1" max="1" width="10.09765625" customWidth="1"/>
    <col min="2" max="2" width="14.09765625" customWidth="1"/>
    <col min="3" max="3" width="16.09765625" customWidth="1"/>
    <col min="4" max="4" width="30.19921875" customWidth="1"/>
    <col min="5" max="5" width="1.5" customWidth="1"/>
    <col min="6" max="6" width="10.59765625" customWidth="1"/>
    <col min="7" max="7" width="34.59765625" customWidth="1"/>
    <col min="8" max="8" width="10.59765625" customWidth="1"/>
    <col min="9" max="9" width="40.59765625" customWidth="1"/>
    <col min="10" max="10" width="1.5" customWidth="1"/>
    <col min="11" max="11" width="10.59765625" customWidth="1"/>
    <col min="12" max="12" width="48.09765625" customWidth="1"/>
    <col min="13" max="13" width="10.59765625" customWidth="1"/>
    <col min="14" max="14" width="40.8984375" customWidth="1"/>
    <col min="15" max="15" width="10.59765625" customWidth="1"/>
    <col min="16" max="16" width="47.09765625" customWidth="1"/>
    <col min="17" max="17" width="1.19921875" customWidth="1"/>
    <col min="18" max="18" width="10.59765625" customWidth="1"/>
    <col min="19" max="19" width="42.19921875" customWidth="1"/>
    <col min="20" max="20" width="10.59765625" customWidth="1"/>
    <col min="21" max="21" width="40.8984375" customWidth="1"/>
    <col min="22" max="22" width="10.59765625" customWidth="1"/>
    <col min="23" max="23" width="36.8984375" customWidth="1"/>
    <col min="24" max="24" width="2.59765625" customWidth="1"/>
    <col min="25" max="25" width="10.59765625" customWidth="1"/>
    <col min="26" max="26" width="29.8984375" customWidth="1"/>
    <col min="27" max="27" width="10.59765625" customWidth="1"/>
    <col min="28" max="28" width="29.8984375" customWidth="1"/>
    <col min="29" max="29" width="2.69921875" customWidth="1"/>
    <col min="30" max="30" width="10.59765625" customWidth="1"/>
    <col min="31" max="31" width="44.3984375" customWidth="1"/>
    <col min="32" max="32" width="16.3984375" customWidth="1"/>
    <col min="33" max="33" width="44.3984375" customWidth="1"/>
    <col min="34" max="34" width="16.3984375" customWidth="1"/>
    <col min="35" max="35" width="44.3984375" customWidth="1"/>
    <col min="36" max="36" width="1.5" customWidth="1"/>
    <col min="37" max="37" width="16.3984375" customWidth="1"/>
    <col min="38" max="38" width="44.3984375" customWidth="1"/>
    <col min="39" max="39" width="16.3984375" customWidth="1"/>
    <col min="40" max="40" width="44.3984375" customWidth="1"/>
    <col min="41" max="41" width="16.3984375" customWidth="1"/>
    <col min="42" max="42" width="44.3984375" customWidth="1"/>
    <col min="43" max="43" width="1.5" customWidth="1"/>
    <col min="44" max="44" width="16.3984375" customWidth="1"/>
    <col min="45" max="45" width="44.3984375" customWidth="1"/>
    <col min="46" max="46" width="16.3984375" customWidth="1"/>
    <col min="47" max="47" width="44.3984375" customWidth="1"/>
    <col min="48" max="48" width="16.3984375" customWidth="1"/>
    <col min="49" max="49" width="44.3984375" customWidth="1"/>
    <col min="50" max="50" width="16.3984375" customWidth="1"/>
    <col min="51" max="51" width="44.3984375" customWidth="1"/>
    <col min="52" max="52" width="1.5" customWidth="1"/>
    <col min="53" max="53" width="16.3984375" customWidth="1"/>
    <col min="54" max="54" width="44.3984375" customWidth="1"/>
    <col min="55" max="55" width="16.3984375" customWidth="1"/>
    <col min="56" max="56" width="44.3984375" customWidth="1"/>
    <col min="57" max="57" width="16.3984375" customWidth="1"/>
    <col min="58" max="58" width="44.3984375" customWidth="1"/>
    <col min="59" max="59" width="1.5" customWidth="1"/>
    <col min="60" max="60" width="16.3984375" customWidth="1"/>
    <col min="61" max="61" width="44.3984375" customWidth="1"/>
    <col min="62" max="62" width="16.3984375" customWidth="1"/>
    <col min="63" max="63" width="44.3984375" customWidth="1"/>
    <col min="64" max="64" width="1.5" customWidth="1"/>
    <col min="65" max="65" width="16.3984375" customWidth="1"/>
    <col min="66" max="66" width="44.3984375" customWidth="1"/>
    <col min="67" max="67" width="1.5" customWidth="1"/>
    <col min="68" max="68" width="16.3984375" customWidth="1"/>
    <col min="69" max="69" width="44.3984375" customWidth="1"/>
    <col min="70" max="70" width="16.3984375" customWidth="1"/>
    <col min="71" max="71" width="44.3984375" customWidth="1"/>
    <col min="72" max="72" width="1.5" customWidth="1"/>
    <col min="73" max="73" width="16.69921875" customWidth="1"/>
    <col min="74" max="74" width="18.69921875" customWidth="1"/>
    <col min="75" max="75" width="1.5" customWidth="1"/>
    <col min="76" max="76" width="16.69921875" customWidth="1"/>
    <col min="77" max="77" width="18.69921875" customWidth="1"/>
    <col min="78" max="78" width="1.5" customWidth="1"/>
    <col min="79" max="79" width="25.69921875" customWidth="1"/>
    <col min="80" max="80" width="21.09765625" customWidth="1"/>
    <col min="81" max="81" width="5" customWidth="1"/>
    <col min="82" max="97" width="9.3984375" customWidth="1"/>
  </cols>
  <sheetData>
    <row r="1" spans="1:97" ht="49.5" customHeight="1">
      <c r="A1" s="2" t="s">
        <v>0</v>
      </c>
      <c r="B1" s="2"/>
      <c r="C1" s="2"/>
      <c r="D1" s="2"/>
      <c r="E1" s="2"/>
      <c r="F1" s="2"/>
      <c r="G1" s="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</row>
    <row r="2" spans="1:97" ht="19.5" customHeight="1">
      <c r="A2" s="203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18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</row>
    <row r="3" spans="1:97" ht="19.5" customHeight="1">
      <c r="A3" s="219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1"/>
      <c r="CB3" s="5"/>
      <c r="CC3" s="5"/>
      <c r="CD3" s="5"/>
      <c r="CE3" s="5"/>
      <c r="CF3" s="6"/>
      <c r="CG3" s="5"/>
      <c r="CH3" s="5"/>
      <c r="CI3" s="5"/>
      <c r="CJ3" s="6"/>
      <c r="CK3" s="5"/>
      <c r="CL3" s="5"/>
      <c r="CM3" s="5"/>
      <c r="CN3" s="5"/>
      <c r="CO3" s="6"/>
      <c r="CP3" s="5"/>
      <c r="CQ3" s="5"/>
      <c r="CR3" s="5"/>
      <c r="CS3" s="5"/>
    </row>
    <row r="4" spans="1:97" ht="19.5" customHeigh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4"/>
      <c r="CB4" s="5"/>
      <c r="CC4" s="5"/>
      <c r="CD4" s="5"/>
      <c r="CE4" s="5"/>
      <c r="CF4" s="6"/>
      <c r="CG4" s="5"/>
      <c r="CH4" s="5"/>
      <c r="CI4" s="5"/>
      <c r="CJ4" s="6"/>
      <c r="CK4" s="5"/>
      <c r="CL4" s="5"/>
      <c r="CM4" s="5"/>
      <c r="CN4" s="5"/>
      <c r="CO4" s="6"/>
      <c r="CP4" s="5"/>
      <c r="CQ4" s="5"/>
      <c r="CR4" s="5"/>
      <c r="CS4" s="5"/>
    </row>
    <row r="5" spans="1:97" ht="19.5" customHeight="1">
      <c r="A5" s="210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210"/>
      <c r="BN5" s="210"/>
      <c r="BO5" s="210"/>
      <c r="BP5" s="210"/>
      <c r="BQ5" s="210"/>
      <c r="BR5" s="210"/>
      <c r="BS5" s="210"/>
      <c r="BT5" s="210"/>
      <c r="BU5" s="210"/>
      <c r="BV5" s="210"/>
      <c r="BW5" s="210"/>
      <c r="BX5" s="210"/>
      <c r="BY5" s="210"/>
      <c r="BZ5" s="210"/>
      <c r="CA5" s="4"/>
      <c r="CB5" s="5"/>
      <c r="CC5" s="5"/>
      <c r="CD5" s="5"/>
      <c r="CE5" s="5"/>
      <c r="CF5" s="6"/>
      <c r="CG5" s="5"/>
      <c r="CH5" s="5"/>
      <c r="CI5" s="5"/>
      <c r="CJ5" s="6"/>
      <c r="CK5" s="5"/>
      <c r="CL5" s="5"/>
      <c r="CM5" s="5"/>
      <c r="CN5" s="5"/>
      <c r="CO5" s="6"/>
      <c r="CP5" s="5"/>
      <c r="CQ5" s="5"/>
      <c r="CR5" s="5"/>
      <c r="CS5" s="5"/>
    </row>
    <row r="6" spans="1:97" ht="19.5" customHeight="1">
      <c r="A6" s="193" t="s">
        <v>1</v>
      </c>
      <c r="B6" s="190"/>
      <c r="C6" s="190"/>
      <c r="D6" s="191"/>
      <c r="E6" s="211"/>
      <c r="F6" s="192" t="s">
        <v>2</v>
      </c>
      <c r="G6" s="190"/>
      <c r="H6" s="190"/>
      <c r="I6" s="191"/>
      <c r="J6" s="7"/>
      <c r="K6" s="192" t="s">
        <v>3</v>
      </c>
      <c r="L6" s="190"/>
      <c r="M6" s="190"/>
      <c r="N6" s="190"/>
      <c r="O6" s="190"/>
      <c r="P6" s="191"/>
      <c r="Q6" s="7"/>
      <c r="R6" s="192" t="s">
        <v>223</v>
      </c>
      <c r="S6" s="190"/>
      <c r="T6" s="190"/>
      <c r="U6" s="190"/>
      <c r="V6" s="190"/>
      <c r="W6" s="191"/>
      <c r="X6" s="214"/>
      <c r="Y6" s="192" t="s">
        <v>4</v>
      </c>
      <c r="Z6" s="190"/>
      <c r="AA6" s="190"/>
      <c r="AB6" s="191"/>
      <c r="AC6" s="199"/>
      <c r="AD6" s="192" t="s">
        <v>5</v>
      </c>
      <c r="AE6" s="190"/>
      <c r="AF6" s="190"/>
      <c r="AG6" s="190"/>
      <c r="AH6" s="190"/>
      <c r="AI6" s="191"/>
      <c r="AJ6" s="199"/>
      <c r="AK6" s="192" t="s">
        <v>6</v>
      </c>
      <c r="AL6" s="190"/>
      <c r="AM6" s="190"/>
      <c r="AN6" s="190"/>
      <c r="AO6" s="190"/>
      <c r="AP6" s="191"/>
      <c r="AQ6" s="199"/>
      <c r="AR6" s="192" t="s">
        <v>7</v>
      </c>
      <c r="AS6" s="190"/>
      <c r="AT6" s="190"/>
      <c r="AU6" s="190"/>
      <c r="AV6" s="190"/>
      <c r="AW6" s="190"/>
      <c r="AX6" s="190"/>
      <c r="AY6" s="191"/>
      <c r="AZ6" s="199"/>
      <c r="BA6" s="192" t="s">
        <v>8</v>
      </c>
      <c r="BB6" s="190"/>
      <c r="BC6" s="190"/>
      <c r="BD6" s="190"/>
      <c r="BE6" s="190"/>
      <c r="BF6" s="191"/>
      <c r="BG6" s="214"/>
      <c r="BH6" s="192" t="s">
        <v>9</v>
      </c>
      <c r="BI6" s="190"/>
      <c r="BJ6" s="190"/>
      <c r="BK6" s="191"/>
      <c r="BL6" s="7"/>
      <c r="BM6" s="192" t="s">
        <v>10</v>
      </c>
      <c r="BN6" s="191"/>
      <c r="BO6" s="7"/>
      <c r="BP6" s="192" t="s">
        <v>11</v>
      </c>
      <c r="BQ6" s="190"/>
      <c r="BR6" s="190"/>
      <c r="BS6" s="191"/>
      <c r="BT6" s="199"/>
      <c r="BU6" s="192" t="s">
        <v>12</v>
      </c>
      <c r="BV6" s="191"/>
      <c r="BW6" s="199"/>
      <c r="BX6" s="192" t="s">
        <v>13</v>
      </c>
      <c r="BY6" s="191"/>
      <c r="BZ6" s="196"/>
      <c r="CA6" s="194" t="s">
        <v>14</v>
      </c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</row>
    <row r="7" spans="1:97" ht="19.5" customHeight="1">
      <c r="A7" s="189" t="s">
        <v>15</v>
      </c>
      <c r="B7" s="190"/>
      <c r="C7" s="191"/>
      <c r="D7" s="10" t="s">
        <v>16</v>
      </c>
      <c r="E7" s="197"/>
      <c r="F7" s="11" t="s">
        <v>17</v>
      </c>
      <c r="G7" s="11" t="s">
        <v>18</v>
      </c>
      <c r="H7" s="11" t="s">
        <v>17</v>
      </c>
      <c r="I7" s="11" t="s">
        <v>18</v>
      </c>
      <c r="J7" s="7"/>
      <c r="K7" s="11" t="s">
        <v>17</v>
      </c>
      <c r="L7" s="11" t="s">
        <v>18</v>
      </c>
      <c r="M7" s="11" t="s">
        <v>17</v>
      </c>
      <c r="N7" s="11" t="s">
        <v>18</v>
      </c>
      <c r="O7" s="11" t="s">
        <v>17</v>
      </c>
      <c r="P7" s="11" t="s">
        <v>18</v>
      </c>
      <c r="Q7" s="7"/>
      <c r="R7" s="11" t="s">
        <v>17</v>
      </c>
      <c r="S7" s="11" t="s">
        <v>18</v>
      </c>
      <c r="T7" s="11" t="s">
        <v>17</v>
      </c>
      <c r="U7" s="11" t="s">
        <v>18</v>
      </c>
      <c r="V7" s="11" t="s">
        <v>17</v>
      </c>
      <c r="W7" s="11" t="s">
        <v>18</v>
      </c>
      <c r="X7" s="186"/>
      <c r="Y7" s="11" t="s">
        <v>17</v>
      </c>
      <c r="Z7" s="11" t="s">
        <v>18</v>
      </c>
      <c r="AA7" s="11" t="s">
        <v>17</v>
      </c>
      <c r="AB7" s="11" t="s">
        <v>18</v>
      </c>
      <c r="AC7" s="200"/>
      <c r="AD7" s="11" t="s">
        <v>17</v>
      </c>
      <c r="AE7" s="11" t="s">
        <v>18</v>
      </c>
      <c r="AF7" s="11" t="s">
        <v>17</v>
      </c>
      <c r="AG7" s="11" t="s">
        <v>18</v>
      </c>
      <c r="AH7" s="11" t="s">
        <v>17</v>
      </c>
      <c r="AI7" s="11" t="s">
        <v>18</v>
      </c>
      <c r="AJ7" s="200"/>
      <c r="AK7" s="11" t="s">
        <v>17</v>
      </c>
      <c r="AL7" s="11" t="s">
        <v>18</v>
      </c>
      <c r="AM7" s="11" t="s">
        <v>17</v>
      </c>
      <c r="AN7" s="11" t="s">
        <v>18</v>
      </c>
      <c r="AO7" s="11" t="s">
        <v>17</v>
      </c>
      <c r="AP7" s="11" t="s">
        <v>18</v>
      </c>
      <c r="AQ7" s="200"/>
      <c r="AR7" s="11" t="s">
        <v>17</v>
      </c>
      <c r="AS7" s="11" t="s">
        <v>18</v>
      </c>
      <c r="AT7" s="11" t="s">
        <v>17</v>
      </c>
      <c r="AU7" s="11" t="s">
        <v>18</v>
      </c>
      <c r="AV7" s="11" t="s">
        <v>17</v>
      </c>
      <c r="AW7" s="11" t="s">
        <v>18</v>
      </c>
      <c r="AX7" s="11" t="s">
        <v>17</v>
      </c>
      <c r="AY7" s="11" t="s">
        <v>18</v>
      </c>
      <c r="AZ7" s="200"/>
      <c r="BA7" s="11" t="s">
        <v>17</v>
      </c>
      <c r="BB7" s="11" t="s">
        <v>18</v>
      </c>
      <c r="BC7" s="11" t="s">
        <v>17</v>
      </c>
      <c r="BD7" s="11" t="s">
        <v>18</v>
      </c>
      <c r="BE7" s="11" t="s">
        <v>17</v>
      </c>
      <c r="BF7" s="11" t="s">
        <v>18</v>
      </c>
      <c r="BG7" s="186"/>
      <c r="BH7" s="11" t="s">
        <v>17</v>
      </c>
      <c r="BI7" s="11" t="s">
        <v>18</v>
      </c>
      <c r="BJ7" s="11" t="s">
        <v>17</v>
      </c>
      <c r="BK7" s="11" t="s">
        <v>18</v>
      </c>
      <c r="BL7" s="7"/>
      <c r="BM7" s="11" t="s">
        <v>17</v>
      </c>
      <c r="BN7" s="11" t="s">
        <v>18</v>
      </c>
      <c r="BO7" s="214"/>
      <c r="BP7" s="11" t="s">
        <v>17</v>
      </c>
      <c r="BQ7" s="11" t="s">
        <v>18</v>
      </c>
      <c r="BR7" s="11" t="s">
        <v>17</v>
      </c>
      <c r="BS7" s="11" t="s">
        <v>18</v>
      </c>
      <c r="BT7" s="200"/>
      <c r="BU7" s="195"/>
      <c r="BV7" s="191"/>
      <c r="BW7" s="200"/>
      <c r="BX7" s="195"/>
      <c r="BY7" s="191"/>
      <c r="BZ7" s="197"/>
      <c r="CA7" s="186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</row>
    <row r="8" spans="1:97" ht="19.5" customHeight="1">
      <c r="A8" s="189" t="s">
        <v>19</v>
      </c>
      <c r="B8" s="190"/>
      <c r="C8" s="191"/>
      <c r="D8" s="13" t="s">
        <v>102</v>
      </c>
      <c r="E8" s="197"/>
      <c r="F8" s="185" t="s">
        <v>21</v>
      </c>
      <c r="G8" s="188" t="s">
        <v>22</v>
      </c>
      <c r="H8" s="185" t="s">
        <v>21</v>
      </c>
      <c r="I8" s="188" t="s">
        <v>23</v>
      </c>
      <c r="J8" s="7"/>
      <c r="K8" s="185" t="s">
        <v>21</v>
      </c>
      <c r="L8" s="188" t="s">
        <v>24</v>
      </c>
      <c r="M8" s="185" t="s">
        <v>21</v>
      </c>
      <c r="N8" s="188" t="s">
        <v>25</v>
      </c>
      <c r="O8" s="185" t="s">
        <v>21</v>
      </c>
      <c r="P8" s="188" t="s">
        <v>26</v>
      </c>
      <c r="Q8" s="7"/>
      <c r="R8" s="185" t="s">
        <v>21</v>
      </c>
      <c r="S8" s="188" t="s">
        <v>27</v>
      </c>
      <c r="T8" s="185" t="s">
        <v>21</v>
      </c>
      <c r="U8" s="188" t="s">
        <v>28</v>
      </c>
      <c r="V8" s="185" t="s">
        <v>21</v>
      </c>
      <c r="W8" s="188" t="s">
        <v>29</v>
      </c>
      <c r="X8" s="186"/>
      <c r="Y8" s="185" t="s">
        <v>21</v>
      </c>
      <c r="Z8" s="223" t="s">
        <v>30</v>
      </c>
      <c r="AA8" s="185" t="s">
        <v>21</v>
      </c>
      <c r="AB8" s="225" t="s">
        <v>31</v>
      </c>
      <c r="AC8" s="200"/>
      <c r="AD8" s="185" t="s">
        <v>21</v>
      </c>
      <c r="AE8" s="188" t="s">
        <v>32</v>
      </c>
      <c r="AF8" s="185" t="s">
        <v>21</v>
      </c>
      <c r="AG8" s="188" t="s">
        <v>33</v>
      </c>
      <c r="AH8" s="185" t="s">
        <v>21</v>
      </c>
      <c r="AI8" s="188" t="s">
        <v>34</v>
      </c>
      <c r="AJ8" s="200"/>
      <c r="AK8" s="185" t="s">
        <v>21</v>
      </c>
      <c r="AL8" s="188" t="s">
        <v>35</v>
      </c>
      <c r="AM8" s="185" t="s">
        <v>21</v>
      </c>
      <c r="AN8" s="188" t="s">
        <v>36</v>
      </c>
      <c r="AO8" s="185" t="s">
        <v>21</v>
      </c>
      <c r="AP8" s="188" t="s">
        <v>37</v>
      </c>
      <c r="AQ8" s="200"/>
      <c r="AR8" s="185" t="s">
        <v>21</v>
      </c>
      <c r="AS8" s="188" t="s">
        <v>38</v>
      </c>
      <c r="AT8" s="185" t="s">
        <v>21</v>
      </c>
      <c r="AU8" s="188" t="s">
        <v>39</v>
      </c>
      <c r="AV8" s="185" t="s">
        <v>21</v>
      </c>
      <c r="AW8" s="188" t="s">
        <v>40</v>
      </c>
      <c r="AX8" s="185" t="s">
        <v>21</v>
      </c>
      <c r="AY8" s="188" t="s">
        <v>41</v>
      </c>
      <c r="AZ8" s="200"/>
      <c r="BA8" s="185" t="s">
        <v>21</v>
      </c>
      <c r="BB8" s="188" t="s">
        <v>42</v>
      </c>
      <c r="BC8" s="185" t="s">
        <v>21</v>
      </c>
      <c r="BD8" s="188" t="s">
        <v>43</v>
      </c>
      <c r="BE8" s="185" t="s">
        <v>21</v>
      </c>
      <c r="BF8" s="188" t="s">
        <v>44</v>
      </c>
      <c r="BG8" s="186"/>
      <c r="BH8" s="185" t="s">
        <v>21</v>
      </c>
      <c r="BI8" s="188" t="s">
        <v>45</v>
      </c>
      <c r="BJ8" s="185" t="s">
        <v>21</v>
      </c>
      <c r="BK8" s="188" t="s">
        <v>46</v>
      </c>
      <c r="BL8" s="7"/>
      <c r="BM8" s="185" t="s">
        <v>21</v>
      </c>
      <c r="BN8" s="188" t="s">
        <v>47</v>
      </c>
      <c r="BO8" s="186"/>
      <c r="BP8" s="185" t="s">
        <v>21</v>
      </c>
      <c r="BQ8" s="188" t="s">
        <v>48</v>
      </c>
      <c r="BR8" s="185" t="s">
        <v>21</v>
      </c>
      <c r="BS8" s="188" t="s">
        <v>49</v>
      </c>
      <c r="BT8" s="200"/>
      <c r="BU8" s="188" t="s">
        <v>50</v>
      </c>
      <c r="BV8" s="188" t="s">
        <v>51</v>
      </c>
      <c r="BW8" s="200"/>
      <c r="BX8" s="188" t="s">
        <v>50</v>
      </c>
      <c r="BY8" s="188" t="s">
        <v>51</v>
      </c>
      <c r="BZ8" s="197"/>
      <c r="CA8" s="186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</row>
    <row r="9" spans="1:97" ht="19.5" customHeight="1">
      <c r="A9" s="189" t="s">
        <v>52</v>
      </c>
      <c r="B9" s="190"/>
      <c r="C9" s="191"/>
      <c r="D9" s="13">
        <v>2023</v>
      </c>
      <c r="E9" s="197"/>
      <c r="F9" s="186"/>
      <c r="G9" s="186"/>
      <c r="H9" s="186"/>
      <c r="I9" s="186"/>
      <c r="J9" s="7"/>
      <c r="K9" s="186"/>
      <c r="L9" s="186"/>
      <c r="M9" s="186"/>
      <c r="N9" s="186"/>
      <c r="O9" s="186"/>
      <c r="P9" s="186"/>
      <c r="Q9" s="7"/>
      <c r="R9" s="186"/>
      <c r="S9" s="186"/>
      <c r="T9" s="186"/>
      <c r="U9" s="186"/>
      <c r="V9" s="186"/>
      <c r="W9" s="186"/>
      <c r="X9" s="186"/>
      <c r="Y9" s="186"/>
      <c r="Z9" s="224"/>
      <c r="AA9" s="186"/>
      <c r="AB9" s="184"/>
      <c r="AC9" s="200"/>
      <c r="AD9" s="186"/>
      <c r="AE9" s="186"/>
      <c r="AF9" s="186"/>
      <c r="AG9" s="186"/>
      <c r="AH9" s="186"/>
      <c r="AI9" s="186"/>
      <c r="AJ9" s="200"/>
      <c r="AK9" s="186"/>
      <c r="AL9" s="186"/>
      <c r="AM9" s="186"/>
      <c r="AN9" s="186"/>
      <c r="AO9" s="186"/>
      <c r="AP9" s="186"/>
      <c r="AQ9" s="200"/>
      <c r="AR9" s="186"/>
      <c r="AS9" s="186"/>
      <c r="AT9" s="186"/>
      <c r="AU9" s="186"/>
      <c r="AV9" s="186"/>
      <c r="AW9" s="186"/>
      <c r="AX9" s="186"/>
      <c r="AY9" s="186"/>
      <c r="AZ9" s="200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7"/>
      <c r="BM9" s="186"/>
      <c r="BN9" s="186"/>
      <c r="BO9" s="186"/>
      <c r="BP9" s="186"/>
      <c r="BQ9" s="186"/>
      <c r="BR9" s="186"/>
      <c r="BS9" s="186"/>
      <c r="BT9" s="200"/>
      <c r="BU9" s="186"/>
      <c r="BV9" s="186"/>
      <c r="BW9" s="200"/>
      <c r="BX9" s="186"/>
      <c r="BY9" s="186"/>
      <c r="BZ9" s="197"/>
      <c r="CA9" s="186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</row>
    <row r="10" spans="1:97" ht="19.5" customHeight="1">
      <c r="A10" s="215" t="s">
        <v>224</v>
      </c>
      <c r="B10" s="191"/>
      <c r="C10" s="215" t="s">
        <v>322</v>
      </c>
      <c r="D10" s="191"/>
      <c r="E10" s="197"/>
      <c r="F10" s="186"/>
      <c r="G10" s="186"/>
      <c r="H10" s="186"/>
      <c r="I10" s="186"/>
      <c r="J10" s="7"/>
      <c r="K10" s="186"/>
      <c r="L10" s="186"/>
      <c r="M10" s="186"/>
      <c r="N10" s="186"/>
      <c r="O10" s="186"/>
      <c r="P10" s="186"/>
      <c r="Q10" s="7"/>
      <c r="R10" s="186"/>
      <c r="S10" s="186"/>
      <c r="T10" s="186"/>
      <c r="U10" s="186"/>
      <c r="V10" s="186"/>
      <c r="W10" s="186"/>
      <c r="X10" s="186"/>
      <c r="Y10" s="186"/>
      <c r="Z10" s="224"/>
      <c r="AA10" s="186"/>
      <c r="AB10" s="184"/>
      <c r="AC10" s="200"/>
      <c r="AD10" s="186"/>
      <c r="AE10" s="186"/>
      <c r="AF10" s="186"/>
      <c r="AG10" s="186"/>
      <c r="AH10" s="186"/>
      <c r="AI10" s="186"/>
      <c r="AJ10" s="200"/>
      <c r="AK10" s="186"/>
      <c r="AL10" s="186"/>
      <c r="AM10" s="186"/>
      <c r="AN10" s="186"/>
      <c r="AO10" s="186"/>
      <c r="AP10" s="186"/>
      <c r="AQ10" s="200"/>
      <c r="AR10" s="186"/>
      <c r="AS10" s="186"/>
      <c r="AT10" s="186"/>
      <c r="AU10" s="186"/>
      <c r="AV10" s="186"/>
      <c r="AW10" s="186"/>
      <c r="AX10" s="186"/>
      <c r="AY10" s="186"/>
      <c r="AZ10" s="20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7"/>
      <c r="BM10" s="186"/>
      <c r="BN10" s="186"/>
      <c r="BO10" s="186"/>
      <c r="BP10" s="186"/>
      <c r="BQ10" s="186"/>
      <c r="BR10" s="186"/>
      <c r="BS10" s="186"/>
      <c r="BT10" s="200"/>
      <c r="BU10" s="186"/>
      <c r="BV10" s="186"/>
      <c r="BW10" s="200"/>
      <c r="BX10" s="186"/>
      <c r="BY10" s="186"/>
      <c r="BZ10" s="197"/>
      <c r="CA10" s="186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</row>
    <row r="11" spans="1:97" ht="19.5" customHeight="1">
      <c r="A11" s="216" t="s">
        <v>55</v>
      </c>
      <c r="B11" s="217" t="s">
        <v>56</v>
      </c>
      <c r="C11" s="204"/>
      <c r="D11" s="218"/>
      <c r="E11" s="197"/>
      <c r="F11" s="186"/>
      <c r="G11" s="187"/>
      <c r="H11" s="186"/>
      <c r="I11" s="187"/>
      <c r="J11" s="17"/>
      <c r="K11" s="186"/>
      <c r="L11" s="187"/>
      <c r="M11" s="186"/>
      <c r="N11" s="187"/>
      <c r="O11" s="186"/>
      <c r="P11" s="187"/>
      <c r="Q11" s="17"/>
      <c r="R11" s="186"/>
      <c r="S11" s="187"/>
      <c r="T11" s="186"/>
      <c r="U11" s="187"/>
      <c r="V11" s="186"/>
      <c r="W11" s="187"/>
      <c r="X11" s="186"/>
      <c r="Y11" s="186"/>
      <c r="Z11" s="224"/>
      <c r="AA11" s="186"/>
      <c r="AB11" s="184"/>
      <c r="AC11" s="200"/>
      <c r="AD11" s="186"/>
      <c r="AE11" s="187"/>
      <c r="AF11" s="186"/>
      <c r="AG11" s="187"/>
      <c r="AH11" s="186"/>
      <c r="AI11" s="187"/>
      <c r="AJ11" s="200"/>
      <c r="AK11" s="186"/>
      <c r="AL11" s="187"/>
      <c r="AM11" s="186"/>
      <c r="AN11" s="187"/>
      <c r="AO11" s="186"/>
      <c r="AP11" s="187"/>
      <c r="AQ11" s="200"/>
      <c r="AR11" s="186"/>
      <c r="AS11" s="187"/>
      <c r="AT11" s="186"/>
      <c r="AU11" s="187"/>
      <c r="AV11" s="186"/>
      <c r="AW11" s="187"/>
      <c r="AX11" s="186"/>
      <c r="AY11" s="187"/>
      <c r="AZ11" s="200"/>
      <c r="BA11" s="186"/>
      <c r="BB11" s="187"/>
      <c r="BC11" s="186"/>
      <c r="BD11" s="187"/>
      <c r="BE11" s="186"/>
      <c r="BF11" s="187"/>
      <c r="BG11" s="186"/>
      <c r="BH11" s="186"/>
      <c r="BI11" s="187"/>
      <c r="BJ11" s="186"/>
      <c r="BK11" s="187"/>
      <c r="BL11" s="202"/>
      <c r="BM11" s="186"/>
      <c r="BN11" s="187"/>
      <c r="BO11" s="186"/>
      <c r="BP11" s="186"/>
      <c r="BQ11" s="187"/>
      <c r="BR11" s="186"/>
      <c r="BS11" s="187"/>
      <c r="BT11" s="200"/>
      <c r="BU11" s="187"/>
      <c r="BV11" s="187"/>
      <c r="BW11" s="200"/>
      <c r="BX11" s="187"/>
      <c r="BY11" s="187"/>
      <c r="BZ11" s="197"/>
      <c r="CA11" s="186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</row>
    <row r="12" spans="1:97" ht="1.5" customHeight="1">
      <c r="A12" s="187"/>
      <c r="B12" s="219"/>
      <c r="C12" s="220"/>
      <c r="D12" s="221"/>
      <c r="E12" s="197"/>
      <c r="F12" s="187"/>
      <c r="G12" s="86" t="s">
        <v>57</v>
      </c>
      <c r="H12" s="187"/>
      <c r="I12" s="19" t="s">
        <v>57</v>
      </c>
      <c r="J12" s="17"/>
      <c r="K12" s="187"/>
      <c r="L12" s="18" t="s">
        <v>57</v>
      </c>
      <c r="M12" s="187"/>
      <c r="N12" s="18" t="s">
        <v>57</v>
      </c>
      <c r="O12" s="187"/>
      <c r="P12" s="18" t="s">
        <v>57</v>
      </c>
      <c r="Q12" s="17"/>
      <c r="R12" s="186"/>
      <c r="S12" s="87" t="s">
        <v>57</v>
      </c>
      <c r="T12" s="186"/>
      <c r="U12" s="87" t="s">
        <v>57</v>
      </c>
      <c r="V12" s="186"/>
      <c r="W12" s="87" t="s">
        <v>57</v>
      </c>
      <c r="X12" s="186"/>
      <c r="Y12" s="187"/>
      <c r="Z12" s="19" t="s">
        <v>57</v>
      </c>
      <c r="AA12" s="187"/>
      <c r="AB12" s="19" t="s">
        <v>58</v>
      </c>
      <c r="AC12" s="200"/>
      <c r="AD12" s="187"/>
      <c r="AE12" s="20" t="s">
        <v>58</v>
      </c>
      <c r="AF12" s="187"/>
      <c r="AG12" s="21" t="s">
        <v>58</v>
      </c>
      <c r="AH12" s="187"/>
      <c r="AI12" s="88" t="s">
        <v>58</v>
      </c>
      <c r="AJ12" s="200"/>
      <c r="AK12" s="187"/>
      <c r="AL12" s="19" t="s">
        <v>58</v>
      </c>
      <c r="AM12" s="187"/>
      <c r="AN12" s="19" t="s">
        <v>58</v>
      </c>
      <c r="AO12" s="187"/>
      <c r="AP12" s="19" t="s">
        <v>58</v>
      </c>
      <c r="AQ12" s="200"/>
      <c r="AR12" s="187"/>
      <c r="AS12" s="18" t="s">
        <v>57</v>
      </c>
      <c r="AT12" s="187"/>
      <c r="AU12" s="18" t="s">
        <v>57</v>
      </c>
      <c r="AV12" s="187"/>
      <c r="AW12" s="18" t="s">
        <v>57</v>
      </c>
      <c r="AX12" s="187"/>
      <c r="AY12" s="18" t="s">
        <v>57</v>
      </c>
      <c r="AZ12" s="200"/>
      <c r="BA12" s="187"/>
      <c r="BB12" s="18" t="s">
        <v>57</v>
      </c>
      <c r="BC12" s="187"/>
      <c r="BD12" s="18" t="s">
        <v>57</v>
      </c>
      <c r="BE12" s="187"/>
      <c r="BF12" s="18" t="s">
        <v>57</v>
      </c>
      <c r="BG12" s="186"/>
      <c r="BH12" s="187"/>
      <c r="BI12" s="18" t="s">
        <v>57</v>
      </c>
      <c r="BJ12" s="187"/>
      <c r="BK12" s="18" t="s">
        <v>57</v>
      </c>
      <c r="BL12" s="200"/>
      <c r="BM12" s="187"/>
      <c r="BN12" s="18" t="s">
        <v>57</v>
      </c>
      <c r="BO12" s="186"/>
      <c r="BP12" s="187"/>
      <c r="BQ12" s="18" t="s">
        <v>57</v>
      </c>
      <c r="BR12" s="187"/>
      <c r="BS12" s="18" t="s">
        <v>57</v>
      </c>
      <c r="BT12" s="200"/>
      <c r="BU12" s="18" t="s">
        <v>59</v>
      </c>
      <c r="BV12" s="18" t="s">
        <v>59</v>
      </c>
      <c r="BW12" s="200"/>
      <c r="BX12" s="18" t="s">
        <v>60</v>
      </c>
      <c r="BY12" s="18" t="s">
        <v>60</v>
      </c>
      <c r="BZ12" s="197"/>
      <c r="CA12" s="187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</row>
    <row r="13" spans="1:97" ht="30.75" customHeight="1">
      <c r="A13" s="24">
        <v>1</v>
      </c>
      <c r="B13" s="89" t="s">
        <v>323</v>
      </c>
      <c r="C13" s="90" t="s">
        <v>152</v>
      </c>
      <c r="D13" s="91" t="s">
        <v>324</v>
      </c>
      <c r="E13" s="197"/>
      <c r="F13" s="27" t="s">
        <v>64</v>
      </c>
      <c r="G13" s="42" t="s">
        <v>241</v>
      </c>
      <c r="H13" s="27" t="s">
        <v>102</v>
      </c>
      <c r="I13" s="42" t="s">
        <v>240</v>
      </c>
      <c r="J13" s="29"/>
      <c r="K13" s="27" t="s">
        <v>64</v>
      </c>
      <c r="L13" s="30" t="s">
        <v>67</v>
      </c>
      <c r="M13" s="27" t="s">
        <v>102</v>
      </c>
      <c r="N13" s="28" t="s">
        <v>103</v>
      </c>
      <c r="O13" s="27" t="s">
        <v>102</v>
      </c>
      <c r="P13" s="28" t="s">
        <v>103</v>
      </c>
      <c r="Q13" s="17"/>
      <c r="R13" s="92" t="s">
        <v>20</v>
      </c>
      <c r="S13" s="35" t="s">
        <v>325</v>
      </c>
      <c r="T13" s="92" t="s">
        <v>20</v>
      </c>
      <c r="U13" s="9" t="s">
        <v>70</v>
      </c>
      <c r="V13" s="92" t="s">
        <v>20</v>
      </c>
      <c r="W13" s="9" t="s">
        <v>71</v>
      </c>
      <c r="X13" s="186"/>
      <c r="Y13" s="33" t="s">
        <v>20</v>
      </c>
      <c r="Z13" s="28" t="s">
        <v>73</v>
      </c>
      <c r="AA13" s="27" t="s">
        <v>20</v>
      </c>
      <c r="AB13" s="28" t="s">
        <v>74</v>
      </c>
      <c r="AC13" s="200"/>
      <c r="AD13" s="27" t="s">
        <v>72</v>
      </c>
      <c r="AE13" s="28" t="s">
        <v>326</v>
      </c>
      <c r="AF13" s="52" t="s">
        <v>20</v>
      </c>
      <c r="AG13" s="93" t="s">
        <v>327</v>
      </c>
      <c r="AH13" s="27" t="s">
        <v>20</v>
      </c>
      <c r="AI13" s="94" t="s">
        <v>327</v>
      </c>
      <c r="AJ13" s="200"/>
      <c r="AK13" s="27" t="s">
        <v>64</v>
      </c>
      <c r="AL13" s="35" t="s">
        <v>79</v>
      </c>
      <c r="AM13" s="27" t="s">
        <v>102</v>
      </c>
      <c r="AN13" s="35" t="s">
        <v>328</v>
      </c>
      <c r="AO13" s="27" t="s">
        <v>102</v>
      </c>
      <c r="AP13" s="35" t="s">
        <v>329</v>
      </c>
      <c r="AQ13" s="200"/>
      <c r="AR13" s="27" t="s">
        <v>20</v>
      </c>
      <c r="AS13" s="28" t="s">
        <v>330</v>
      </c>
      <c r="AT13" s="27" t="s">
        <v>20</v>
      </c>
      <c r="AU13" s="28" t="s">
        <v>331</v>
      </c>
      <c r="AV13" s="27" t="s">
        <v>20</v>
      </c>
      <c r="AW13" s="28" t="s">
        <v>332</v>
      </c>
      <c r="AX13" s="27" t="s">
        <v>20</v>
      </c>
      <c r="AY13" s="28" t="s">
        <v>333</v>
      </c>
      <c r="AZ13" s="200"/>
      <c r="BA13" s="27" t="s">
        <v>102</v>
      </c>
      <c r="BB13" s="28" t="s">
        <v>106</v>
      </c>
      <c r="BC13" s="27" t="s">
        <v>64</v>
      </c>
      <c r="BD13" s="28" t="s">
        <v>86</v>
      </c>
      <c r="BE13" s="27" t="s">
        <v>102</v>
      </c>
      <c r="BF13" s="28" t="s">
        <v>107</v>
      </c>
      <c r="BG13" s="186"/>
      <c r="BH13" s="27" t="s">
        <v>20</v>
      </c>
      <c r="BI13" s="38" t="s">
        <v>140</v>
      </c>
      <c r="BJ13" s="27" t="s">
        <v>20</v>
      </c>
      <c r="BK13" s="38" t="s">
        <v>127</v>
      </c>
      <c r="BL13" s="200"/>
      <c r="BM13" s="27" t="s">
        <v>64</v>
      </c>
      <c r="BN13" s="28" t="s">
        <v>146</v>
      </c>
      <c r="BO13" s="186"/>
      <c r="BP13" s="27" t="s">
        <v>20</v>
      </c>
      <c r="BQ13" s="35" t="s">
        <v>235</v>
      </c>
      <c r="BR13" s="27" t="s">
        <v>64</v>
      </c>
      <c r="BS13" s="35" t="s">
        <v>334</v>
      </c>
      <c r="BT13" s="200"/>
      <c r="BU13" s="40"/>
      <c r="BV13" s="28">
        <v>10</v>
      </c>
      <c r="BW13" s="200"/>
      <c r="BX13" s="40"/>
      <c r="BY13" s="40"/>
      <c r="BZ13" s="197"/>
      <c r="CA13" s="41" t="s">
        <v>20</v>
      </c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</row>
    <row r="14" spans="1:97" ht="30.75" customHeight="1">
      <c r="A14" s="24">
        <v>2</v>
      </c>
      <c r="B14" s="95" t="s">
        <v>335</v>
      </c>
      <c r="C14" s="96" t="s">
        <v>336</v>
      </c>
      <c r="D14" s="96" t="s">
        <v>337</v>
      </c>
      <c r="E14" s="197"/>
      <c r="F14" s="27" t="s">
        <v>20</v>
      </c>
      <c r="G14" s="42" t="s">
        <v>338</v>
      </c>
      <c r="H14" s="27" t="s">
        <v>20</v>
      </c>
      <c r="I14" s="42" t="s">
        <v>338</v>
      </c>
      <c r="J14" s="29"/>
      <c r="K14" s="27" t="s">
        <v>20</v>
      </c>
      <c r="L14" s="31" t="s">
        <v>68</v>
      </c>
      <c r="M14" s="27" t="s">
        <v>20</v>
      </c>
      <c r="N14" s="31" t="s">
        <v>68</v>
      </c>
      <c r="O14" s="27" t="s">
        <v>20</v>
      </c>
      <c r="P14" s="31" t="s">
        <v>68</v>
      </c>
      <c r="Q14" s="17"/>
      <c r="R14" s="92" t="s">
        <v>64</v>
      </c>
      <c r="S14" s="97" t="s">
        <v>339</v>
      </c>
      <c r="T14" s="92" t="s">
        <v>64</v>
      </c>
      <c r="U14" s="9" t="s">
        <v>115</v>
      </c>
      <c r="V14" s="92" t="s">
        <v>64</v>
      </c>
      <c r="W14" s="176" t="s">
        <v>116</v>
      </c>
      <c r="X14" s="186"/>
      <c r="Y14" s="27" t="s">
        <v>72</v>
      </c>
      <c r="Z14" s="28" t="s">
        <v>73</v>
      </c>
      <c r="AA14" s="27" t="s">
        <v>20</v>
      </c>
      <c r="AB14" s="28" t="s">
        <v>74</v>
      </c>
      <c r="AC14" s="200"/>
      <c r="AD14" s="27" t="s">
        <v>72</v>
      </c>
      <c r="AE14" s="28" t="s">
        <v>326</v>
      </c>
      <c r="AF14" s="52" t="s">
        <v>20</v>
      </c>
      <c r="AG14" s="93" t="s">
        <v>327</v>
      </c>
      <c r="AH14" s="99" t="s">
        <v>20</v>
      </c>
      <c r="AI14" s="94" t="s">
        <v>327</v>
      </c>
      <c r="AJ14" s="200"/>
      <c r="AK14" s="27" t="s">
        <v>64</v>
      </c>
      <c r="AL14" s="100" t="s">
        <v>79</v>
      </c>
      <c r="AM14" s="27" t="s">
        <v>102</v>
      </c>
      <c r="AN14" s="101" t="s">
        <v>328</v>
      </c>
      <c r="AO14" s="27" t="s">
        <v>102</v>
      </c>
      <c r="AP14" s="35" t="s">
        <v>329</v>
      </c>
      <c r="AQ14" s="200"/>
      <c r="AR14" s="27" t="s">
        <v>20</v>
      </c>
      <c r="AS14" s="28" t="s">
        <v>330</v>
      </c>
      <c r="AT14" s="27" t="s">
        <v>20</v>
      </c>
      <c r="AU14" s="28" t="s">
        <v>331</v>
      </c>
      <c r="AV14" s="27" t="s">
        <v>64</v>
      </c>
      <c r="AW14" s="28" t="s">
        <v>332</v>
      </c>
      <c r="AX14" s="27" t="s">
        <v>20</v>
      </c>
      <c r="AY14" s="28" t="s">
        <v>333</v>
      </c>
      <c r="AZ14" s="200"/>
      <c r="BA14" s="27" t="s">
        <v>64</v>
      </c>
      <c r="BB14" s="28" t="s">
        <v>85</v>
      </c>
      <c r="BC14" s="27" t="s">
        <v>64</v>
      </c>
      <c r="BD14" s="28" t="s">
        <v>86</v>
      </c>
      <c r="BE14" s="27" t="s">
        <v>20</v>
      </c>
      <c r="BF14" s="28" t="s">
        <v>87</v>
      </c>
      <c r="BG14" s="186"/>
      <c r="BH14" s="27" t="s">
        <v>64</v>
      </c>
      <c r="BI14" s="35" t="s">
        <v>88</v>
      </c>
      <c r="BJ14" s="27" t="s">
        <v>64</v>
      </c>
      <c r="BK14" s="38" t="s">
        <v>89</v>
      </c>
      <c r="BL14" s="200"/>
      <c r="BM14" s="27" t="s">
        <v>20</v>
      </c>
      <c r="BN14" s="28" t="s">
        <v>340</v>
      </c>
      <c r="BO14" s="186"/>
      <c r="BP14" s="27" t="s">
        <v>20</v>
      </c>
      <c r="BQ14" s="35" t="s">
        <v>235</v>
      </c>
      <c r="BR14" s="27" t="s">
        <v>20</v>
      </c>
      <c r="BS14" s="35" t="s">
        <v>236</v>
      </c>
      <c r="BT14" s="200"/>
      <c r="BU14" s="40"/>
      <c r="BV14" s="40"/>
      <c r="BW14" s="200"/>
      <c r="BX14" s="40"/>
      <c r="BY14" s="28">
        <v>3</v>
      </c>
      <c r="BZ14" s="197"/>
      <c r="CA14" s="102" t="s">
        <v>20</v>
      </c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</row>
    <row r="15" spans="1:97" ht="30.75" customHeight="1">
      <c r="A15" s="24">
        <v>3</v>
      </c>
      <c r="B15" s="51" t="s">
        <v>341</v>
      </c>
      <c r="C15" s="90" t="s">
        <v>342</v>
      </c>
      <c r="D15" s="91" t="s">
        <v>343</v>
      </c>
      <c r="E15" s="197"/>
      <c r="F15" s="27" t="s">
        <v>64</v>
      </c>
      <c r="G15" s="42" t="s">
        <v>241</v>
      </c>
      <c r="H15" s="27" t="s">
        <v>20</v>
      </c>
      <c r="I15" s="42" t="s">
        <v>338</v>
      </c>
      <c r="J15" s="29"/>
      <c r="K15" s="27" t="s">
        <v>20</v>
      </c>
      <c r="L15" s="31" t="s">
        <v>68</v>
      </c>
      <c r="M15" s="27" t="s">
        <v>64</v>
      </c>
      <c r="N15" s="30" t="s">
        <v>67</v>
      </c>
      <c r="O15" s="27" t="s">
        <v>64</v>
      </c>
      <c r="P15" s="30" t="s">
        <v>67</v>
      </c>
      <c r="Q15" s="17"/>
      <c r="R15" s="92" t="s">
        <v>64</v>
      </c>
      <c r="S15" s="97" t="s">
        <v>344</v>
      </c>
      <c r="T15" s="92" t="s">
        <v>64</v>
      </c>
      <c r="U15" s="9" t="s">
        <v>115</v>
      </c>
      <c r="V15" s="92" t="s">
        <v>64</v>
      </c>
      <c r="W15" s="176" t="s">
        <v>116</v>
      </c>
      <c r="X15" s="186"/>
      <c r="Y15" s="27" t="s">
        <v>20</v>
      </c>
      <c r="Z15" s="28" t="s">
        <v>73</v>
      </c>
      <c r="AA15" s="27" t="s">
        <v>20</v>
      </c>
      <c r="AB15" s="28" t="s">
        <v>74</v>
      </c>
      <c r="AC15" s="200"/>
      <c r="AD15" s="27" t="s">
        <v>72</v>
      </c>
      <c r="AE15" s="28" t="s">
        <v>326</v>
      </c>
      <c r="AF15" s="27" t="s">
        <v>20</v>
      </c>
      <c r="AG15" s="93" t="s">
        <v>327</v>
      </c>
      <c r="AH15" s="103" t="s">
        <v>20</v>
      </c>
      <c r="AI15" s="94" t="s">
        <v>327</v>
      </c>
      <c r="AJ15" s="200"/>
      <c r="AK15" s="27" t="s">
        <v>102</v>
      </c>
      <c r="AL15" s="104" t="s">
        <v>345</v>
      </c>
      <c r="AM15" s="103" t="s">
        <v>102</v>
      </c>
      <c r="AN15" s="105" t="s">
        <v>328</v>
      </c>
      <c r="AO15" s="103" t="s">
        <v>102</v>
      </c>
      <c r="AP15" s="35" t="s">
        <v>329</v>
      </c>
      <c r="AQ15" s="200"/>
      <c r="AR15" s="27" t="s">
        <v>20</v>
      </c>
      <c r="AS15" s="28" t="s">
        <v>330</v>
      </c>
      <c r="AT15" s="27" t="s">
        <v>20</v>
      </c>
      <c r="AU15" s="28" t="s">
        <v>331</v>
      </c>
      <c r="AV15" s="27" t="s">
        <v>20</v>
      </c>
      <c r="AW15" s="28" t="s">
        <v>346</v>
      </c>
      <c r="AX15" s="27" t="s">
        <v>20</v>
      </c>
      <c r="AY15" s="28" t="s">
        <v>333</v>
      </c>
      <c r="AZ15" s="200"/>
      <c r="BA15" s="27" t="s">
        <v>64</v>
      </c>
      <c r="BB15" s="28" t="s">
        <v>85</v>
      </c>
      <c r="BC15" s="27" t="s">
        <v>64</v>
      </c>
      <c r="BD15" s="28" t="s">
        <v>86</v>
      </c>
      <c r="BE15" s="27" t="s">
        <v>20</v>
      </c>
      <c r="BF15" s="28" t="s">
        <v>87</v>
      </c>
      <c r="BG15" s="186"/>
      <c r="BH15" s="27" t="s">
        <v>64</v>
      </c>
      <c r="BI15" s="35" t="s">
        <v>88</v>
      </c>
      <c r="BJ15" s="27" t="s">
        <v>64</v>
      </c>
      <c r="BK15" s="38" t="s">
        <v>89</v>
      </c>
      <c r="BL15" s="200"/>
      <c r="BM15" s="27" t="s">
        <v>64</v>
      </c>
      <c r="BN15" s="28" t="s">
        <v>146</v>
      </c>
      <c r="BO15" s="186"/>
      <c r="BP15" s="27" t="s">
        <v>20</v>
      </c>
      <c r="BQ15" s="35" t="s">
        <v>235</v>
      </c>
      <c r="BR15" s="27" t="s">
        <v>20</v>
      </c>
      <c r="BS15" s="35" t="s">
        <v>236</v>
      </c>
      <c r="BT15" s="200"/>
      <c r="BU15" s="40"/>
      <c r="BV15" s="28">
        <v>2</v>
      </c>
      <c r="BW15" s="200"/>
      <c r="BX15" s="40"/>
      <c r="BY15" s="28">
        <v>6</v>
      </c>
      <c r="BZ15" s="197"/>
      <c r="CA15" s="102" t="s">
        <v>20</v>
      </c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</row>
    <row r="16" spans="1:97" ht="30.75" customHeight="1">
      <c r="A16" s="24">
        <v>4</v>
      </c>
      <c r="B16" s="95" t="s">
        <v>347</v>
      </c>
      <c r="C16" s="96" t="s">
        <v>348</v>
      </c>
      <c r="D16" s="96" t="s">
        <v>349</v>
      </c>
      <c r="E16" s="197"/>
      <c r="F16" s="27" t="s">
        <v>64</v>
      </c>
      <c r="G16" s="42" t="s">
        <v>241</v>
      </c>
      <c r="H16" s="27" t="s">
        <v>20</v>
      </c>
      <c r="I16" s="42" t="s">
        <v>338</v>
      </c>
      <c r="J16" s="29"/>
      <c r="K16" s="27" t="s">
        <v>20</v>
      </c>
      <c r="L16" s="31" t="s">
        <v>68</v>
      </c>
      <c r="M16" s="27" t="s">
        <v>20</v>
      </c>
      <c r="N16" s="31" t="s">
        <v>68</v>
      </c>
      <c r="O16" s="27" t="s">
        <v>20</v>
      </c>
      <c r="P16" s="31" t="s">
        <v>68</v>
      </c>
      <c r="Q16" s="29"/>
      <c r="R16" s="92" t="s">
        <v>20</v>
      </c>
      <c r="S16" s="97" t="s">
        <v>325</v>
      </c>
      <c r="T16" s="92" t="s">
        <v>20</v>
      </c>
      <c r="U16" s="9" t="s">
        <v>70</v>
      </c>
      <c r="V16" s="92" t="s">
        <v>20</v>
      </c>
      <c r="W16" s="9" t="s">
        <v>71</v>
      </c>
      <c r="X16" s="186"/>
      <c r="Y16" s="27" t="s">
        <v>20</v>
      </c>
      <c r="Z16" s="28" t="s">
        <v>73</v>
      </c>
      <c r="AA16" s="27" t="s">
        <v>20</v>
      </c>
      <c r="AB16" s="28" t="s">
        <v>74</v>
      </c>
      <c r="AC16" s="200"/>
      <c r="AD16" s="27" t="s">
        <v>72</v>
      </c>
      <c r="AE16" s="28" t="s">
        <v>326</v>
      </c>
      <c r="AF16" s="27" t="s">
        <v>20</v>
      </c>
      <c r="AG16" s="93" t="s">
        <v>327</v>
      </c>
      <c r="AH16" s="103" t="s">
        <v>20</v>
      </c>
      <c r="AI16" s="93" t="s">
        <v>327</v>
      </c>
      <c r="AJ16" s="200"/>
      <c r="AK16" s="27" t="s">
        <v>20</v>
      </c>
      <c r="AL16" s="104" t="s">
        <v>350</v>
      </c>
      <c r="AM16" s="103" t="s">
        <v>20</v>
      </c>
      <c r="AN16" s="105" t="s">
        <v>351</v>
      </c>
      <c r="AO16" s="103" t="s">
        <v>20</v>
      </c>
      <c r="AP16" s="35" t="s">
        <v>352</v>
      </c>
      <c r="AQ16" s="200"/>
      <c r="AR16" s="27" t="s">
        <v>20</v>
      </c>
      <c r="AS16" s="28" t="s">
        <v>353</v>
      </c>
      <c r="AT16" s="27" t="s">
        <v>20</v>
      </c>
      <c r="AU16" s="28" t="s">
        <v>331</v>
      </c>
      <c r="AV16" s="27" t="s">
        <v>20</v>
      </c>
      <c r="AW16" s="28" t="s">
        <v>332</v>
      </c>
      <c r="AX16" s="27" t="s">
        <v>20</v>
      </c>
      <c r="AY16" s="28" t="s">
        <v>333</v>
      </c>
      <c r="AZ16" s="200"/>
      <c r="BA16" s="27" t="s">
        <v>20</v>
      </c>
      <c r="BB16" s="28" t="s">
        <v>124</v>
      </c>
      <c r="BC16" s="27" t="s">
        <v>64</v>
      </c>
      <c r="BD16" s="28" t="s">
        <v>86</v>
      </c>
      <c r="BE16" s="27" t="s">
        <v>64</v>
      </c>
      <c r="BF16" s="28" t="s">
        <v>145</v>
      </c>
      <c r="BG16" s="186"/>
      <c r="BH16" s="27" t="s">
        <v>20</v>
      </c>
      <c r="BI16" s="38" t="s">
        <v>140</v>
      </c>
      <c r="BJ16" s="27" t="s">
        <v>20</v>
      </c>
      <c r="BK16" s="38" t="s">
        <v>127</v>
      </c>
      <c r="BL16" s="200"/>
      <c r="BM16" s="27" t="s">
        <v>20</v>
      </c>
      <c r="BN16" s="28" t="s">
        <v>340</v>
      </c>
      <c r="BO16" s="186"/>
      <c r="BP16" s="27" t="s">
        <v>20</v>
      </c>
      <c r="BQ16" s="35" t="s">
        <v>235</v>
      </c>
      <c r="BR16" s="27" t="s">
        <v>20</v>
      </c>
      <c r="BS16" s="35" t="s">
        <v>236</v>
      </c>
      <c r="BT16" s="200"/>
      <c r="BU16" s="40"/>
      <c r="BV16" s="40"/>
      <c r="BW16" s="200"/>
      <c r="BX16" s="40"/>
      <c r="BY16" s="28">
        <v>3</v>
      </c>
      <c r="BZ16" s="197"/>
      <c r="CA16" s="102" t="s">
        <v>20</v>
      </c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</row>
    <row r="17" spans="1:97" ht="30.75" customHeight="1">
      <c r="A17" s="24">
        <v>5</v>
      </c>
      <c r="B17" s="95" t="s">
        <v>354</v>
      </c>
      <c r="C17" s="106" t="s">
        <v>355</v>
      </c>
      <c r="D17" s="96" t="s">
        <v>356</v>
      </c>
      <c r="E17" s="197"/>
      <c r="F17" s="27" t="s">
        <v>20</v>
      </c>
      <c r="G17" s="42" t="s">
        <v>338</v>
      </c>
      <c r="H17" s="27" t="s">
        <v>20</v>
      </c>
      <c r="I17" s="42" t="s">
        <v>338</v>
      </c>
      <c r="J17" s="29"/>
      <c r="K17" s="27" t="s">
        <v>20</v>
      </c>
      <c r="L17" s="31" t="s">
        <v>68</v>
      </c>
      <c r="M17" s="27" t="s">
        <v>20</v>
      </c>
      <c r="N17" s="31" t="s">
        <v>68</v>
      </c>
      <c r="O17" s="27" t="s">
        <v>20</v>
      </c>
      <c r="P17" s="31" t="s">
        <v>68</v>
      </c>
      <c r="Q17" s="29"/>
      <c r="R17" s="92" t="s">
        <v>20</v>
      </c>
      <c r="S17" s="97" t="s">
        <v>325</v>
      </c>
      <c r="T17" s="92" t="s">
        <v>20</v>
      </c>
      <c r="U17" s="175" t="s">
        <v>70</v>
      </c>
      <c r="V17" s="92" t="s">
        <v>20</v>
      </c>
      <c r="W17" s="98"/>
      <c r="X17" s="186"/>
      <c r="Y17" s="27" t="s">
        <v>20</v>
      </c>
      <c r="Z17" s="28" t="s">
        <v>73</v>
      </c>
      <c r="AA17" s="27" t="s">
        <v>72</v>
      </c>
      <c r="AB17" s="28" t="s">
        <v>74</v>
      </c>
      <c r="AC17" s="200"/>
      <c r="AD17" s="27" t="s">
        <v>72</v>
      </c>
      <c r="AE17" s="28" t="s">
        <v>326</v>
      </c>
      <c r="AF17" s="27" t="s">
        <v>72</v>
      </c>
      <c r="AG17" s="93" t="s">
        <v>327</v>
      </c>
      <c r="AH17" s="103" t="s">
        <v>72</v>
      </c>
      <c r="AI17" s="93" t="s">
        <v>327</v>
      </c>
      <c r="AJ17" s="200"/>
      <c r="AK17" s="27" t="s">
        <v>20</v>
      </c>
      <c r="AL17" s="104" t="s">
        <v>79</v>
      </c>
      <c r="AM17" s="103" t="s">
        <v>64</v>
      </c>
      <c r="AN17" s="107" t="s">
        <v>357</v>
      </c>
      <c r="AO17" s="27" t="s">
        <v>20</v>
      </c>
      <c r="AP17" s="35" t="s">
        <v>80</v>
      </c>
      <c r="AQ17" s="200"/>
      <c r="AR17" s="27" t="s">
        <v>20</v>
      </c>
      <c r="AS17" s="28" t="s">
        <v>330</v>
      </c>
      <c r="AT17" s="27" t="s">
        <v>20</v>
      </c>
      <c r="AU17" s="28" t="s">
        <v>358</v>
      </c>
      <c r="AV17" s="27" t="s">
        <v>20</v>
      </c>
      <c r="AW17" s="28" t="s">
        <v>332</v>
      </c>
      <c r="AX17" s="27" t="s">
        <v>20</v>
      </c>
      <c r="AY17" s="28" t="s">
        <v>333</v>
      </c>
      <c r="AZ17" s="200"/>
      <c r="BA17" s="27" t="s">
        <v>20</v>
      </c>
      <c r="BB17" s="28" t="s">
        <v>124</v>
      </c>
      <c r="BC17" s="27" t="s">
        <v>20</v>
      </c>
      <c r="BD17" s="28" t="s">
        <v>125</v>
      </c>
      <c r="BE17" s="27" t="s">
        <v>64</v>
      </c>
      <c r="BF17" s="28" t="s">
        <v>145</v>
      </c>
      <c r="BG17" s="186"/>
      <c r="BH17" s="27" t="s">
        <v>20</v>
      </c>
      <c r="BI17" s="38" t="s">
        <v>140</v>
      </c>
      <c r="BJ17" s="27" t="s">
        <v>64</v>
      </c>
      <c r="BK17" s="38" t="s">
        <v>89</v>
      </c>
      <c r="BL17" s="200"/>
      <c r="BM17" s="27" t="s">
        <v>20</v>
      </c>
      <c r="BN17" s="28" t="s">
        <v>340</v>
      </c>
      <c r="BO17" s="186"/>
      <c r="BP17" s="27" t="s">
        <v>20</v>
      </c>
      <c r="BQ17" s="35" t="s">
        <v>235</v>
      </c>
      <c r="BR17" s="27" t="s">
        <v>64</v>
      </c>
      <c r="BS17" s="35" t="s">
        <v>334</v>
      </c>
      <c r="BT17" s="200"/>
      <c r="BU17" s="40"/>
      <c r="BV17" s="40"/>
      <c r="BW17" s="200"/>
      <c r="BX17" s="40"/>
      <c r="BY17" s="28">
        <v>2</v>
      </c>
      <c r="BZ17" s="197"/>
      <c r="CA17" s="102" t="s">
        <v>20</v>
      </c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</row>
    <row r="18" spans="1:97" ht="30.75" customHeight="1">
      <c r="A18" s="24">
        <v>6</v>
      </c>
      <c r="B18" s="108" t="s">
        <v>359</v>
      </c>
      <c r="C18" s="96" t="s">
        <v>360</v>
      </c>
      <c r="D18" s="109" t="s">
        <v>361</v>
      </c>
      <c r="E18" s="197"/>
      <c r="F18" s="27" t="s">
        <v>64</v>
      </c>
      <c r="G18" s="42" t="s">
        <v>241</v>
      </c>
      <c r="H18" s="27" t="s">
        <v>64</v>
      </c>
      <c r="I18" s="42" t="s">
        <v>241</v>
      </c>
      <c r="J18" s="29"/>
      <c r="K18" s="27" t="s">
        <v>20</v>
      </c>
      <c r="L18" s="31" t="s">
        <v>68</v>
      </c>
      <c r="M18" s="27" t="s">
        <v>20</v>
      </c>
      <c r="N18" s="31" t="s">
        <v>68</v>
      </c>
      <c r="O18" s="27" t="s">
        <v>20</v>
      </c>
      <c r="P18" s="31" t="s">
        <v>68</v>
      </c>
      <c r="Q18" s="29"/>
      <c r="R18" s="92" t="s">
        <v>64</v>
      </c>
      <c r="S18" s="97" t="s">
        <v>344</v>
      </c>
      <c r="T18" s="92" t="s">
        <v>64</v>
      </c>
      <c r="U18" s="9" t="s">
        <v>115</v>
      </c>
      <c r="V18" s="92" t="s">
        <v>64</v>
      </c>
      <c r="W18" s="176" t="s">
        <v>116</v>
      </c>
      <c r="X18" s="186"/>
      <c r="Y18" s="27" t="s">
        <v>20</v>
      </c>
      <c r="Z18" s="28" t="s">
        <v>73</v>
      </c>
      <c r="AA18" s="27" t="s">
        <v>20</v>
      </c>
      <c r="AB18" s="28" t="s">
        <v>74</v>
      </c>
      <c r="AC18" s="200"/>
      <c r="AD18" s="27" t="s">
        <v>72</v>
      </c>
      <c r="AE18" s="28" t="s">
        <v>326</v>
      </c>
      <c r="AF18" s="27" t="s">
        <v>20</v>
      </c>
      <c r="AG18" s="93" t="s">
        <v>327</v>
      </c>
      <c r="AH18" s="103" t="s">
        <v>20</v>
      </c>
      <c r="AI18" s="93" t="s">
        <v>327</v>
      </c>
      <c r="AJ18" s="200"/>
      <c r="AK18" s="27" t="s">
        <v>20</v>
      </c>
      <c r="AL18" s="104" t="s">
        <v>79</v>
      </c>
      <c r="AM18" s="103" t="s">
        <v>20</v>
      </c>
      <c r="AN18" s="35" t="s">
        <v>362</v>
      </c>
      <c r="AO18" s="27" t="s">
        <v>20</v>
      </c>
      <c r="AP18" s="35" t="s">
        <v>363</v>
      </c>
      <c r="AQ18" s="200"/>
      <c r="AR18" s="27" t="s">
        <v>102</v>
      </c>
      <c r="AS18" s="28" t="s">
        <v>364</v>
      </c>
      <c r="AT18" s="27" t="s">
        <v>64</v>
      </c>
      <c r="AU18" s="28" t="s">
        <v>365</v>
      </c>
      <c r="AV18" s="27" t="s">
        <v>64</v>
      </c>
      <c r="AW18" s="28" t="s">
        <v>366</v>
      </c>
      <c r="AX18" s="27" t="s">
        <v>64</v>
      </c>
      <c r="AY18" s="28" t="s">
        <v>367</v>
      </c>
      <c r="AZ18" s="200"/>
      <c r="BA18" s="27" t="s">
        <v>64</v>
      </c>
      <c r="BB18" s="28" t="s">
        <v>85</v>
      </c>
      <c r="BC18" s="27" t="s">
        <v>64</v>
      </c>
      <c r="BD18" s="28" t="s">
        <v>86</v>
      </c>
      <c r="BE18" s="27" t="s">
        <v>64</v>
      </c>
      <c r="BF18" s="28" t="s">
        <v>145</v>
      </c>
      <c r="BG18" s="186"/>
      <c r="BH18" s="27" t="s">
        <v>20</v>
      </c>
      <c r="BI18" s="38" t="s">
        <v>140</v>
      </c>
      <c r="BJ18" s="27" t="s">
        <v>64</v>
      </c>
      <c r="BK18" s="38" t="s">
        <v>89</v>
      </c>
      <c r="BL18" s="200"/>
      <c r="BM18" s="27" t="s">
        <v>64</v>
      </c>
      <c r="BN18" s="28" t="s">
        <v>146</v>
      </c>
      <c r="BO18" s="186"/>
      <c r="BP18" s="27" t="s">
        <v>20</v>
      </c>
      <c r="BQ18" s="35" t="s">
        <v>235</v>
      </c>
      <c r="BR18" s="27" t="s">
        <v>20</v>
      </c>
      <c r="BS18" s="35" t="s">
        <v>236</v>
      </c>
      <c r="BT18" s="200"/>
      <c r="BU18" s="40"/>
      <c r="BV18" s="40"/>
      <c r="BW18" s="200"/>
      <c r="BX18" s="40"/>
      <c r="BY18" s="28">
        <v>3</v>
      </c>
      <c r="BZ18" s="197"/>
      <c r="CA18" s="102" t="s">
        <v>20</v>
      </c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</row>
    <row r="19" spans="1:97" ht="30.75" customHeight="1">
      <c r="A19" s="24">
        <v>7</v>
      </c>
      <c r="B19" s="51" t="s">
        <v>368</v>
      </c>
      <c r="C19" s="90" t="s">
        <v>369</v>
      </c>
      <c r="D19" s="90" t="s">
        <v>370</v>
      </c>
      <c r="E19" s="197"/>
      <c r="F19" s="27" t="s">
        <v>64</v>
      </c>
      <c r="G19" s="42" t="s">
        <v>241</v>
      </c>
      <c r="H19" s="27" t="s">
        <v>64</v>
      </c>
      <c r="I19" s="42" t="s">
        <v>241</v>
      </c>
      <c r="J19" s="29"/>
      <c r="K19" s="27" t="s">
        <v>64</v>
      </c>
      <c r="L19" s="30" t="s">
        <v>67</v>
      </c>
      <c r="M19" s="27" t="s">
        <v>20</v>
      </c>
      <c r="N19" s="31" t="s">
        <v>68</v>
      </c>
      <c r="O19" s="27" t="s">
        <v>64</v>
      </c>
      <c r="P19" s="30" t="s">
        <v>67</v>
      </c>
      <c r="Q19" s="29"/>
      <c r="R19" s="92" t="s">
        <v>20</v>
      </c>
      <c r="S19" s="97" t="s">
        <v>325</v>
      </c>
      <c r="T19" s="92" t="s">
        <v>20</v>
      </c>
      <c r="U19" s="176" t="s">
        <v>70</v>
      </c>
      <c r="V19" s="92" t="s">
        <v>20</v>
      </c>
      <c r="W19" s="9" t="s">
        <v>71</v>
      </c>
      <c r="X19" s="186"/>
      <c r="Y19" s="27" t="s">
        <v>20</v>
      </c>
      <c r="Z19" s="28" t="s">
        <v>73</v>
      </c>
      <c r="AA19" s="27" t="s">
        <v>72</v>
      </c>
      <c r="AB19" s="28" t="s">
        <v>74</v>
      </c>
      <c r="AC19" s="200"/>
      <c r="AD19" s="27" t="s">
        <v>72</v>
      </c>
      <c r="AE19" s="28" t="s">
        <v>326</v>
      </c>
      <c r="AF19" s="27" t="s">
        <v>20</v>
      </c>
      <c r="AG19" s="93" t="s">
        <v>327</v>
      </c>
      <c r="AH19" s="103" t="s">
        <v>20</v>
      </c>
      <c r="AI19" s="93" t="s">
        <v>327</v>
      </c>
      <c r="AJ19" s="200"/>
      <c r="AK19" s="27" t="s">
        <v>102</v>
      </c>
      <c r="AL19" s="104" t="s">
        <v>345</v>
      </c>
      <c r="AM19" s="103" t="s">
        <v>64</v>
      </c>
      <c r="AN19" s="35" t="s">
        <v>371</v>
      </c>
      <c r="AO19" s="27" t="s">
        <v>102</v>
      </c>
      <c r="AP19" s="35" t="s">
        <v>329</v>
      </c>
      <c r="AQ19" s="200"/>
      <c r="AR19" s="27" t="s">
        <v>102</v>
      </c>
      <c r="AS19" s="28" t="s">
        <v>364</v>
      </c>
      <c r="AT19" s="27" t="s">
        <v>64</v>
      </c>
      <c r="AU19" s="28" t="s">
        <v>372</v>
      </c>
      <c r="AV19" s="27" t="s">
        <v>102</v>
      </c>
      <c r="AW19" s="28" t="s">
        <v>373</v>
      </c>
      <c r="AX19" s="27" t="s">
        <v>64</v>
      </c>
      <c r="AY19" s="28" t="s">
        <v>367</v>
      </c>
      <c r="AZ19" s="200"/>
      <c r="BA19" s="27" t="s">
        <v>64</v>
      </c>
      <c r="BB19" s="28" t="s">
        <v>85</v>
      </c>
      <c r="BC19" s="27" t="s">
        <v>64</v>
      </c>
      <c r="BD19" s="28" t="s">
        <v>86</v>
      </c>
      <c r="BE19" s="27" t="s">
        <v>102</v>
      </c>
      <c r="BF19" s="28" t="s">
        <v>107</v>
      </c>
      <c r="BG19" s="186"/>
      <c r="BH19" s="27" t="s">
        <v>64</v>
      </c>
      <c r="BI19" s="35" t="s">
        <v>88</v>
      </c>
      <c r="BJ19" s="27" t="s">
        <v>102</v>
      </c>
      <c r="BK19" s="38" t="s">
        <v>108</v>
      </c>
      <c r="BL19" s="200"/>
      <c r="BM19" s="27" t="s">
        <v>64</v>
      </c>
      <c r="BN19" s="28" t="s">
        <v>146</v>
      </c>
      <c r="BO19" s="186"/>
      <c r="BP19" s="27" t="s">
        <v>20</v>
      </c>
      <c r="BQ19" s="35" t="s">
        <v>235</v>
      </c>
      <c r="BR19" s="27" t="s">
        <v>20</v>
      </c>
      <c r="BS19" s="35" t="s">
        <v>236</v>
      </c>
      <c r="BT19" s="200"/>
      <c r="BU19" s="40"/>
      <c r="BV19" s="40"/>
      <c r="BW19" s="200"/>
      <c r="BX19" s="40"/>
      <c r="BY19" s="28">
        <v>1</v>
      </c>
      <c r="BZ19" s="197"/>
      <c r="CA19" s="102" t="s">
        <v>20</v>
      </c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</row>
    <row r="20" spans="1:97" ht="30.75" customHeight="1">
      <c r="A20" s="24">
        <v>8</v>
      </c>
      <c r="B20" s="51" t="s">
        <v>374</v>
      </c>
      <c r="C20" s="90" t="s">
        <v>369</v>
      </c>
      <c r="D20" s="91" t="s">
        <v>375</v>
      </c>
      <c r="E20" s="197"/>
      <c r="F20" s="27" t="s">
        <v>102</v>
      </c>
      <c r="G20" s="42" t="s">
        <v>240</v>
      </c>
      <c r="H20" s="27" t="s">
        <v>102</v>
      </c>
      <c r="I20" s="42" t="s">
        <v>240</v>
      </c>
      <c r="J20" s="29"/>
      <c r="K20" s="27" t="s">
        <v>102</v>
      </c>
      <c r="L20" s="28" t="s">
        <v>103</v>
      </c>
      <c r="M20" s="27" t="s">
        <v>102</v>
      </c>
      <c r="N20" s="28" t="s">
        <v>103</v>
      </c>
      <c r="O20" s="27" t="s">
        <v>102</v>
      </c>
      <c r="P20" s="28" t="s">
        <v>103</v>
      </c>
      <c r="Q20" s="29"/>
      <c r="R20" s="92" t="s">
        <v>102</v>
      </c>
      <c r="S20" s="176" t="s">
        <v>122</v>
      </c>
      <c r="T20" s="92" t="s">
        <v>102</v>
      </c>
      <c r="U20" s="176" t="s">
        <v>657</v>
      </c>
      <c r="V20" s="92" t="s">
        <v>102</v>
      </c>
      <c r="W20" s="98"/>
      <c r="X20" s="186"/>
      <c r="Y20" s="27" t="s">
        <v>102</v>
      </c>
      <c r="Z20" s="28" t="s">
        <v>264</v>
      </c>
      <c r="AA20" s="27" t="s">
        <v>102</v>
      </c>
      <c r="AB20" s="28" t="s">
        <v>169</v>
      </c>
      <c r="AC20" s="200"/>
      <c r="AD20" s="27" t="s">
        <v>102</v>
      </c>
      <c r="AE20" s="28" t="s">
        <v>376</v>
      </c>
      <c r="AF20" s="27" t="s">
        <v>102</v>
      </c>
      <c r="AG20" s="28" t="s">
        <v>376</v>
      </c>
      <c r="AH20" s="103" t="s">
        <v>102</v>
      </c>
      <c r="AI20" s="28" t="s">
        <v>376</v>
      </c>
      <c r="AJ20" s="200"/>
      <c r="AK20" s="27" t="s">
        <v>102</v>
      </c>
      <c r="AL20" s="107" t="s">
        <v>345</v>
      </c>
      <c r="AM20" s="27" t="s">
        <v>102</v>
      </c>
      <c r="AN20" s="28" t="s">
        <v>328</v>
      </c>
      <c r="AO20" s="27" t="s">
        <v>102</v>
      </c>
      <c r="AP20" s="28" t="s">
        <v>329</v>
      </c>
      <c r="AQ20" s="200"/>
      <c r="AR20" s="27" t="s">
        <v>102</v>
      </c>
      <c r="AS20" s="28" t="s">
        <v>364</v>
      </c>
      <c r="AT20" s="27" t="s">
        <v>102</v>
      </c>
      <c r="AU20" s="28" t="s">
        <v>365</v>
      </c>
      <c r="AV20" s="27" t="s">
        <v>64</v>
      </c>
      <c r="AW20" s="28" t="s">
        <v>377</v>
      </c>
      <c r="AX20" s="27" t="s">
        <v>64</v>
      </c>
      <c r="AY20" s="28" t="s">
        <v>367</v>
      </c>
      <c r="AZ20" s="200"/>
      <c r="BA20" s="27" t="s">
        <v>102</v>
      </c>
      <c r="BB20" s="28" t="s">
        <v>106</v>
      </c>
      <c r="BC20" s="27" t="s">
        <v>102</v>
      </c>
      <c r="BD20" s="28" t="s">
        <v>206</v>
      </c>
      <c r="BE20" s="27" t="s">
        <v>102</v>
      </c>
      <c r="BF20" s="28" t="s">
        <v>107</v>
      </c>
      <c r="BG20" s="186"/>
      <c r="BH20" s="27" t="s">
        <v>64</v>
      </c>
      <c r="BI20" s="35" t="s">
        <v>88</v>
      </c>
      <c r="BJ20" s="27" t="s">
        <v>102</v>
      </c>
      <c r="BK20" s="38" t="s">
        <v>108</v>
      </c>
      <c r="BL20" s="200"/>
      <c r="BM20" s="27" t="s">
        <v>64</v>
      </c>
      <c r="BN20" s="28" t="s">
        <v>146</v>
      </c>
      <c r="BO20" s="186"/>
      <c r="BP20" s="27" t="s">
        <v>20</v>
      </c>
      <c r="BQ20" s="35" t="s">
        <v>235</v>
      </c>
      <c r="BR20" s="27" t="s">
        <v>20</v>
      </c>
      <c r="BS20" s="35" t="s">
        <v>236</v>
      </c>
      <c r="BT20" s="200"/>
      <c r="BU20" s="40"/>
      <c r="BV20" s="28">
        <v>29</v>
      </c>
      <c r="BW20" s="200"/>
      <c r="BX20" s="40"/>
      <c r="BY20" s="40"/>
      <c r="BZ20" s="197"/>
      <c r="CA20" s="41" t="s">
        <v>64</v>
      </c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</row>
    <row r="21" spans="1:97" ht="30.75" customHeight="1">
      <c r="A21" s="24">
        <v>9</v>
      </c>
      <c r="B21" s="51" t="s">
        <v>94</v>
      </c>
      <c r="C21" s="90" t="s">
        <v>378</v>
      </c>
      <c r="D21" s="91" t="s">
        <v>379</v>
      </c>
      <c r="E21" s="197"/>
      <c r="F21" s="27" t="s">
        <v>102</v>
      </c>
      <c r="G21" s="42" t="s">
        <v>240</v>
      </c>
      <c r="H21" s="27" t="s">
        <v>64</v>
      </c>
      <c r="I21" s="42" t="s">
        <v>241</v>
      </c>
      <c r="J21" s="29"/>
      <c r="K21" s="27" t="s">
        <v>102</v>
      </c>
      <c r="L21" s="28" t="s">
        <v>103</v>
      </c>
      <c r="M21" s="27" t="s">
        <v>102</v>
      </c>
      <c r="N21" s="28" t="s">
        <v>103</v>
      </c>
      <c r="O21" s="27" t="s">
        <v>102</v>
      </c>
      <c r="P21" s="28" t="s">
        <v>103</v>
      </c>
      <c r="Q21" s="29"/>
      <c r="R21" s="92" t="s">
        <v>64</v>
      </c>
      <c r="S21" s="97" t="s">
        <v>114</v>
      </c>
      <c r="T21" s="92" t="s">
        <v>64</v>
      </c>
      <c r="U21" s="9" t="s">
        <v>115</v>
      </c>
      <c r="V21" s="92" t="s">
        <v>64</v>
      </c>
      <c r="W21" s="176" t="s">
        <v>116</v>
      </c>
      <c r="X21" s="186"/>
      <c r="Y21" s="27" t="s">
        <v>102</v>
      </c>
      <c r="Z21" s="28" t="s">
        <v>264</v>
      </c>
      <c r="AA21" s="27" t="s">
        <v>102</v>
      </c>
      <c r="AB21" s="28" t="s">
        <v>169</v>
      </c>
      <c r="AC21" s="200"/>
      <c r="AD21" s="27" t="s">
        <v>72</v>
      </c>
      <c r="AE21" s="28" t="s">
        <v>326</v>
      </c>
      <c r="AF21" s="27" t="s">
        <v>20</v>
      </c>
      <c r="AG21" s="93" t="s">
        <v>327</v>
      </c>
      <c r="AH21" s="103" t="s">
        <v>20</v>
      </c>
      <c r="AI21" s="93" t="s">
        <v>327</v>
      </c>
      <c r="AJ21" s="200"/>
      <c r="AK21" s="27" t="s">
        <v>20</v>
      </c>
      <c r="AL21" s="35" t="s">
        <v>380</v>
      </c>
      <c r="AM21" s="27" t="s">
        <v>20</v>
      </c>
      <c r="AN21" s="35" t="s">
        <v>371</v>
      </c>
      <c r="AO21" s="27" t="s">
        <v>64</v>
      </c>
      <c r="AP21" s="35" t="s">
        <v>381</v>
      </c>
      <c r="AQ21" s="200"/>
      <c r="AR21" s="27" t="s">
        <v>102</v>
      </c>
      <c r="AS21" s="28" t="s">
        <v>364</v>
      </c>
      <c r="AT21" s="27" t="s">
        <v>102</v>
      </c>
      <c r="AU21" s="28" t="s">
        <v>365</v>
      </c>
      <c r="AV21" s="27" t="s">
        <v>64</v>
      </c>
      <c r="AW21" s="28" t="s">
        <v>366</v>
      </c>
      <c r="AX21" s="27" t="s">
        <v>64</v>
      </c>
      <c r="AY21" s="28" t="s">
        <v>367</v>
      </c>
      <c r="AZ21" s="200"/>
      <c r="BA21" s="27" t="s">
        <v>64</v>
      </c>
      <c r="BB21" s="28" t="s">
        <v>85</v>
      </c>
      <c r="BC21" s="27" t="s">
        <v>64</v>
      </c>
      <c r="BD21" s="28" t="s">
        <v>86</v>
      </c>
      <c r="BE21" s="27" t="s">
        <v>64</v>
      </c>
      <c r="BF21" s="28" t="s">
        <v>145</v>
      </c>
      <c r="BG21" s="186"/>
      <c r="BH21" s="27" t="s">
        <v>64</v>
      </c>
      <c r="BI21" s="35" t="s">
        <v>88</v>
      </c>
      <c r="BJ21" s="27" t="s">
        <v>64</v>
      </c>
      <c r="BK21" s="38" t="s">
        <v>89</v>
      </c>
      <c r="BL21" s="200"/>
      <c r="BM21" s="27" t="s">
        <v>64</v>
      </c>
      <c r="BN21" s="28" t="s">
        <v>146</v>
      </c>
      <c r="BO21" s="186"/>
      <c r="BP21" s="27" t="s">
        <v>20</v>
      </c>
      <c r="BQ21" s="35" t="s">
        <v>235</v>
      </c>
      <c r="BR21" s="27" t="s">
        <v>20</v>
      </c>
      <c r="BS21" s="35" t="s">
        <v>236</v>
      </c>
      <c r="BT21" s="200"/>
      <c r="BU21" s="40"/>
      <c r="BV21" s="28">
        <v>3</v>
      </c>
      <c r="BW21" s="200"/>
      <c r="BX21" s="40"/>
      <c r="BY21" s="28">
        <v>17</v>
      </c>
      <c r="BZ21" s="197"/>
      <c r="CA21" s="41" t="s">
        <v>64</v>
      </c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</row>
    <row r="22" spans="1:97" ht="30.75" customHeight="1">
      <c r="A22" s="24">
        <v>10</v>
      </c>
      <c r="B22" s="56" t="s">
        <v>382</v>
      </c>
      <c r="C22" s="96" t="s">
        <v>302</v>
      </c>
      <c r="D22" s="96" t="s">
        <v>383</v>
      </c>
      <c r="E22" s="197"/>
      <c r="F22" s="27" t="s">
        <v>64</v>
      </c>
      <c r="G22" s="42" t="s">
        <v>241</v>
      </c>
      <c r="H22" s="27" t="s">
        <v>20</v>
      </c>
      <c r="I22" s="42" t="s">
        <v>338</v>
      </c>
      <c r="J22" s="29"/>
      <c r="K22" s="27" t="s">
        <v>64</v>
      </c>
      <c r="L22" s="30" t="s">
        <v>67</v>
      </c>
      <c r="M22" s="27" t="s">
        <v>102</v>
      </c>
      <c r="N22" s="28" t="s">
        <v>103</v>
      </c>
      <c r="O22" s="27" t="s">
        <v>102</v>
      </c>
      <c r="P22" s="28" t="s">
        <v>103</v>
      </c>
      <c r="Q22" s="29"/>
      <c r="R22" s="92" t="s">
        <v>64</v>
      </c>
      <c r="S22" s="97" t="s">
        <v>384</v>
      </c>
      <c r="T22" s="92" t="s">
        <v>64</v>
      </c>
      <c r="U22" s="9" t="s">
        <v>115</v>
      </c>
      <c r="V22" s="92" t="s">
        <v>64</v>
      </c>
      <c r="W22" s="176" t="s">
        <v>116</v>
      </c>
      <c r="X22" s="186"/>
      <c r="Y22" s="27" t="s">
        <v>20</v>
      </c>
      <c r="Z22" s="28" t="s">
        <v>73</v>
      </c>
      <c r="AA22" s="27" t="s">
        <v>20</v>
      </c>
      <c r="AB22" s="28" t="s">
        <v>74</v>
      </c>
      <c r="AC22" s="200"/>
      <c r="AD22" s="27" t="s">
        <v>72</v>
      </c>
      <c r="AE22" s="28" t="s">
        <v>326</v>
      </c>
      <c r="AF22" s="27" t="s">
        <v>72</v>
      </c>
      <c r="AG22" s="28" t="s">
        <v>326</v>
      </c>
      <c r="AH22" s="103" t="s">
        <v>72</v>
      </c>
      <c r="AI22" s="28" t="s">
        <v>326</v>
      </c>
      <c r="AJ22" s="200"/>
      <c r="AK22" s="27" t="s">
        <v>64</v>
      </c>
      <c r="AL22" s="35" t="s">
        <v>385</v>
      </c>
      <c r="AM22" s="27" t="s">
        <v>64</v>
      </c>
      <c r="AN22" s="28" t="s">
        <v>386</v>
      </c>
      <c r="AO22" s="27" t="s">
        <v>102</v>
      </c>
      <c r="AP22" s="28" t="s">
        <v>329</v>
      </c>
      <c r="AQ22" s="200"/>
      <c r="AR22" s="27" t="s">
        <v>64</v>
      </c>
      <c r="AS22" s="28" t="s">
        <v>364</v>
      </c>
      <c r="AT22" s="27" t="s">
        <v>20</v>
      </c>
      <c r="AU22" s="28" t="s">
        <v>331</v>
      </c>
      <c r="AV22" s="27" t="s">
        <v>20</v>
      </c>
      <c r="AW22" s="28" t="s">
        <v>332</v>
      </c>
      <c r="AX22" s="27" t="s">
        <v>20</v>
      </c>
      <c r="AY22" s="28" t="s">
        <v>333</v>
      </c>
      <c r="AZ22" s="200"/>
      <c r="BA22" s="27" t="s">
        <v>64</v>
      </c>
      <c r="BB22" s="28" t="s">
        <v>85</v>
      </c>
      <c r="BC22" s="27" t="s">
        <v>64</v>
      </c>
      <c r="BD22" s="28" t="s">
        <v>86</v>
      </c>
      <c r="BE22" s="27" t="s">
        <v>64</v>
      </c>
      <c r="BF22" s="28" t="s">
        <v>145</v>
      </c>
      <c r="BG22" s="186"/>
      <c r="BH22" s="27" t="s">
        <v>102</v>
      </c>
      <c r="BI22" s="38" t="s">
        <v>108</v>
      </c>
      <c r="BJ22" s="27" t="s">
        <v>102</v>
      </c>
      <c r="BK22" s="38" t="s">
        <v>108</v>
      </c>
      <c r="BL22" s="200"/>
      <c r="BM22" s="27" t="s">
        <v>64</v>
      </c>
      <c r="BN22" s="28" t="s">
        <v>146</v>
      </c>
      <c r="BO22" s="186"/>
      <c r="BP22" s="27" t="s">
        <v>20</v>
      </c>
      <c r="BQ22" s="35" t="s">
        <v>235</v>
      </c>
      <c r="BR22" s="27" t="s">
        <v>64</v>
      </c>
      <c r="BS22" s="35" t="s">
        <v>334</v>
      </c>
      <c r="BT22" s="200"/>
      <c r="BU22" s="40"/>
      <c r="BV22" s="28">
        <v>4</v>
      </c>
      <c r="BW22" s="200"/>
      <c r="BX22" s="40"/>
      <c r="BY22" s="28">
        <v>9</v>
      </c>
      <c r="BZ22" s="197"/>
      <c r="CA22" s="41" t="s">
        <v>20</v>
      </c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</row>
    <row r="23" spans="1:97" ht="30.75" customHeight="1">
      <c r="A23" s="24">
        <v>11</v>
      </c>
      <c r="B23" s="51" t="s">
        <v>270</v>
      </c>
      <c r="C23" s="90" t="s">
        <v>387</v>
      </c>
      <c r="D23" s="90" t="s">
        <v>388</v>
      </c>
      <c r="E23" s="197"/>
      <c r="F23" s="27" t="s">
        <v>64</v>
      </c>
      <c r="G23" s="42" t="s">
        <v>241</v>
      </c>
      <c r="H23" s="27" t="s">
        <v>20</v>
      </c>
      <c r="I23" s="42" t="s">
        <v>338</v>
      </c>
      <c r="J23" s="29"/>
      <c r="K23" s="27" t="s">
        <v>64</v>
      </c>
      <c r="L23" s="30" t="s">
        <v>67</v>
      </c>
      <c r="M23" s="27" t="s">
        <v>64</v>
      </c>
      <c r="N23" s="30" t="s">
        <v>67</v>
      </c>
      <c r="O23" s="27" t="s">
        <v>64</v>
      </c>
      <c r="P23" s="30" t="s">
        <v>67</v>
      </c>
      <c r="Q23" s="29"/>
      <c r="R23" s="92" t="s">
        <v>20</v>
      </c>
      <c r="S23" s="97" t="s">
        <v>325</v>
      </c>
      <c r="T23" s="92" t="s">
        <v>64</v>
      </c>
      <c r="U23" s="9" t="s">
        <v>115</v>
      </c>
      <c r="V23" s="92" t="s">
        <v>64</v>
      </c>
      <c r="W23" s="176" t="s">
        <v>116</v>
      </c>
      <c r="X23" s="186"/>
      <c r="Y23" s="27" t="s">
        <v>20</v>
      </c>
      <c r="Z23" s="28" t="s">
        <v>73</v>
      </c>
      <c r="AA23" s="27" t="s">
        <v>20</v>
      </c>
      <c r="AB23" s="28" t="s">
        <v>74</v>
      </c>
      <c r="AC23" s="200"/>
      <c r="AD23" s="27" t="s">
        <v>72</v>
      </c>
      <c r="AE23" s="28" t="s">
        <v>326</v>
      </c>
      <c r="AF23" s="27" t="s">
        <v>72</v>
      </c>
      <c r="AG23" s="28" t="s">
        <v>326</v>
      </c>
      <c r="AH23" s="103" t="s">
        <v>72</v>
      </c>
      <c r="AI23" s="28" t="s">
        <v>326</v>
      </c>
      <c r="AJ23" s="200"/>
      <c r="AK23" s="27" t="s">
        <v>20</v>
      </c>
      <c r="AL23" s="35" t="s">
        <v>389</v>
      </c>
      <c r="AM23" s="27" t="s">
        <v>20</v>
      </c>
      <c r="AN23" s="28" t="s">
        <v>390</v>
      </c>
      <c r="AO23" s="27" t="s">
        <v>20</v>
      </c>
      <c r="AP23" s="28" t="s">
        <v>391</v>
      </c>
      <c r="AQ23" s="200"/>
      <c r="AR23" s="27" t="s">
        <v>20</v>
      </c>
      <c r="AS23" s="28" t="s">
        <v>330</v>
      </c>
      <c r="AT23" s="27" t="s">
        <v>20</v>
      </c>
      <c r="AU23" s="28" t="s">
        <v>331</v>
      </c>
      <c r="AV23" s="27" t="s">
        <v>20</v>
      </c>
      <c r="AW23" s="28" t="s">
        <v>332</v>
      </c>
      <c r="AX23" s="27" t="s">
        <v>20</v>
      </c>
      <c r="AY23" s="28" t="s">
        <v>333</v>
      </c>
      <c r="AZ23" s="200"/>
      <c r="BA23" s="27" t="s">
        <v>64</v>
      </c>
      <c r="BB23" s="28" t="s">
        <v>85</v>
      </c>
      <c r="BC23" s="27" t="s">
        <v>64</v>
      </c>
      <c r="BD23" s="28" t="s">
        <v>86</v>
      </c>
      <c r="BE23" s="27" t="s">
        <v>102</v>
      </c>
      <c r="BF23" s="28" t="s">
        <v>107</v>
      </c>
      <c r="BG23" s="186"/>
      <c r="BH23" s="27" t="s">
        <v>20</v>
      </c>
      <c r="BI23" s="38" t="s">
        <v>140</v>
      </c>
      <c r="BJ23" s="27" t="s">
        <v>20</v>
      </c>
      <c r="BK23" s="38" t="s">
        <v>127</v>
      </c>
      <c r="BL23" s="200"/>
      <c r="BM23" s="27" t="s">
        <v>20</v>
      </c>
      <c r="BN23" s="28" t="s">
        <v>340</v>
      </c>
      <c r="BO23" s="186"/>
      <c r="BP23" s="27" t="s">
        <v>20</v>
      </c>
      <c r="BQ23" s="35" t="s">
        <v>392</v>
      </c>
      <c r="BR23" s="27" t="s">
        <v>20</v>
      </c>
      <c r="BS23" s="35" t="s">
        <v>236</v>
      </c>
      <c r="BT23" s="200"/>
      <c r="BU23" s="40"/>
      <c r="BV23" s="28">
        <v>1</v>
      </c>
      <c r="BW23" s="200"/>
      <c r="BX23" s="40"/>
      <c r="BY23" s="28">
        <v>2</v>
      </c>
      <c r="BZ23" s="197"/>
      <c r="CA23" s="41" t="s">
        <v>20</v>
      </c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</row>
    <row r="24" spans="1:97" ht="30.75" customHeight="1">
      <c r="A24" s="24">
        <v>12</v>
      </c>
      <c r="B24" s="95" t="s">
        <v>393</v>
      </c>
      <c r="C24" s="56" t="s">
        <v>394</v>
      </c>
      <c r="D24" s="56" t="s">
        <v>395</v>
      </c>
      <c r="E24" s="197"/>
      <c r="F24" s="27" t="s">
        <v>20</v>
      </c>
      <c r="G24" s="42" t="s">
        <v>338</v>
      </c>
      <c r="H24" s="27" t="s">
        <v>64</v>
      </c>
      <c r="I24" s="42" t="s">
        <v>241</v>
      </c>
      <c r="J24" s="29"/>
      <c r="K24" s="27" t="s">
        <v>64</v>
      </c>
      <c r="L24" s="30" t="s">
        <v>67</v>
      </c>
      <c r="M24" s="27" t="s">
        <v>64</v>
      </c>
      <c r="N24" s="30" t="s">
        <v>67</v>
      </c>
      <c r="O24" s="27" t="s">
        <v>64</v>
      </c>
      <c r="P24" s="30" t="s">
        <v>67</v>
      </c>
      <c r="Q24" s="29"/>
      <c r="R24" s="92" t="s">
        <v>64</v>
      </c>
      <c r="S24" s="97" t="s">
        <v>384</v>
      </c>
      <c r="T24" s="92" t="s">
        <v>20</v>
      </c>
      <c r="U24" s="9" t="s">
        <v>70</v>
      </c>
      <c r="V24" s="92" t="s">
        <v>64</v>
      </c>
      <c r="W24" s="176" t="s">
        <v>116</v>
      </c>
      <c r="X24" s="186"/>
      <c r="Y24" s="27" t="s">
        <v>20</v>
      </c>
      <c r="Z24" s="28" t="s">
        <v>73</v>
      </c>
      <c r="AA24" s="27" t="s">
        <v>20</v>
      </c>
      <c r="AB24" s="28" t="s">
        <v>74</v>
      </c>
      <c r="AC24" s="200"/>
      <c r="AD24" s="27" t="s">
        <v>20</v>
      </c>
      <c r="AE24" s="93" t="s">
        <v>327</v>
      </c>
      <c r="AF24" s="27" t="s">
        <v>20</v>
      </c>
      <c r="AG24" s="93" t="s">
        <v>327</v>
      </c>
      <c r="AH24" s="103" t="s">
        <v>20</v>
      </c>
      <c r="AI24" s="93" t="s">
        <v>327</v>
      </c>
      <c r="AJ24" s="200"/>
      <c r="AK24" s="27" t="s">
        <v>102</v>
      </c>
      <c r="AL24" s="35" t="s">
        <v>345</v>
      </c>
      <c r="AM24" s="27" t="s">
        <v>102</v>
      </c>
      <c r="AN24" s="35" t="s">
        <v>328</v>
      </c>
      <c r="AO24" s="27" t="s">
        <v>64</v>
      </c>
      <c r="AP24" s="35" t="s">
        <v>396</v>
      </c>
      <c r="AQ24" s="200"/>
      <c r="AR24" s="27" t="s">
        <v>102</v>
      </c>
      <c r="AS24" s="28" t="s">
        <v>364</v>
      </c>
      <c r="AT24" s="27" t="s">
        <v>64</v>
      </c>
      <c r="AU24" s="28" t="s">
        <v>365</v>
      </c>
      <c r="AV24" s="27" t="s">
        <v>64</v>
      </c>
      <c r="AW24" s="28" t="s">
        <v>366</v>
      </c>
      <c r="AX24" s="27" t="s">
        <v>64</v>
      </c>
      <c r="AY24" s="28" t="s">
        <v>367</v>
      </c>
      <c r="AZ24" s="200"/>
      <c r="BA24" s="27" t="s">
        <v>64</v>
      </c>
      <c r="BB24" s="28" t="s">
        <v>85</v>
      </c>
      <c r="BC24" s="27" t="s">
        <v>64</v>
      </c>
      <c r="BD24" s="28" t="s">
        <v>86</v>
      </c>
      <c r="BE24" s="27" t="s">
        <v>102</v>
      </c>
      <c r="BF24" s="28" t="s">
        <v>107</v>
      </c>
      <c r="BG24" s="186"/>
      <c r="BH24" s="27" t="s">
        <v>64</v>
      </c>
      <c r="BI24" s="35" t="s">
        <v>88</v>
      </c>
      <c r="BJ24" s="27" t="s">
        <v>64</v>
      </c>
      <c r="BK24" s="38" t="s">
        <v>89</v>
      </c>
      <c r="BL24" s="200"/>
      <c r="BM24" s="27" t="s">
        <v>64</v>
      </c>
      <c r="BN24" s="28" t="s">
        <v>146</v>
      </c>
      <c r="BO24" s="186"/>
      <c r="BP24" s="27" t="s">
        <v>20</v>
      </c>
      <c r="BQ24" s="35" t="s">
        <v>392</v>
      </c>
      <c r="BR24" s="27" t="s">
        <v>20</v>
      </c>
      <c r="BS24" s="35" t="s">
        <v>236</v>
      </c>
      <c r="BT24" s="200"/>
      <c r="BU24" s="40"/>
      <c r="BV24" s="28">
        <v>1</v>
      </c>
      <c r="BW24" s="200"/>
      <c r="BX24" s="40"/>
      <c r="BY24" s="28">
        <v>5</v>
      </c>
      <c r="BZ24" s="197"/>
      <c r="CA24" s="102" t="s">
        <v>20</v>
      </c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</row>
    <row r="25" spans="1:97" ht="30.75" customHeight="1">
      <c r="A25" s="24">
        <v>13</v>
      </c>
      <c r="B25" s="51" t="s">
        <v>273</v>
      </c>
      <c r="C25" s="90" t="s">
        <v>397</v>
      </c>
      <c r="D25" s="91" t="s">
        <v>398</v>
      </c>
      <c r="E25" s="197"/>
      <c r="F25" s="27" t="s">
        <v>102</v>
      </c>
      <c r="G25" s="42" t="s">
        <v>240</v>
      </c>
      <c r="H25" s="27" t="s">
        <v>102</v>
      </c>
      <c r="I25" s="42" t="s">
        <v>240</v>
      </c>
      <c r="J25" s="29"/>
      <c r="K25" s="27" t="s">
        <v>64</v>
      </c>
      <c r="L25" s="30" t="s">
        <v>67</v>
      </c>
      <c r="M25" s="27" t="s">
        <v>102</v>
      </c>
      <c r="N25" s="28" t="s">
        <v>103</v>
      </c>
      <c r="O25" s="27" t="s">
        <v>64</v>
      </c>
      <c r="P25" s="30" t="s">
        <v>67</v>
      </c>
      <c r="Q25" s="29"/>
      <c r="R25" s="92" t="s">
        <v>20</v>
      </c>
      <c r="S25" s="97" t="s">
        <v>325</v>
      </c>
      <c r="T25" s="92" t="s">
        <v>64</v>
      </c>
      <c r="U25" s="9" t="s">
        <v>115</v>
      </c>
      <c r="V25" s="92" t="s">
        <v>64</v>
      </c>
      <c r="W25" s="176" t="s">
        <v>116</v>
      </c>
      <c r="X25" s="186"/>
      <c r="Y25" s="27" t="s">
        <v>20</v>
      </c>
      <c r="Z25" s="28" t="s">
        <v>73</v>
      </c>
      <c r="AA25" s="27" t="s">
        <v>20</v>
      </c>
      <c r="AB25" s="28" t="s">
        <v>74</v>
      </c>
      <c r="AC25" s="200"/>
      <c r="AD25" s="27" t="s">
        <v>72</v>
      </c>
      <c r="AE25" s="28" t="s">
        <v>326</v>
      </c>
      <c r="AF25" s="27" t="s">
        <v>72</v>
      </c>
      <c r="AG25" s="28" t="s">
        <v>326</v>
      </c>
      <c r="AH25" s="103" t="s">
        <v>72</v>
      </c>
      <c r="AI25" s="28" t="s">
        <v>326</v>
      </c>
      <c r="AJ25" s="200"/>
      <c r="AK25" s="27" t="s">
        <v>64</v>
      </c>
      <c r="AL25" s="35" t="s">
        <v>385</v>
      </c>
      <c r="AM25" s="27" t="s">
        <v>64</v>
      </c>
      <c r="AN25" s="35" t="s">
        <v>386</v>
      </c>
      <c r="AO25" s="27" t="s">
        <v>102</v>
      </c>
      <c r="AP25" s="35" t="s">
        <v>329</v>
      </c>
      <c r="AQ25" s="200"/>
      <c r="AR25" s="27" t="s">
        <v>64</v>
      </c>
      <c r="AS25" s="28" t="s">
        <v>364</v>
      </c>
      <c r="AT25" s="27" t="s">
        <v>64</v>
      </c>
      <c r="AU25" s="28" t="s">
        <v>365</v>
      </c>
      <c r="AV25" s="27" t="s">
        <v>64</v>
      </c>
      <c r="AW25" s="28" t="s">
        <v>366</v>
      </c>
      <c r="AX25" s="27" t="s">
        <v>64</v>
      </c>
      <c r="AY25" s="28" t="s">
        <v>367</v>
      </c>
      <c r="AZ25" s="200"/>
      <c r="BA25" s="27" t="s">
        <v>64</v>
      </c>
      <c r="BB25" s="28" t="s">
        <v>85</v>
      </c>
      <c r="BC25" s="27" t="s">
        <v>64</v>
      </c>
      <c r="BD25" s="28" t="s">
        <v>86</v>
      </c>
      <c r="BE25" s="27" t="s">
        <v>102</v>
      </c>
      <c r="BF25" s="28" t="s">
        <v>107</v>
      </c>
      <c r="BG25" s="186"/>
      <c r="BH25" s="27" t="s">
        <v>20</v>
      </c>
      <c r="BI25" s="38" t="s">
        <v>140</v>
      </c>
      <c r="BJ25" s="27" t="s">
        <v>64</v>
      </c>
      <c r="BK25" s="38" t="s">
        <v>89</v>
      </c>
      <c r="BL25" s="200"/>
      <c r="BM25" s="27" t="s">
        <v>20</v>
      </c>
      <c r="BN25" s="28" t="s">
        <v>340</v>
      </c>
      <c r="BO25" s="186"/>
      <c r="BP25" s="27" t="s">
        <v>20</v>
      </c>
      <c r="BQ25" s="35" t="s">
        <v>392</v>
      </c>
      <c r="BR25" s="27" t="s">
        <v>20</v>
      </c>
      <c r="BS25" s="35" t="s">
        <v>236</v>
      </c>
      <c r="BT25" s="200"/>
      <c r="BU25" s="40"/>
      <c r="BV25" s="40"/>
      <c r="BW25" s="200"/>
      <c r="BX25" s="40"/>
      <c r="BY25" s="28">
        <v>5</v>
      </c>
      <c r="BZ25" s="197"/>
      <c r="CA25" s="102" t="s">
        <v>20</v>
      </c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</row>
    <row r="26" spans="1:97" ht="30.75" customHeight="1">
      <c r="A26" s="24">
        <v>14</v>
      </c>
      <c r="B26" s="51" t="s">
        <v>273</v>
      </c>
      <c r="C26" s="90" t="s">
        <v>143</v>
      </c>
      <c r="D26" s="91" t="s">
        <v>399</v>
      </c>
      <c r="E26" s="197"/>
      <c r="F26" s="27" t="s">
        <v>64</v>
      </c>
      <c r="G26" s="42" t="s">
        <v>241</v>
      </c>
      <c r="H26" s="27" t="s">
        <v>64</v>
      </c>
      <c r="I26" s="42" t="s">
        <v>241</v>
      </c>
      <c r="J26" s="29"/>
      <c r="K26" s="27" t="s">
        <v>64</v>
      </c>
      <c r="L26" s="30" t="s">
        <v>67</v>
      </c>
      <c r="M26" s="27" t="s">
        <v>20</v>
      </c>
      <c r="N26" s="31" t="s">
        <v>68</v>
      </c>
      <c r="O26" s="27" t="s">
        <v>64</v>
      </c>
      <c r="P26" s="30" t="s">
        <v>67</v>
      </c>
      <c r="Q26" s="29"/>
      <c r="R26" s="92" t="s">
        <v>64</v>
      </c>
      <c r="S26" s="97" t="s">
        <v>114</v>
      </c>
      <c r="T26" s="92" t="s">
        <v>64</v>
      </c>
      <c r="U26" s="9" t="s">
        <v>115</v>
      </c>
      <c r="V26" s="92" t="s">
        <v>64</v>
      </c>
      <c r="W26" s="176" t="s">
        <v>116</v>
      </c>
      <c r="X26" s="186"/>
      <c r="Y26" s="27" t="s">
        <v>20</v>
      </c>
      <c r="Z26" s="28" t="s">
        <v>73</v>
      </c>
      <c r="AA26" s="27" t="s">
        <v>20</v>
      </c>
      <c r="AB26" s="28" t="s">
        <v>74</v>
      </c>
      <c r="AC26" s="200"/>
      <c r="AD26" s="27" t="s">
        <v>20</v>
      </c>
      <c r="AE26" s="93" t="s">
        <v>327</v>
      </c>
      <c r="AF26" s="27" t="s">
        <v>20</v>
      </c>
      <c r="AG26" s="93" t="s">
        <v>327</v>
      </c>
      <c r="AH26" s="103" t="s">
        <v>20</v>
      </c>
      <c r="AI26" s="93" t="s">
        <v>327</v>
      </c>
      <c r="AJ26" s="200"/>
      <c r="AK26" s="27" t="s">
        <v>64</v>
      </c>
      <c r="AL26" s="28" t="s">
        <v>385</v>
      </c>
      <c r="AM26" s="27" t="s">
        <v>64</v>
      </c>
      <c r="AN26" s="28" t="s">
        <v>386</v>
      </c>
      <c r="AO26" s="27" t="s">
        <v>102</v>
      </c>
      <c r="AP26" s="28" t="s">
        <v>329</v>
      </c>
      <c r="AQ26" s="200"/>
      <c r="AR26" s="27" t="s">
        <v>20</v>
      </c>
      <c r="AS26" s="28" t="s">
        <v>400</v>
      </c>
      <c r="AT26" s="27" t="s">
        <v>20</v>
      </c>
      <c r="AU26" s="28" t="s">
        <v>331</v>
      </c>
      <c r="AV26" s="27" t="s">
        <v>20</v>
      </c>
      <c r="AW26" s="28" t="s">
        <v>332</v>
      </c>
      <c r="AX26" s="27" t="s">
        <v>20</v>
      </c>
      <c r="AY26" s="28" t="s">
        <v>333</v>
      </c>
      <c r="AZ26" s="200"/>
      <c r="BA26" s="27" t="s">
        <v>20</v>
      </c>
      <c r="BB26" s="28" t="s">
        <v>124</v>
      </c>
      <c r="BC26" s="27" t="s">
        <v>64</v>
      </c>
      <c r="BD26" s="28" t="s">
        <v>86</v>
      </c>
      <c r="BE26" s="27" t="s">
        <v>64</v>
      </c>
      <c r="BF26" s="28" t="s">
        <v>145</v>
      </c>
      <c r="BG26" s="186"/>
      <c r="BH26" s="27" t="s">
        <v>64</v>
      </c>
      <c r="BI26" s="35" t="s">
        <v>88</v>
      </c>
      <c r="BJ26" s="27" t="s">
        <v>20</v>
      </c>
      <c r="BK26" s="38" t="s">
        <v>127</v>
      </c>
      <c r="BL26" s="200"/>
      <c r="BM26" s="27" t="s">
        <v>20</v>
      </c>
      <c r="BN26" s="28" t="s">
        <v>340</v>
      </c>
      <c r="BO26" s="186"/>
      <c r="BP26" s="27" t="s">
        <v>20</v>
      </c>
      <c r="BQ26" s="35" t="s">
        <v>392</v>
      </c>
      <c r="BR26" s="27" t="s">
        <v>20</v>
      </c>
      <c r="BS26" s="35" t="s">
        <v>236</v>
      </c>
      <c r="BT26" s="200"/>
      <c r="BU26" s="40"/>
      <c r="BV26" s="28">
        <v>2</v>
      </c>
      <c r="BW26" s="200"/>
      <c r="BX26" s="40"/>
      <c r="BY26" s="28">
        <v>1</v>
      </c>
      <c r="BZ26" s="197"/>
      <c r="CA26" s="102" t="s">
        <v>20</v>
      </c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</row>
    <row r="27" spans="1:97" ht="30.75" customHeight="1">
      <c r="A27" s="24">
        <v>15</v>
      </c>
      <c r="B27" s="51" t="s">
        <v>273</v>
      </c>
      <c r="C27" s="90" t="s">
        <v>159</v>
      </c>
      <c r="D27" s="90" t="s">
        <v>401</v>
      </c>
      <c r="E27" s="197"/>
      <c r="F27" s="27" t="s">
        <v>64</v>
      </c>
      <c r="G27" s="42" t="s">
        <v>241</v>
      </c>
      <c r="H27" s="27" t="s">
        <v>64</v>
      </c>
      <c r="I27" s="42" t="s">
        <v>241</v>
      </c>
      <c r="J27" s="29"/>
      <c r="K27" s="27" t="s">
        <v>64</v>
      </c>
      <c r="L27" s="30" t="s">
        <v>67</v>
      </c>
      <c r="M27" s="27" t="s">
        <v>64</v>
      </c>
      <c r="N27" s="30" t="s">
        <v>67</v>
      </c>
      <c r="O27" s="27" t="s">
        <v>64</v>
      </c>
      <c r="P27" s="30" t="s">
        <v>67</v>
      </c>
      <c r="Q27" s="29"/>
      <c r="R27" s="92" t="s">
        <v>64</v>
      </c>
      <c r="S27" s="97" t="s">
        <v>384</v>
      </c>
      <c r="T27" s="92" t="s">
        <v>64</v>
      </c>
      <c r="U27" s="9" t="s">
        <v>115</v>
      </c>
      <c r="V27" s="92" t="s">
        <v>64</v>
      </c>
      <c r="W27" s="176" t="s">
        <v>116</v>
      </c>
      <c r="X27" s="186"/>
      <c r="Y27" s="27" t="s">
        <v>20</v>
      </c>
      <c r="Z27" s="28" t="s">
        <v>73</v>
      </c>
      <c r="AA27" s="27" t="s">
        <v>64</v>
      </c>
      <c r="AB27" s="28" t="s">
        <v>97</v>
      </c>
      <c r="AC27" s="200"/>
      <c r="AD27" s="27" t="s">
        <v>72</v>
      </c>
      <c r="AE27" s="28" t="s">
        <v>326</v>
      </c>
      <c r="AF27" s="27" t="s">
        <v>20</v>
      </c>
      <c r="AG27" s="93" t="s">
        <v>327</v>
      </c>
      <c r="AH27" s="103" t="s">
        <v>20</v>
      </c>
      <c r="AI27" s="93" t="s">
        <v>327</v>
      </c>
      <c r="AJ27" s="200"/>
      <c r="AK27" s="27" t="s">
        <v>102</v>
      </c>
      <c r="AL27" s="110" t="s">
        <v>345</v>
      </c>
      <c r="AM27" s="27" t="s">
        <v>102</v>
      </c>
      <c r="AN27" s="28" t="s">
        <v>328</v>
      </c>
      <c r="AO27" s="27" t="s">
        <v>102</v>
      </c>
      <c r="AP27" s="28" t="s">
        <v>402</v>
      </c>
      <c r="AQ27" s="200"/>
      <c r="AR27" s="27" t="s">
        <v>72</v>
      </c>
      <c r="AS27" s="28" t="s">
        <v>400</v>
      </c>
      <c r="AT27" s="27" t="s">
        <v>72</v>
      </c>
      <c r="AU27" s="28" t="s">
        <v>403</v>
      </c>
      <c r="AV27" s="27" t="s">
        <v>72</v>
      </c>
      <c r="AW27" s="28" t="s">
        <v>404</v>
      </c>
      <c r="AX27" s="27" t="s">
        <v>72</v>
      </c>
      <c r="AY27" s="35" t="s">
        <v>405</v>
      </c>
      <c r="AZ27" s="200"/>
      <c r="BA27" s="27" t="s">
        <v>64</v>
      </c>
      <c r="BB27" s="28" t="s">
        <v>85</v>
      </c>
      <c r="BC27" s="27" t="s">
        <v>64</v>
      </c>
      <c r="BD27" s="28" t="s">
        <v>86</v>
      </c>
      <c r="BE27" s="27" t="s">
        <v>102</v>
      </c>
      <c r="BF27" s="28" t="s">
        <v>107</v>
      </c>
      <c r="BG27" s="186"/>
      <c r="BH27" s="27" t="s">
        <v>20</v>
      </c>
      <c r="BI27" s="38" t="s">
        <v>140</v>
      </c>
      <c r="BJ27" s="27" t="s">
        <v>20</v>
      </c>
      <c r="BK27" s="38" t="s">
        <v>127</v>
      </c>
      <c r="BL27" s="200"/>
      <c r="BM27" s="27" t="s">
        <v>20</v>
      </c>
      <c r="BN27" s="28" t="s">
        <v>340</v>
      </c>
      <c r="BO27" s="186"/>
      <c r="BP27" s="27" t="s">
        <v>20</v>
      </c>
      <c r="BQ27" s="35" t="s">
        <v>235</v>
      </c>
      <c r="BR27" s="27" t="s">
        <v>20</v>
      </c>
      <c r="BS27" s="35" t="s">
        <v>236</v>
      </c>
      <c r="BT27" s="200"/>
      <c r="BU27" s="40"/>
      <c r="BV27" s="40"/>
      <c r="BW27" s="200"/>
      <c r="BX27" s="40"/>
      <c r="BY27" s="28">
        <v>1</v>
      </c>
      <c r="BZ27" s="197"/>
      <c r="CA27" s="102" t="s">
        <v>64</v>
      </c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</row>
    <row r="28" spans="1:97" ht="30.75" customHeight="1">
      <c r="A28" s="24">
        <v>16</v>
      </c>
      <c r="B28" s="95" t="s">
        <v>406</v>
      </c>
      <c r="C28" s="96" t="s">
        <v>302</v>
      </c>
      <c r="D28" s="96" t="s">
        <v>407</v>
      </c>
      <c r="E28" s="197"/>
      <c r="F28" s="27" t="s">
        <v>64</v>
      </c>
      <c r="G28" s="28" t="s">
        <v>241</v>
      </c>
      <c r="H28" s="27" t="s">
        <v>64</v>
      </c>
      <c r="I28" s="42" t="s">
        <v>241</v>
      </c>
      <c r="J28" s="29"/>
      <c r="K28" s="27" t="s">
        <v>20</v>
      </c>
      <c r="L28" s="31" t="s">
        <v>68</v>
      </c>
      <c r="M28" s="27" t="s">
        <v>20</v>
      </c>
      <c r="N28" s="31" t="s">
        <v>68</v>
      </c>
      <c r="O28" s="27" t="s">
        <v>20</v>
      </c>
      <c r="P28" s="31" t="s">
        <v>68</v>
      </c>
      <c r="Q28" s="29"/>
      <c r="R28" s="92" t="s">
        <v>64</v>
      </c>
      <c r="S28" s="97" t="s">
        <v>114</v>
      </c>
      <c r="T28" s="92" t="s">
        <v>64</v>
      </c>
      <c r="U28" s="97" t="s">
        <v>408</v>
      </c>
      <c r="V28" s="92" t="s">
        <v>64</v>
      </c>
      <c r="W28" s="176" t="s">
        <v>116</v>
      </c>
      <c r="X28" s="186"/>
      <c r="Y28" s="27" t="s">
        <v>72</v>
      </c>
      <c r="Z28" s="54" t="s">
        <v>73</v>
      </c>
      <c r="AA28" s="27" t="s">
        <v>72</v>
      </c>
      <c r="AB28" s="28" t="s">
        <v>74</v>
      </c>
      <c r="AC28" s="200"/>
      <c r="AD28" s="27" t="s">
        <v>72</v>
      </c>
      <c r="AE28" s="28" t="s">
        <v>326</v>
      </c>
      <c r="AF28" s="27" t="s">
        <v>20</v>
      </c>
      <c r="AG28" s="93" t="s">
        <v>327</v>
      </c>
      <c r="AH28" s="103" t="s">
        <v>20</v>
      </c>
      <c r="AI28" s="93" t="s">
        <v>327</v>
      </c>
      <c r="AJ28" s="200"/>
      <c r="AK28" s="27" t="s">
        <v>102</v>
      </c>
      <c r="AL28" s="111" t="s">
        <v>345</v>
      </c>
      <c r="AM28" s="27" t="s">
        <v>102</v>
      </c>
      <c r="AN28" s="28" t="s">
        <v>328</v>
      </c>
      <c r="AO28" s="27" t="s">
        <v>64</v>
      </c>
      <c r="AP28" s="112" t="s">
        <v>409</v>
      </c>
      <c r="AQ28" s="200"/>
      <c r="AR28" s="27" t="s">
        <v>72</v>
      </c>
      <c r="AS28" s="28" t="s">
        <v>400</v>
      </c>
      <c r="AT28" s="27" t="s">
        <v>72</v>
      </c>
      <c r="AU28" s="28" t="s">
        <v>403</v>
      </c>
      <c r="AV28" s="27" t="s">
        <v>72</v>
      </c>
      <c r="AW28" s="28" t="s">
        <v>404</v>
      </c>
      <c r="AX28" s="27" t="s">
        <v>72</v>
      </c>
      <c r="AY28" s="35" t="s">
        <v>405</v>
      </c>
      <c r="AZ28" s="200"/>
      <c r="BA28" s="27" t="s">
        <v>20</v>
      </c>
      <c r="BB28" s="28" t="s">
        <v>124</v>
      </c>
      <c r="BC28" s="27" t="s">
        <v>64</v>
      </c>
      <c r="BD28" s="28" t="s">
        <v>86</v>
      </c>
      <c r="BE28" s="27" t="s">
        <v>64</v>
      </c>
      <c r="BF28" s="28" t="s">
        <v>145</v>
      </c>
      <c r="BG28" s="186"/>
      <c r="BH28" s="27" t="s">
        <v>64</v>
      </c>
      <c r="BI28" s="35" t="s">
        <v>88</v>
      </c>
      <c r="BJ28" s="27" t="s">
        <v>20</v>
      </c>
      <c r="BK28" s="38" t="s">
        <v>127</v>
      </c>
      <c r="BL28" s="200"/>
      <c r="BM28" s="27" t="s">
        <v>20</v>
      </c>
      <c r="BN28" s="28" t="s">
        <v>340</v>
      </c>
      <c r="BO28" s="186"/>
      <c r="BP28" s="27" t="s">
        <v>20</v>
      </c>
      <c r="BQ28" s="35" t="s">
        <v>235</v>
      </c>
      <c r="BR28" s="27" t="s">
        <v>20</v>
      </c>
      <c r="BS28" s="35" t="s">
        <v>236</v>
      </c>
      <c r="BT28" s="200"/>
      <c r="BU28" s="40"/>
      <c r="BV28" s="28">
        <v>1</v>
      </c>
      <c r="BW28" s="200"/>
      <c r="BX28" s="40"/>
      <c r="BY28" s="28">
        <v>1</v>
      </c>
      <c r="BZ28" s="197"/>
      <c r="CA28" s="102" t="s">
        <v>20</v>
      </c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</row>
    <row r="29" spans="1:97" ht="30.75" customHeight="1">
      <c r="A29" s="24">
        <v>17</v>
      </c>
      <c r="B29" s="51" t="s">
        <v>262</v>
      </c>
      <c r="C29" s="90" t="s">
        <v>410</v>
      </c>
      <c r="D29" s="91" t="s">
        <v>411</v>
      </c>
      <c r="E29" s="197"/>
      <c r="F29" s="27" t="s">
        <v>64</v>
      </c>
      <c r="G29" s="42" t="s">
        <v>241</v>
      </c>
      <c r="H29" s="27" t="s">
        <v>20</v>
      </c>
      <c r="I29" s="42" t="s">
        <v>338</v>
      </c>
      <c r="J29" s="29"/>
      <c r="K29" s="27" t="s">
        <v>64</v>
      </c>
      <c r="L29" s="30" t="s">
        <v>67</v>
      </c>
      <c r="M29" s="27" t="s">
        <v>102</v>
      </c>
      <c r="N29" s="28" t="s">
        <v>103</v>
      </c>
      <c r="O29" s="27" t="s">
        <v>64</v>
      </c>
      <c r="P29" s="30" t="s">
        <v>67</v>
      </c>
      <c r="Q29" s="29"/>
      <c r="R29" s="92" t="s">
        <v>64</v>
      </c>
      <c r="S29" s="97" t="s">
        <v>114</v>
      </c>
      <c r="T29" s="92" t="s">
        <v>64</v>
      </c>
      <c r="U29" s="9" t="s">
        <v>115</v>
      </c>
      <c r="V29" s="92" t="s">
        <v>412</v>
      </c>
      <c r="W29" s="176" t="s">
        <v>116</v>
      </c>
      <c r="X29" s="186"/>
      <c r="Y29" s="27" t="s">
        <v>102</v>
      </c>
      <c r="Z29" s="28" t="s">
        <v>264</v>
      </c>
      <c r="AA29" s="27" t="s">
        <v>102</v>
      </c>
      <c r="AB29" s="28" t="s">
        <v>169</v>
      </c>
      <c r="AC29" s="200"/>
      <c r="AD29" s="27" t="s">
        <v>20</v>
      </c>
      <c r="AE29" s="93" t="s">
        <v>327</v>
      </c>
      <c r="AF29" s="27" t="s">
        <v>20</v>
      </c>
      <c r="AG29" s="93" t="s">
        <v>327</v>
      </c>
      <c r="AH29" s="103" t="s">
        <v>20</v>
      </c>
      <c r="AI29" s="93" t="s">
        <v>327</v>
      </c>
      <c r="AJ29" s="200"/>
      <c r="AK29" s="27" t="s">
        <v>102</v>
      </c>
      <c r="AL29" s="35" t="s">
        <v>329</v>
      </c>
      <c r="AM29" s="27" t="s">
        <v>102</v>
      </c>
      <c r="AN29" s="35" t="s">
        <v>328</v>
      </c>
      <c r="AO29" s="27" t="s">
        <v>102</v>
      </c>
      <c r="AP29" s="111" t="s">
        <v>413</v>
      </c>
      <c r="AQ29" s="200"/>
      <c r="AR29" s="27" t="s">
        <v>20</v>
      </c>
      <c r="AS29" s="28" t="s">
        <v>414</v>
      </c>
      <c r="AT29" s="27" t="s">
        <v>20</v>
      </c>
      <c r="AU29" s="28" t="s">
        <v>331</v>
      </c>
      <c r="AV29" s="27" t="s">
        <v>20</v>
      </c>
      <c r="AW29" s="28" t="s">
        <v>332</v>
      </c>
      <c r="AX29" s="27" t="s">
        <v>20</v>
      </c>
      <c r="AY29" s="28" t="s">
        <v>333</v>
      </c>
      <c r="AZ29" s="200"/>
      <c r="BA29" s="27" t="s">
        <v>64</v>
      </c>
      <c r="BB29" s="28" t="s">
        <v>85</v>
      </c>
      <c r="BC29" s="27" t="s">
        <v>64</v>
      </c>
      <c r="BD29" s="28" t="s">
        <v>86</v>
      </c>
      <c r="BE29" s="27" t="s">
        <v>102</v>
      </c>
      <c r="BF29" s="28" t="s">
        <v>107</v>
      </c>
      <c r="BG29" s="186"/>
      <c r="BH29" s="27" t="s">
        <v>64</v>
      </c>
      <c r="BI29" s="35" t="s">
        <v>88</v>
      </c>
      <c r="BJ29" s="27" t="s">
        <v>64</v>
      </c>
      <c r="BK29" s="38" t="s">
        <v>89</v>
      </c>
      <c r="BL29" s="200"/>
      <c r="BM29" s="27" t="s">
        <v>64</v>
      </c>
      <c r="BN29" s="28" t="s">
        <v>146</v>
      </c>
      <c r="BO29" s="186"/>
      <c r="BP29" s="27" t="s">
        <v>20</v>
      </c>
      <c r="BQ29" s="35" t="s">
        <v>235</v>
      </c>
      <c r="BR29" s="27" t="s">
        <v>20</v>
      </c>
      <c r="BS29" s="35" t="s">
        <v>236</v>
      </c>
      <c r="BT29" s="200"/>
      <c r="BU29" s="40"/>
      <c r="BV29" s="28">
        <v>1</v>
      </c>
      <c r="BW29" s="200"/>
      <c r="BX29" s="40"/>
      <c r="BY29" s="28">
        <v>5</v>
      </c>
      <c r="BZ29" s="197"/>
      <c r="CA29" s="102" t="s">
        <v>64</v>
      </c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</row>
    <row r="30" spans="1:97" ht="30.75" customHeight="1">
      <c r="A30" s="24">
        <v>18</v>
      </c>
      <c r="B30" s="95" t="s">
        <v>415</v>
      </c>
      <c r="C30" s="56" t="s">
        <v>416</v>
      </c>
      <c r="D30" s="113" t="s">
        <v>417</v>
      </c>
      <c r="E30" s="197"/>
      <c r="F30" s="27" t="s">
        <v>64</v>
      </c>
      <c r="G30" s="42" t="s">
        <v>241</v>
      </c>
      <c r="H30" s="27" t="s">
        <v>64</v>
      </c>
      <c r="I30" s="42" t="s">
        <v>241</v>
      </c>
      <c r="J30" s="29"/>
      <c r="K30" s="27" t="s">
        <v>64</v>
      </c>
      <c r="L30" s="30" t="s">
        <v>67</v>
      </c>
      <c r="M30" s="27" t="s">
        <v>102</v>
      </c>
      <c r="N30" s="28" t="s">
        <v>103</v>
      </c>
      <c r="O30" s="27" t="s">
        <v>102</v>
      </c>
      <c r="P30" s="28" t="s">
        <v>103</v>
      </c>
      <c r="Q30" s="29"/>
      <c r="R30" s="92" t="s">
        <v>64</v>
      </c>
      <c r="S30" s="97" t="s">
        <v>114</v>
      </c>
      <c r="T30" s="92" t="s">
        <v>64</v>
      </c>
      <c r="U30" s="9" t="s">
        <v>115</v>
      </c>
      <c r="V30" s="92" t="s">
        <v>64</v>
      </c>
      <c r="W30" s="176" t="s">
        <v>116</v>
      </c>
      <c r="X30" s="186"/>
      <c r="Y30" s="27" t="s">
        <v>20</v>
      </c>
      <c r="Z30" s="28" t="s">
        <v>73</v>
      </c>
      <c r="AA30" s="27" t="s">
        <v>20</v>
      </c>
      <c r="AB30" s="28" t="s">
        <v>74</v>
      </c>
      <c r="AC30" s="200"/>
      <c r="AD30" s="27" t="s">
        <v>20</v>
      </c>
      <c r="AE30" s="93" t="s">
        <v>327</v>
      </c>
      <c r="AF30" s="27" t="s">
        <v>20</v>
      </c>
      <c r="AG30" s="93" t="s">
        <v>327</v>
      </c>
      <c r="AH30" s="103" t="s">
        <v>20</v>
      </c>
      <c r="AI30" s="93" t="s">
        <v>327</v>
      </c>
      <c r="AJ30" s="200"/>
      <c r="AK30" s="27" t="s">
        <v>102</v>
      </c>
      <c r="AL30" s="28" t="s">
        <v>329</v>
      </c>
      <c r="AM30" s="27" t="s">
        <v>102</v>
      </c>
      <c r="AN30" s="28" t="s">
        <v>328</v>
      </c>
      <c r="AO30" s="27" t="s">
        <v>102</v>
      </c>
      <c r="AP30" s="111" t="s">
        <v>413</v>
      </c>
      <c r="AQ30" s="200"/>
      <c r="AR30" s="27" t="s">
        <v>20</v>
      </c>
      <c r="AS30" s="28" t="s">
        <v>414</v>
      </c>
      <c r="AT30" s="27" t="s">
        <v>20</v>
      </c>
      <c r="AU30" s="28" t="s">
        <v>331</v>
      </c>
      <c r="AV30" s="27" t="s">
        <v>20</v>
      </c>
      <c r="AW30" s="28" t="s">
        <v>332</v>
      </c>
      <c r="AX30" s="27" t="s">
        <v>20</v>
      </c>
      <c r="AY30" s="28" t="s">
        <v>333</v>
      </c>
      <c r="AZ30" s="200"/>
      <c r="BA30" s="27" t="s">
        <v>64</v>
      </c>
      <c r="BB30" s="28" t="s">
        <v>85</v>
      </c>
      <c r="BC30" s="27" t="s">
        <v>64</v>
      </c>
      <c r="BD30" s="28" t="s">
        <v>86</v>
      </c>
      <c r="BE30" s="27" t="s">
        <v>64</v>
      </c>
      <c r="BF30" s="28" t="s">
        <v>145</v>
      </c>
      <c r="BG30" s="186"/>
      <c r="BH30" s="27" t="s">
        <v>64</v>
      </c>
      <c r="BI30" s="35" t="s">
        <v>88</v>
      </c>
      <c r="BJ30" s="27" t="s">
        <v>64</v>
      </c>
      <c r="BK30" s="38" t="s">
        <v>89</v>
      </c>
      <c r="BL30" s="200"/>
      <c r="BM30" s="27" t="s">
        <v>64</v>
      </c>
      <c r="BN30" s="28" t="s">
        <v>146</v>
      </c>
      <c r="BO30" s="186"/>
      <c r="BP30" s="27" t="s">
        <v>20</v>
      </c>
      <c r="BQ30" s="35" t="s">
        <v>235</v>
      </c>
      <c r="BR30" s="27" t="s">
        <v>20</v>
      </c>
      <c r="BS30" s="35" t="s">
        <v>236</v>
      </c>
      <c r="BT30" s="200"/>
      <c r="BU30" s="40"/>
      <c r="BV30" s="40"/>
      <c r="BW30" s="200"/>
      <c r="BX30" s="40"/>
      <c r="BY30" s="28">
        <v>3</v>
      </c>
      <c r="BZ30" s="197"/>
      <c r="CA30" s="102" t="s">
        <v>20</v>
      </c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</row>
    <row r="31" spans="1:97" ht="30.75" customHeight="1">
      <c r="A31" s="24">
        <v>19</v>
      </c>
      <c r="B31" s="95" t="s">
        <v>418</v>
      </c>
      <c r="C31" s="114" t="s">
        <v>419</v>
      </c>
      <c r="D31" s="56" t="s">
        <v>420</v>
      </c>
      <c r="E31" s="197"/>
      <c r="F31" s="27" t="s">
        <v>20</v>
      </c>
      <c r="G31" s="42" t="s">
        <v>338</v>
      </c>
      <c r="H31" s="27" t="s">
        <v>20</v>
      </c>
      <c r="I31" s="42" t="s">
        <v>338</v>
      </c>
      <c r="J31" s="29"/>
      <c r="K31" s="27" t="s">
        <v>20</v>
      </c>
      <c r="L31" s="31" t="s">
        <v>68</v>
      </c>
      <c r="M31" s="27" t="s">
        <v>20</v>
      </c>
      <c r="N31" s="31" t="s">
        <v>68</v>
      </c>
      <c r="O31" s="27" t="s">
        <v>20</v>
      </c>
      <c r="P31" s="31" t="s">
        <v>68</v>
      </c>
      <c r="Q31" s="29"/>
      <c r="R31" s="92" t="s">
        <v>102</v>
      </c>
      <c r="S31" s="98"/>
      <c r="T31" s="92" t="s">
        <v>64</v>
      </c>
      <c r="U31" s="9" t="s">
        <v>115</v>
      </c>
      <c r="V31" s="92" t="s">
        <v>64</v>
      </c>
      <c r="W31" s="176" t="s">
        <v>116</v>
      </c>
      <c r="X31" s="186"/>
      <c r="Y31" s="27" t="s">
        <v>20</v>
      </c>
      <c r="Z31" s="28" t="s">
        <v>73</v>
      </c>
      <c r="AA31" s="27" t="s">
        <v>20</v>
      </c>
      <c r="AB31" s="28" t="s">
        <v>74</v>
      </c>
      <c r="AC31" s="200"/>
      <c r="AD31" s="27" t="s">
        <v>72</v>
      </c>
      <c r="AE31" s="28" t="s">
        <v>326</v>
      </c>
      <c r="AF31" s="27" t="s">
        <v>20</v>
      </c>
      <c r="AG31" s="93" t="s">
        <v>327</v>
      </c>
      <c r="AH31" s="103" t="s">
        <v>20</v>
      </c>
      <c r="AI31" s="93" t="s">
        <v>327</v>
      </c>
      <c r="AJ31" s="200"/>
      <c r="AK31" s="27" t="s">
        <v>64</v>
      </c>
      <c r="AL31" s="28" t="s">
        <v>421</v>
      </c>
      <c r="AM31" s="27" t="s">
        <v>64</v>
      </c>
      <c r="AN31" s="42" t="s">
        <v>422</v>
      </c>
      <c r="AO31" s="27" t="s">
        <v>64</v>
      </c>
      <c r="AP31" s="35" t="s">
        <v>396</v>
      </c>
      <c r="AQ31" s="200"/>
      <c r="AR31" s="27" t="s">
        <v>72</v>
      </c>
      <c r="AS31" s="28" t="s">
        <v>423</v>
      </c>
      <c r="AT31" s="27" t="s">
        <v>72</v>
      </c>
      <c r="AU31" s="28" t="s">
        <v>424</v>
      </c>
      <c r="AV31" s="27" t="s">
        <v>72</v>
      </c>
      <c r="AW31" s="28" t="s">
        <v>404</v>
      </c>
      <c r="AX31" s="27" t="s">
        <v>72</v>
      </c>
      <c r="AY31" s="35" t="s">
        <v>405</v>
      </c>
      <c r="AZ31" s="200"/>
      <c r="BA31" s="27" t="s">
        <v>20</v>
      </c>
      <c r="BB31" s="28" t="s">
        <v>124</v>
      </c>
      <c r="BC31" s="27" t="s">
        <v>64</v>
      </c>
      <c r="BD31" s="28" t="s">
        <v>86</v>
      </c>
      <c r="BE31" s="27" t="s">
        <v>64</v>
      </c>
      <c r="BF31" s="28" t="s">
        <v>145</v>
      </c>
      <c r="BG31" s="186"/>
      <c r="BH31" s="27" t="s">
        <v>64</v>
      </c>
      <c r="BI31" s="35" t="s">
        <v>88</v>
      </c>
      <c r="BJ31" s="27" t="s">
        <v>20</v>
      </c>
      <c r="BK31" s="38" t="s">
        <v>127</v>
      </c>
      <c r="BL31" s="200"/>
      <c r="BM31" s="27" t="s">
        <v>20</v>
      </c>
      <c r="BN31" s="28" t="s">
        <v>340</v>
      </c>
      <c r="BO31" s="186"/>
      <c r="BP31" s="27" t="s">
        <v>20</v>
      </c>
      <c r="BQ31" s="35" t="s">
        <v>235</v>
      </c>
      <c r="BR31" s="27" t="s">
        <v>20</v>
      </c>
      <c r="BS31" s="35" t="s">
        <v>236</v>
      </c>
      <c r="BT31" s="200"/>
      <c r="BU31" s="40"/>
      <c r="BV31" s="40"/>
      <c r="BW31" s="200"/>
      <c r="BX31" s="40"/>
      <c r="BY31" s="28">
        <v>3</v>
      </c>
      <c r="BZ31" s="197"/>
      <c r="CA31" s="102" t="s">
        <v>20</v>
      </c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</row>
    <row r="32" spans="1:97" ht="30.75" customHeight="1">
      <c r="A32" s="24">
        <v>20</v>
      </c>
      <c r="B32" s="89" t="s">
        <v>425</v>
      </c>
      <c r="C32" s="90" t="s">
        <v>426</v>
      </c>
      <c r="D32" s="115" t="s">
        <v>427</v>
      </c>
      <c r="E32" s="197"/>
      <c r="F32" s="27" t="s">
        <v>64</v>
      </c>
      <c r="G32" s="42" t="s">
        <v>241</v>
      </c>
      <c r="H32" s="27" t="s">
        <v>64</v>
      </c>
      <c r="I32" s="42" t="s">
        <v>241</v>
      </c>
      <c r="J32" s="29"/>
      <c r="K32" s="27" t="s">
        <v>64</v>
      </c>
      <c r="L32" s="30" t="s">
        <v>67</v>
      </c>
      <c r="M32" s="27" t="s">
        <v>64</v>
      </c>
      <c r="N32" s="30" t="s">
        <v>67</v>
      </c>
      <c r="O32" s="27" t="s">
        <v>102</v>
      </c>
      <c r="P32" s="28" t="s">
        <v>103</v>
      </c>
      <c r="Q32" s="29"/>
      <c r="R32" s="92" t="s">
        <v>64</v>
      </c>
      <c r="S32" s="97" t="s">
        <v>114</v>
      </c>
      <c r="T32" s="92" t="s">
        <v>64</v>
      </c>
      <c r="U32" s="9" t="s">
        <v>115</v>
      </c>
      <c r="V32" s="92" t="s">
        <v>64</v>
      </c>
      <c r="W32" s="176" t="s">
        <v>116</v>
      </c>
      <c r="X32" s="186"/>
      <c r="Y32" s="27" t="s">
        <v>102</v>
      </c>
      <c r="Z32" s="28" t="s">
        <v>264</v>
      </c>
      <c r="AA32" s="27" t="s">
        <v>102</v>
      </c>
      <c r="AB32" s="28" t="s">
        <v>169</v>
      </c>
      <c r="AC32" s="200"/>
      <c r="AD32" s="27" t="s">
        <v>20</v>
      </c>
      <c r="AE32" s="93" t="s">
        <v>327</v>
      </c>
      <c r="AF32" s="27" t="s">
        <v>20</v>
      </c>
      <c r="AG32" s="93" t="s">
        <v>327</v>
      </c>
      <c r="AH32" s="103" t="s">
        <v>20</v>
      </c>
      <c r="AI32" s="93" t="s">
        <v>327</v>
      </c>
      <c r="AJ32" s="200"/>
      <c r="AK32" s="27" t="s">
        <v>102</v>
      </c>
      <c r="AL32" s="28" t="s">
        <v>428</v>
      </c>
      <c r="AM32" s="27" t="s">
        <v>102</v>
      </c>
      <c r="AN32" s="35" t="s">
        <v>329</v>
      </c>
      <c r="AO32" s="27" t="s">
        <v>64</v>
      </c>
      <c r="AP32" s="35" t="s">
        <v>396</v>
      </c>
      <c r="AQ32" s="200"/>
      <c r="AR32" s="27" t="s">
        <v>20</v>
      </c>
      <c r="AS32" s="28" t="s">
        <v>414</v>
      </c>
      <c r="AT32" s="27" t="s">
        <v>20</v>
      </c>
      <c r="AU32" s="28" t="s">
        <v>331</v>
      </c>
      <c r="AV32" s="27" t="s">
        <v>20</v>
      </c>
      <c r="AW32" s="28" t="s">
        <v>332</v>
      </c>
      <c r="AX32" s="27" t="s">
        <v>20</v>
      </c>
      <c r="AY32" s="28" t="s">
        <v>333</v>
      </c>
      <c r="AZ32" s="200"/>
      <c r="BA32" s="27" t="s">
        <v>102</v>
      </c>
      <c r="BB32" s="28" t="s">
        <v>106</v>
      </c>
      <c r="BC32" s="27" t="s">
        <v>64</v>
      </c>
      <c r="BD32" s="28" t="s">
        <v>86</v>
      </c>
      <c r="BE32" s="27" t="s">
        <v>102</v>
      </c>
      <c r="BF32" s="28" t="s">
        <v>107</v>
      </c>
      <c r="BG32" s="186"/>
      <c r="BH32" s="27" t="s">
        <v>64</v>
      </c>
      <c r="BI32" s="35" t="s">
        <v>88</v>
      </c>
      <c r="BJ32" s="27" t="s">
        <v>102</v>
      </c>
      <c r="BK32" s="38" t="s">
        <v>108</v>
      </c>
      <c r="BL32" s="200"/>
      <c r="BM32" s="27" t="s">
        <v>64</v>
      </c>
      <c r="BN32" s="28" t="s">
        <v>146</v>
      </c>
      <c r="BO32" s="186"/>
      <c r="BP32" s="27" t="s">
        <v>20</v>
      </c>
      <c r="BQ32" s="35" t="s">
        <v>235</v>
      </c>
      <c r="BR32" s="27" t="s">
        <v>64</v>
      </c>
      <c r="BS32" s="35" t="s">
        <v>334</v>
      </c>
      <c r="BT32" s="200"/>
      <c r="BU32" s="40"/>
      <c r="BV32" s="28">
        <v>3</v>
      </c>
      <c r="BW32" s="200"/>
      <c r="BX32" s="40"/>
      <c r="BY32" s="40"/>
      <c r="BZ32" s="197"/>
      <c r="CA32" s="41" t="s">
        <v>20</v>
      </c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</row>
    <row r="33" spans="1:97" ht="30.75" customHeight="1">
      <c r="A33" s="24">
        <v>21</v>
      </c>
      <c r="B33" s="51" t="s">
        <v>166</v>
      </c>
      <c r="C33" s="116" t="s">
        <v>155</v>
      </c>
      <c r="D33" s="91" t="s">
        <v>429</v>
      </c>
      <c r="E33" s="197"/>
      <c r="F33" s="27" t="s">
        <v>64</v>
      </c>
      <c r="G33" s="42" t="s">
        <v>241</v>
      </c>
      <c r="H33" s="27" t="s">
        <v>64</v>
      </c>
      <c r="I33" s="42" t="s">
        <v>241</v>
      </c>
      <c r="J33" s="29"/>
      <c r="K33" s="27" t="s">
        <v>64</v>
      </c>
      <c r="L33" s="30" t="s">
        <v>67</v>
      </c>
      <c r="M33" s="27" t="s">
        <v>102</v>
      </c>
      <c r="N33" s="28" t="s">
        <v>103</v>
      </c>
      <c r="O33" s="27" t="s">
        <v>102</v>
      </c>
      <c r="P33" s="28" t="s">
        <v>103</v>
      </c>
      <c r="Q33" s="29"/>
      <c r="R33" s="92" t="s">
        <v>64</v>
      </c>
      <c r="S33" s="97" t="s">
        <v>114</v>
      </c>
      <c r="T33" s="92" t="s">
        <v>64</v>
      </c>
      <c r="U33" s="9" t="s">
        <v>115</v>
      </c>
      <c r="V33" s="92" t="s">
        <v>64</v>
      </c>
      <c r="W33" s="176" t="s">
        <v>116</v>
      </c>
      <c r="X33" s="186"/>
      <c r="Y33" s="27" t="s">
        <v>102</v>
      </c>
      <c r="Z33" s="28" t="s">
        <v>264</v>
      </c>
      <c r="AA33" s="27" t="s">
        <v>102</v>
      </c>
      <c r="AB33" s="28" t="s">
        <v>169</v>
      </c>
      <c r="AC33" s="200"/>
      <c r="AD33" s="27" t="s">
        <v>20</v>
      </c>
      <c r="AE33" s="93" t="s">
        <v>327</v>
      </c>
      <c r="AF33" s="27" t="s">
        <v>20</v>
      </c>
      <c r="AG33" s="93" t="s">
        <v>327</v>
      </c>
      <c r="AH33" s="103" t="s">
        <v>20</v>
      </c>
      <c r="AI33" s="93" t="s">
        <v>327</v>
      </c>
      <c r="AJ33" s="200"/>
      <c r="AK33" s="27" t="s">
        <v>102</v>
      </c>
      <c r="AL33" s="35" t="s">
        <v>329</v>
      </c>
      <c r="AM33" s="27" t="s">
        <v>102</v>
      </c>
      <c r="AN33" s="112" t="s">
        <v>329</v>
      </c>
      <c r="AO33" s="27" t="s">
        <v>102</v>
      </c>
      <c r="AP33" s="112" t="s">
        <v>329</v>
      </c>
      <c r="AQ33" s="200"/>
      <c r="AR33" s="27" t="s">
        <v>64</v>
      </c>
      <c r="AS33" s="28" t="s">
        <v>430</v>
      </c>
      <c r="AT33" s="27" t="s">
        <v>64</v>
      </c>
      <c r="AU33" s="28" t="s">
        <v>365</v>
      </c>
      <c r="AV33" s="27" t="s">
        <v>64</v>
      </c>
      <c r="AW33" s="28" t="s">
        <v>366</v>
      </c>
      <c r="AX33" s="27" t="s">
        <v>64</v>
      </c>
      <c r="AY33" s="28" t="s">
        <v>367</v>
      </c>
      <c r="AZ33" s="200"/>
      <c r="BA33" s="27" t="s">
        <v>102</v>
      </c>
      <c r="BB33" s="28" t="s">
        <v>106</v>
      </c>
      <c r="BC33" s="27" t="s">
        <v>64</v>
      </c>
      <c r="BD33" s="28" t="s">
        <v>86</v>
      </c>
      <c r="BE33" s="27" t="s">
        <v>102</v>
      </c>
      <c r="BF33" s="28" t="s">
        <v>107</v>
      </c>
      <c r="BG33" s="186"/>
      <c r="BH33" s="27" t="s">
        <v>102</v>
      </c>
      <c r="BI33" s="38" t="s">
        <v>108</v>
      </c>
      <c r="BJ33" s="27" t="s">
        <v>102</v>
      </c>
      <c r="BK33" s="38" t="s">
        <v>108</v>
      </c>
      <c r="BL33" s="200"/>
      <c r="BM33" s="27" t="s">
        <v>64</v>
      </c>
      <c r="BN33" s="28" t="s">
        <v>146</v>
      </c>
      <c r="BO33" s="186"/>
      <c r="BP33" s="27" t="s">
        <v>20</v>
      </c>
      <c r="BQ33" s="35" t="s">
        <v>235</v>
      </c>
      <c r="BR33" s="27" t="s">
        <v>20</v>
      </c>
      <c r="BS33" s="35" t="s">
        <v>236</v>
      </c>
      <c r="BT33" s="200"/>
      <c r="BU33" s="40"/>
      <c r="BV33" s="28">
        <v>6</v>
      </c>
      <c r="BW33" s="200"/>
      <c r="BX33" s="40"/>
      <c r="BY33" s="28">
        <v>2</v>
      </c>
      <c r="BZ33" s="197"/>
      <c r="CA33" s="41" t="s">
        <v>20</v>
      </c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</row>
    <row r="34" spans="1:97" ht="30.75" customHeight="1">
      <c r="A34" s="24">
        <v>22</v>
      </c>
      <c r="B34" s="95" t="s">
        <v>431</v>
      </c>
      <c r="C34" s="56" t="s">
        <v>432</v>
      </c>
      <c r="D34" s="113" t="s">
        <v>433</v>
      </c>
      <c r="E34" s="197"/>
      <c r="F34" s="27" t="s">
        <v>64</v>
      </c>
      <c r="G34" s="42" t="s">
        <v>241</v>
      </c>
      <c r="H34" s="27" t="s">
        <v>20</v>
      </c>
      <c r="I34" s="42" t="s">
        <v>338</v>
      </c>
      <c r="J34" s="29"/>
      <c r="K34" s="27" t="s">
        <v>64</v>
      </c>
      <c r="L34" s="30" t="s">
        <v>67</v>
      </c>
      <c r="M34" s="27" t="s">
        <v>64</v>
      </c>
      <c r="N34" s="30" t="s">
        <v>67</v>
      </c>
      <c r="O34" s="27" t="s">
        <v>64</v>
      </c>
      <c r="P34" s="30" t="s">
        <v>67</v>
      </c>
      <c r="Q34" s="29"/>
      <c r="R34" s="92" t="s">
        <v>64</v>
      </c>
      <c r="S34" s="97" t="s">
        <v>114</v>
      </c>
      <c r="T34" s="92" t="s">
        <v>64</v>
      </c>
      <c r="U34" s="9" t="s">
        <v>115</v>
      </c>
      <c r="V34" s="92" t="s">
        <v>64</v>
      </c>
      <c r="W34" s="176" t="s">
        <v>116</v>
      </c>
      <c r="X34" s="186"/>
      <c r="Y34" s="27" t="s">
        <v>102</v>
      </c>
      <c r="Z34" s="28" t="s">
        <v>264</v>
      </c>
      <c r="AA34" s="27" t="s">
        <v>102</v>
      </c>
      <c r="AB34" s="28" t="s">
        <v>169</v>
      </c>
      <c r="AC34" s="200"/>
      <c r="AD34" s="27" t="s">
        <v>20</v>
      </c>
      <c r="AE34" s="93" t="s">
        <v>327</v>
      </c>
      <c r="AF34" s="27" t="s">
        <v>20</v>
      </c>
      <c r="AG34" s="93" t="s">
        <v>327</v>
      </c>
      <c r="AH34" s="103" t="s">
        <v>20</v>
      </c>
      <c r="AI34" s="93" t="s">
        <v>327</v>
      </c>
      <c r="AJ34" s="200"/>
      <c r="AK34" s="27" t="s">
        <v>102</v>
      </c>
      <c r="AL34" s="35" t="s">
        <v>329</v>
      </c>
      <c r="AM34" s="27" t="s">
        <v>102</v>
      </c>
      <c r="AN34" s="35" t="s">
        <v>329</v>
      </c>
      <c r="AO34" s="27" t="s">
        <v>102</v>
      </c>
      <c r="AP34" s="35" t="s">
        <v>329</v>
      </c>
      <c r="AQ34" s="200"/>
      <c r="AR34" s="27" t="s">
        <v>102</v>
      </c>
      <c r="AS34" s="28" t="s">
        <v>434</v>
      </c>
      <c r="AT34" s="27" t="s">
        <v>64</v>
      </c>
      <c r="AU34" s="28" t="s">
        <v>365</v>
      </c>
      <c r="AV34" s="27" t="s">
        <v>64</v>
      </c>
      <c r="AW34" s="28" t="s">
        <v>366</v>
      </c>
      <c r="AX34" s="27" t="s">
        <v>64</v>
      </c>
      <c r="AY34" s="28" t="s">
        <v>367</v>
      </c>
      <c r="AZ34" s="200"/>
      <c r="BA34" s="27" t="s">
        <v>64</v>
      </c>
      <c r="BB34" s="28" t="s">
        <v>85</v>
      </c>
      <c r="BC34" s="27" t="s">
        <v>64</v>
      </c>
      <c r="BD34" s="28" t="s">
        <v>86</v>
      </c>
      <c r="BE34" s="27" t="s">
        <v>102</v>
      </c>
      <c r="BF34" s="28" t="s">
        <v>107</v>
      </c>
      <c r="BG34" s="186"/>
      <c r="BH34" s="27" t="s">
        <v>64</v>
      </c>
      <c r="BI34" s="35" t="s">
        <v>88</v>
      </c>
      <c r="BJ34" s="27" t="s">
        <v>64</v>
      </c>
      <c r="BK34" s="38" t="s">
        <v>89</v>
      </c>
      <c r="BL34" s="200"/>
      <c r="BM34" s="27" t="s">
        <v>102</v>
      </c>
      <c r="BN34" s="28" t="s">
        <v>266</v>
      </c>
      <c r="BO34" s="186"/>
      <c r="BP34" s="27" t="s">
        <v>20</v>
      </c>
      <c r="BQ34" s="35" t="s">
        <v>235</v>
      </c>
      <c r="BR34" s="27" t="s">
        <v>64</v>
      </c>
      <c r="BS34" s="35" t="s">
        <v>334</v>
      </c>
      <c r="BT34" s="200"/>
      <c r="BU34" s="40"/>
      <c r="BV34" s="28">
        <v>4</v>
      </c>
      <c r="BW34" s="200"/>
      <c r="BX34" s="40"/>
      <c r="BY34" s="28">
        <v>16</v>
      </c>
      <c r="BZ34" s="197"/>
      <c r="CA34" s="41" t="s">
        <v>64</v>
      </c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</row>
    <row r="35" spans="1:97" ht="30.75" customHeight="1">
      <c r="A35" s="24">
        <v>23</v>
      </c>
      <c r="B35" s="95" t="s">
        <v>435</v>
      </c>
      <c r="C35" s="56" t="s">
        <v>436</v>
      </c>
      <c r="D35" s="56" t="s">
        <v>437</v>
      </c>
      <c r="E35" s="197"/>
      <c r="F35" s="27" t="s">
        <v>64</v>
      </c>
      <c r="G35" s="42" t="s">
        <v>241</v>
      </c>
      <c r="H35" s="27" t="s">
        <v>64</v>
      </c>
      <c r="I35" s="42" t="s">
        <v>241</v>
      </c>
      <c r="J35" s="29"/>
      <c r="K35" s="27" t="s">
        <v>20</v>
      </c>
      <c r="L35" s="31" t="s">
        <v>68</v>
      </c>
      <c r="M35" s="27" t="s">
        <v>64</v>
      </c>
      <c r="N35" s="30" t="s">
        <v>67</v>
      </c>
      <c r="O35" s="27" t="s">
        <v>64</v>
      </c>
      <c r="P35" s="30" t="s">
        <v>67</v>
      </c>
      <c r="Q35" s="29"/>
      <c r="R35" s="92" t="s">
        <v>64</v>
      </c>
      <c r="S35" s="97" t="s">
        <v>114</v>
      </c>
      <c r="T35" s="92" t="s">
        <v>64</v>
      </c>
      <c r="U35" s="9" t="s">
        <v>115</v>
      </c>
      <c r="V35" s="92" t="s">
        <v>64</v>
      </c>
      <c r="W35" s="176" t="s">
        <v>116</v>
      </c>
      <c r="X35" s="186"/>
      <c r="Y35" s="27" t="s">
        <v>20</v>
      </c>
      <c r="Z35" s="28" t="s">
        <v>73</v>
      </c>
      <c r="AA35" s="27" t="s">
        <v>64</v>
      </c>
      <c r="AB35" s="28" t="s">
        <v>97</v>
      </c>
      <c r="AC35" s="200"/>
      <c r="AD35" s="27" t="s">
        <v>20</v>
      </c>
      <c r="AE35" s="93" t="s">
        <v>327</v>
      </c>
      <c r="AF35" s="27" t="s">
        <v>20</v>
      </c>
      <c r="AG35" s="93" t="s">
        <v>327</v>
      </c>
      <c r="AH35" s="103" t="s">
        <v>20</v>
      </c>
      <c r="AI35" s="93" t="s">
        <v>327</v>
      </c>
      <c r="AJ35" s="200"/>
      <c r="AK35" s="27" t="s">
        <v>102</v>
      </c>
      <c r="AL35" s="35" t="s">
        <v>329</v>
      </c>
      <c r="AM35" s="27" t="s">
        <v>102</v>
      </c>
      <c r="AN35" s="28" t="s">
        <v>329</v>
      </c>
      <c r="AO35" s="27" t="s">
        <v>102</v>
      </c>
      <c r="AP35" s="28" t="s">
        <v>329</v>
      </c>
      <c r="AQ35" s="200"/>
      <c r="AR35" s="27" t="s">
        <v>20</v>
      </c>
      <c r="AS35" s="28" t="s">
        <v>414</v>
      </c>
      <c r="AT35" s="27" t="s">
        <v>20</v>
      </c>
      <c r="AU35" s="28" t="s">
        <v>331</v>
      </c>
      <c r="AV35" s="27" t="s">
        <v>20</v>
      </c>
      <c r="AW35" s="28" t="s">
        <v>332</v>
      </c>
      <c r="AX35" s="27" t="s">
        <v>20</v>
      </c>
      <c r="AY35" s="28" t="s">
        <v>333</v>
      </c>
      <c r="AZ35" s="200"/>
      <c r="BA35" s="27" t="s">
        <v>64</v>
      </c>
      <c r="BB35" s="28" t="s">
        <v>85</v>
      </c>
      <c r="BC35" s="27" t="s">
        <v>64</v>
      </c>
      <c r="BD35" s="28" t="s">
        <v>86</v>
      </c>
      <c r="BE35" s="27" t="s">
        <v>64</v>
      </c>
      <c r="BF35" s="28" t="s">
        <v>145</v>
      </c>
      <c r="BG35" s="186"/>
      <c r="BH35" s="27" t="s">
        <v>102</v>
      </c>
      <c r="BI35" s="38" t="s">
        <v>108</v>
      </c>
      <c r="BJ35" s="27" t="s">
        <v>64</v>
      </c>
      <c r="BK35" s="38" t="s">
        <v>89</v>
      </c>
      <c r="BL35" s="200"/>
      <c r="BM35" s="27" t="s">
        <v>20</v>
      </c>
      <c r="BN35" s="28" t="s">
        <v>340</v>
      </c>
      <c r="BO35" s="186"/>
      <c r="BP35" s="27" t="s">
        <v>20</v>
      </c>
      <c r="BQ35" s="35" t="s">
        <v>235</v>
      </c>
      <c r="BR35" s="27" t="s">
        <v>20</v>
      </c>
      <c r="BS35" s="35" t="s">
        <v>236</v>
      </c>
      <c r="BT35" s="200"/>
      <c r="BU35" s="40"/>
      <c r="BV35" s="40"/>
      <c r="BW35" s="200"/>
      <c r="BX35" s="40"/>
      <c r="BY35" s="28">
        <v>2</v>
      </c>
      <c r="BZ35" s="197"/>
      <c r="CA35" s="102" t="s">
        <v>20</v>
      </c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</row>
    <row r="36" spans="1:97" ht="30.75" customHeight="1">
      <c r="A36" s="24">
        <v>24</v>
      </c>
      <c r="B36" s="51" t="s">
        <v>394</v>
      </c>
      <c r="C36" s="90" t="s">
        <v>438</v>
      </c>
      <c r="D36" s="91" t="s">
        <v>439</v>
      </c>
      <c r="E36" s="197"/>
      <c r="F36" s="27" t="s">
        <v>64</v>
      </c>
      <c r="G36" s="42" t="s">
        <v>241</v>
      </c>
      <c r="H36" s="27" t="s">
        <v>64</v>
      </c>
      <c r="I36" s="42" t="s">
        <v>241</v>
      </c>
      <c r="J36" s="29"/>
      <c r="K36" s="27" t="s">
        <v>20</v>
      </c>
      <c r="L36" s="31" t="s">
        <v>68</v>
      </c>
      <c r="M36" s="27" t="s">
        <v>64</v>
      </c>
      <c r="N36" s="30" t="s">
        <v>67</v>
      </c>
      <c r="O36" s="27" t="s">
        <v>64</v>
      </c>
      <c r="P36" s="30" t="s">
        <v>67</v>
      </c>
      <c r="Q36" s="29"/>
      <c r="R36" s="92" t="s">
        <v>64</v>
      </c>
      <c r="S36" s="97" t="s">
        <v>114</v>
      </c>
      <c r="T36" s="92" t="s">
        <v>64</v>
      </c>
      <c r="U36" s="9" t="s">
        <v>115</v>
      </c>
      <c r="V36" s="92" t="s">
        <v>64</v>
      </c>
      <c r="W36" s="176" t="s">
        <v>116</v>
      </c>
      <c r="X36" s="186"/>
      <c r="Y36" s="27" t="s">
        <v>64</v>
      </c>
      <c r="Z36" s="28" t="s">
        <v>97</v>
      </c>
      <c r="AA36" s="27" t="s">
        <v>64</v>
      </c>
      <c r="AB36" s="28" t="s">
        <v>97</v>
      </c>
      <c r="AC36" s="200"/>
      <c r="AD36" s="27" t="s">
        <v>20</v>
      </c>
      <c r="AE36" s="93" t="s">
        <v>327</v>
      </c>
      <c r="AF36" s="27" t="s">
        <v>20</v>
      </c>
      <c r="AG36" s="93" t="s">
        <v>327</v>
      </c>
      <c r="AH36" s="103" t="s">
        <v>20</v>
      </c>
      <c r="AI36" s="93" t="s">
        <v>327</v>
      </c>
      <c r="AJ36" s="200"/>
      <c r="AK36" s="27" t="s">
        <v>20</v>
      </c>
      <c r="AL36" s="35" t="s">
        <v>440</v>
      </c>
      <c r="AM36" s="27" t="s">
        <v>64</v>
      </c>
      <c r="AN36" s="28" t="s">
        <v>441</v>
      </c>
      <c r="AO36" s="27" t="s">
        <v>64</v>
      </c>
      <c r="AP36" s="28" t="s">
        <v>442</v>
      </c>
      <c r="AQ36" s="200"/>
      <c r="AR36" s="27" t="s">
        <v>64</v>
      </c>
      <c r="AS36" s="28" t="s">
        <v>443</v>
      </c>
      <c r="AT36" s="27" t="s">
        <v>64</v>
      </c>
      <c r="AU36" s="28" t="s">
        <v>365</v>
      </c>
      <c r="AV36" s="27" t="s">
        <v>64</v>
      </c>
      <c r="AW36" s="28" t="s">
        <v>366</v>
      </c>
      <c r="AX36" s="27" t="s">
        <v>64</v>
      </c>
      <c r="AY36" s="28" t="s">
        <v>367</v>
      </c>
      <c r="AZ36" s="200"/>
      <c r="BA36" s="27" t="s">
        <v>64</v>
      </c>
      <c r="BB36" s="28" t="s">
        <v>85</v>
      </c>
      <c r="BC36" s="27" t="s">
        <v>64</v>
      </c>
      <c r="BD36" s="28" t="s">
        <v>86</v>
      </c>
      <c r="BE36" s="27" t="s">
        <v>102</v>
      </c>
      <c r="BF36" s="28" t="s">
        <v>107</v>
      </c>
      <c r="BG36" s="186"/>
      <c r="BH36" s="27" t="s">
        <v>64</v>
      </c>
      <c r="BI36" s="35" t="s">
        <v>88</v>
      </c>
      <c r="BJ36" s="27" t="s">
        <v>102</v>
      </c>
      <c r="BK36" s="38" t="s">
        <v>108</v>
      </c>
      <c r="BL36" s="200"/>
      <c r="BM36" s="27" t="s">
        <v>64</v>
      </c>
      <c r="BN36" s="28" t="s">
        <v>146</v>
      </c>
      <c r="BO36" s="186"/>
      <c r="BP36" s="27" t="s">
        <v>20</v>
      </c>
      <c r="BQ36" s="35" t="s">
        <v>235</v>
      </c>
      <c r="BR36" s="27" t="s">
        <v>20</v>
      </c>
      <c r="BS36" s="35" t="s">
        <v>236</v>
      </c>
      <c r="BT36" s="200"/>
      <c r="BU36" s="40"/>
      <c r="BV36" s="28">
        <v>1</v>
      </c>
      <c r="BW36" s="200"/>
      <c r="BX36" s="40"/>
      <c r="BY36" s="40"/>
      <c r="BZ36" s="197"/>
      <c r="CA36" s="102" t="s">
        <v>20</v>
      </c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</row>
    <row r="37" spans="1:97" ht="30.75" customHeight="1">
      <c r="A37" s="24">
        <v>25</v>
      </c>
      <c r="B37" s="51" t="s">
        <v>369</v>
      </c>
      <c r="C37" s="90" t="s">
        <v>273</v>
      </c>
      <c r="D37" s="91" t="s">
        <v>444</v>
      </c>
      <c r="E37" s="197"/>
      <c r="F37" s="27" t="s">
        <v>64</v>
      </c>
      <c r="G37" s="42" t="s">
        <v>241</v>
      </c>
      <c r="H37" s="27" t="s">
        <v>64</v>
      </c>
      <c r="I37" s="42" t="s">
        <v>241</v>
      </c>
      <c r="J37" s="29"/>
      <c r="K37" s="27" t="s">
        <v>20</v>
      </c>
      <c r="L37" s="31" t="s">
        <v>68</v>
      </c>
      <c r="M37" s="27" t="s">
        <v>20</v>
      </c>
      <c r="N37" s="31" t="s">
        <v>68</v>
      </c>
      <c r="O37" s="27" t="s">
        <v>20</v>
      </c>
      <c r="P37" s="31" t="s">
        <v>68</v>
      </c>
      <c r="Q37" s="29"/>
      <c r="R37" s="92" t="s">
        <v>20</v>
      </c>
      <c r="S37" s="97" t="s">
        <v>325</v>
      </c>
      <c r="T37" s="92" t="s">
        <v>20</v>
      </c>
      <c r="U37" s="9" t="s">
        <v>70</v>
      </c>
      <c r="V37" s="92" t="s">
        <v>20</v>
      </c>
      <c r="W37" s="9" t="s">
        <v>71</v>
      </c>
      <c r="X37" s="186"/>
      <c r="Y37" s="27" t="s">
        <v>20</v>
      </c>
      <c r="Z37" s="28" t="s">
        <v>73</v>
      </c>
      <c r="AA37" s="27" t="s">
        <v>72</v>
      </c>
      <c r="AB37" s="28" t="s">
        <v>74</v>
      </c>
      <c r="AC37" s="200"/>
      <c r="AD37" s="27" t="s">
        <v>72</v>
      </c>
      <c r="AE37" s="28" t="s">
        <v>326</v>
      </c>
      <c r="AF37" s="27" t="s">
        <v>72</v>
      </c>
      <c r="AG37" s="28" t="s">
        <v>326</v>
      </c>
      <c r="AH37" s="103" t="s">
        <v>72</v>
      </c>
      <c r="AI37" s="28" t="s">
        <v>326</v>
      </c>
      <c r="AJ37" s="200"/>
      <c r="AK37" s="27" t="s">
        <v>20</v>
      </c>
      <c r="AL37" s="35" t="s">
        <v>440</v>
      </c>
      <c r="AM37" s="27" t="s">
        <v>20</v>
      </c>
      <c r="AN37" s="28" t="s">
        <v>445</v>
      </c>
      <c r="AO37" s="27" t="s">
        <v>20</v>
      </c>
      <c r="AP37" s="28" t="s">
        <v>446</v>
      </c>
      <c r="AQ37" s="200"/>
      <c r="AR37" s="27" t="s">
        <v>64</v>
      </c>
      <c r="AS37" s="28" t="s">
        <v>364</v>
      </c>
      <c r="AT37" s="27" t="s">
        <v>64</v>
      </c>
      <c r="AU37" s="28" t="s">
        <v>365</v>
      </c>
      <c r="AV37" s="27" t="s">
        <v>64</v>
      </c>
      <c r="AW37" s="28" t="s">
        <v>366</v>
      </c>
      <c r="AX37" s="27" t="s">
        <v>64</v>
      </c>
      <c r="AY37" s="28" t="s">
        <v>367</v>
      </c>
      <c r="AZ37" s="200"/>
      <c r="BA37" s="27" t="s">
        <v>20</v>
      </c>
      <c r="BB37" s="28" t="s">
        <v>124</v>
      </c>
      <c r="BC37" s="27" t="s">
        <v>64</v>
      </c>
      <c r="BD37" s="28" t="s">
        <v>86</v>
      </c>
      <c r="BE37" s="27" t="s">
        <v>64</v>
      </c>
      <c r="BF37" s="28" t="s">
        <v>145</v>
      </c>
      <c r="BG37" s="186"/>
      <c r="BH37" s="27" t="s">
        <v>20</v>
      </c>
      <c r="BI37" s="38" t="s">
        <v>140</v>
      </c>
      <c r="BJ37" s="27" t="s">
        <v>20</v>
      </c>
      <c r="BK37" s="38" t="s">
        <v>127</v>
      </c>
      <c r="BL37" s="200"/>
      <c r="BM37" s="27" t="s">
        <v>20</v>
      </c>
      <c r="BN37" s="28" t="s">
        <v>340</v>
      </c>
      <c r="BO37" s="186"/>
      <c r="BP37" s="27" t="s">
        <v>20</v>
      </c>
      <c r="BQ37" s="35" t="s">
        <v>235</v>
      </c>
      <c r="BR37" s="27" t="s">
        <v>20</v>
      </c>
      <c r="BS37" s="35" t="s">
        <v>236</v>
      </c>
      <c r="BT37" s="200"/>
      <c r="BU37" s="40"/>
      <c r="BV37" s="28">
        <v>1</v>
      </c>
      <c r="BW37" s="200"/>
      <c r="BX37" s="40"/>
      <c r="BY37" s="28">
        <v>4</v>
      </c>
      <c r="BZ37" s="197"/>
      <c r="CA37" s="102" t="s">
        <v>20</v>
      </c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</row>
    <row r="38" spans="1:97" ht="30.75" customHeight="1">
      <c r="A38" s="24">
        <v>26</v>
      </c>
      <c r="B38" s="51" t="s">
        <v>447</v>
      </c>
      <c r="C38" s="90" t="s">
        <v>448</v>
      </c>
      <c r="D38" s="90" t="s">
        <v>449</v>
      </c>
      <c r="E38" s="197"/>
      <c r="F38" s="27" t="s">
        <v>102</v>
      </c>
      <c r="G38" s="42" t="s">
        <v>240</v>
      </c>
      <c r="H38" s="27" t="s">
        <v>102</v>
      </c>
      <c r="I38" s="42" t="s">
        <v>240</v>
      </c>
      <c r="J38" s="29"/>
      <c r="K38" s="27" t="s">
        <v>64</v>
      </c>
      <c r="L38" s="30" t="s">
        <v>67</v>
      </c>
      <c r="M38" s="27" t="s">
        <v>64</v>
      </c>
      <c r="N38" s="30" t="s">
        <v>67</v>
      </c>
      <c r="O38" s="27" t="s">
        <v>102</v>
      </c>
      <c r="P38" s="28" t="s">
        <v>103</v>
      </c>
      <c r="Q38" s="29"/>
      <c r="R38" s="92" t="s">
        <v>64</v>
      </c>
      <c r="S38" s="97" t="s">
        <v>450</v>
      </c>
      <c r="T38" s="92" t="s">
        <v>64</v>
      </c>
      <c r="U38" s="9" t="s">
        <v>115</v>
      </c>
      <c r="V38" s="92" t="s">
        <v>64</v>
      </c>
      <c r="W38" s="176" t="s">
        <v>116</v>
      </c>
      <c r="X38" s="186"/>
      <c r="Y38" s="27" t="s">
        <v>72</v>
      </c>
      <c r="Z38" s="28" t="s">
        <v>73</v>
      </c>
      <c r="AA38" s="27" t="s">
        <v>20</v>
      </c>
      <c r="AB38" s="28" t="s">
        <v>74</v>
      </c>
      <c r="AC38" s="200"/>
      <c r="AD38" s="27" t="s">
        <v>72</v>
      </c>
      <c r="AE38" s="28" t="s">
        <v>326</v>
      </c>
      <c r="AF38" s="27" t="s">
        <v>72</v>
      </c>
      <c r="AG38" s="28" t="s">
        <v>326</v>
      </c>
      <c r="AH38" s="103" t="s">
        <v>72</v>
      </c>
      <c r="AI38" s="28" t="s">
        <v>326</v>
      </c>
      <c r="AJ38" s="200"/>
      <c r="AK38" s="27" t="s">
        <v>102</v>
      </c>
      <c r="AL38" s="35" t="s">
        <v>451</v>
      </c>
      <c r="AM38" s="27" t="s">
        <v>102</v>
      </c>
      <c r="AN38" s="28" t="s">
        <v>452</v>
      </c>
      <c r="AO38" s="27" t="s">
        <v>102</v>
      </c>
      <c r="AP38" s="28" t="s">
        <v>453</v>
      </c>
      <c r="AQ38" s="200"/>
      <c r="AR38" s="27" t="s">
        <v>64</v>
      </c>
      <c r="AS38" s="28" t="s">
        <v>364</v>
      </c>
      <c r="AT38" s="27" t="s">
        <v>102</v>
      </c>
      <c r="AU38" s="28" t="s">
        <v>365</v>
      </c>
      <c r="AV38" s="27" t="s">
        <v>64</v>
      </c>
      <c r="AW38" s="28" t="s">
        <v>366</v>
      </c>
      <c r="AX38" s="27" t="s">
        <v>64</v>
      </c>
      <c r="AY38" s="28" t="s">
        <v>367</v>
      </c>
      <c r="AZ38" s="200"/>
      <c r="BA38" s="27" t="s">
        <v>64</v>
      </c>
      <c r="BB38" s="28" t="s">
        <v>85</v>
      </c>
      <c r="BC38" s="27" t="s">
        <v>64</v>
      </c>
      <c r="BD38" s="28" t="s">
        <v>86</v>
      </c>
      <c r="BE38" s="27" t="s">
        <v>102</v>
      </c>
      <c r="BF38" s="28" t="s">
        <v>107</v>
      </c>
      <c r="BG38" s="186"/>
      <c r="BH38" s="27" t="s">
        <v>64</v>
      </c>
      <c r="BI38" s="35" t="s">
        <v>88</v>
      </c>
      <c r="BJ38" s="27" t="s">
        <v>64</v>
      </c>
      <c r="BK38" s="38" t="s">
        <v>89</v>
      </c>
      <c r="BL38" s="200"/>
      <c r="BM38" s="27" t="s">
        <v>102</v>
      </c>
      <c r="BN38" s="28" t="s">
        <v>266</v>
      </c>
      <c r="BO38" s="186"/>
      <c r="BP38" s="27" t="s">
        <v>20</v>
      </c>
      <c r="BQ38" s="35" t="s">
        <v>235</v>
      </c>
      <c r="BR38" s="27" t="s">
        <v>20</v>
      </c>
      <c r="BS38" s="35" t="s">
        <v>236</v>
      </c>
      <c r="BT38" s="200"/>
      <c r="BU38" s="40"/>
      <c r="BV38" s="28">
        <v>3</v>
      </c>
      <c r="BW38" s="200"/>
      <c r="BX38" s="40"/>
      <c r="BY38" s="28">
        <v>7</v>
      </c>
      <c r="BZ38" s="197"/>
      <c r="CA38" s="41" t="s">
        <v>64</v>
      </c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</row>
    <row r="39" spans="1:97" ht="30.75" customHeight="1">
      <c r="A39" s="24">
        <v>27</v>
      </c>
      <c r="B39" s="108" t="s">
        <v>309</v>
      </c>
      <c r="C39" s="96" t="s">
        <v>454</v>
      </c>
      <c r="D39" s="96" t="s">
        <v>455</v>
      </c>
      <c r="E39" s="197"/>
      <c r="F39" s="27" t="s">
        <v>64</v>
      </c>
      <c r="G39" s="42" t="s">
        <v>241</v>
      </c>
      <c r="H39" s="27" t="s">
        <v>20</v>
      </c>
      <c r="I39" s="42" t="s">
        <v>338</v>
      </c>
      <c r="J39" s="29"/>
      <c r="K39" s="27" t="s">
        <v>64</v>
      </c>
      <c r="L39" s="30" t="s">
        <v>67</v>
      </c>
      <c r="M39" s="27" t="s">
        <v>64</v>
      </c>
      <c r="N39" s="30" t="s">
        <v>67</v>
      </c>
      <c r="O39" s="27" t="s">
        <v>64</v>
      </c>
      <c r="P39" s="30" t="s">
        <v>67</v>
      </c>
      <c r="Q39" s="29"/>
      <c r="R39" s="92" t="s">
        <v>64</v>
      </c>
      <c r="S39" s="97" t="s">
        <v>114</v>
      </c>
      <c r="T39" s="92" t="s">
        <v>64</v>
      </c>
      <c r="U39" s="9" t="s">
        <v>115</v>
      </c>
      <c r="V39" s="92" t="s">
        <v>64</v>
      </c>
      <c r="W39" s="181" t="s">
        <v>116</v>
      </c>
      <c r="X39" s="186"/>
      <c r="Y39" s="27" t="s">
        <v>20</v>
      </c>
      <c r="Z39" s="28" t="s">
        <v>73</v>
      </c>
      <c r="AA39" s="27" t="s">
        <v>20</v>
      </c>
      <c r="AB39" s="28" t="s">
        <v>74</v>
      </c>
      <c r="AC39" s="200"/>
      <c r="AD39" s="27" t="s">
        <v>72</v>
      </c>
      <c r="AE39" s="28" t="s">
        <v>326</v>
      </c>
      <c r="AF39" s="27" t="s">
        <v>20</v>
      </c>
      <c r="AG39" s="93" t="s">
        <v>327</v>
      </c>
      <c r="AH39" s="103" t="s">
        <v>20</v>
      </c>
      <c r="AI39" s="93" t="s">
        <v>327</v>
      </c>
      <c r="AJ39" s="200"/>
      <c r="AK39" s="27" t="s">
        <v>102</v>
      </c>
      <c r="AL39" s="28" t="s">
        <v>451</v>
      </c>
      <c r="AM39" s="27" t="s">
        <v>102</v>
      </c>
      <c r="AN39" s="111" t="s">
        <v>456</v>
      </c>
      <c r="AO39" s="27" t="s">
        <v>64</v>
      </c>
      <c r="AP39" s="28" t="s">
        <v>457</v>
      </c>
      <c r="AQ39" s="200"/>
      <c r="AR39" s="27" t="s">
        <v>20</v>
      </c>
      <c r="AS39" s="28" t="s">
        <v>414</v>
      </c>
      <c r="AT39" s="27" t="s">
        <v>20</v>
      </c>
      <c r="AU39" s="28" t="s">
        <v>331</v>
      </c>
      <c r="AV39" s="27" t="s">
        <v>20</v>
      </c>
      <c r="AW39" s="28" t="s">
        <v>332</v>
      </c>
      <c r="AX39" s="27" t="s">
        <v>20</v>
      </c>
      <c r="AY39" s="28" t="s">
        <v>458</v>
      </c>
      <c r="AZ39" s="200"/>
      <c r="BA39" s="27" t="s">
        <v>64</v>
      </c>
      <c r="BB39" s="28" t="s">
        <v>85</v>
      </c>
      <c r="BC39" s="27" t="s">
        <v>64</v>
      </c>
      <c r="BD39" s="28" t="s">
        <v>86</v>
      </c>
      <c r="BE39" s="27" t="s">
        <v>20</v>
      </c>
      <c r="BF39" s="28" t="s">
        <v>87</v>
      </c>
      <c r="BG39" s="186"/>
      <c r="BH39" s="27" t="s">
        <v>64</v>
      </c>
      <c r="BI39" s="35" t="s">
        <v>88</v>
      </c>
      <c r="BJ39" s="27" t="s">
        <v>64</v>
      </c>
      <c r="BK39" s="38" t="s">
        <v>89</v>
      </c>
      <c r="BL39" s="200"/>
      <c r="BM39" s="27" t="s">
        <v>20</v>
      </c>
      <c r="BN39" s="28" t="s">
        <v>256</v>
      </c>
      <c r="BO39" s="186"/>
      <c r="BP39" s="27" t="s">
        <v>20</v>
      </c>
      <c r="BQ39" s="35" t="s">
        <v>235</v>
      </c>
      <c r="BR39" s="27" t="s">
        <v>20</v>
      </c>
      <c r="BS39" s="35" t="s">
        <v>236</v>
      </c>
      <c r="BT39" s="200"/>
      <c r="BU39" s="40"/>
      <c r="BV39" s="40"/>
      <c r="BW39" s="200"/>
      <c r="BX39" s="40"/>
      <c r="BY39" s="28">
        <v>3</v>
      </c>
      <c r="BZ39" s="197"/>
      <c r="CA39" s="102" t="s">
        <v>20</v>
      </c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</row>
    <row r="40" spans="1:97" ht="30.75" customHeight="1">
      <c r="A40" s="24">
        <v>28</v>
      </c>
      <c r="B40" s="26" t="s">
        <v>459</v>
      </c>
      <c r="C40" s="26" t="s">
        <v>254</v>
      </c>
      <c r="D40" s="26" t="s">
        <v>460</v>
      </c>
      <c r="E40" s="198"/>
      <c r="F40" s="27" t="s">
        <v>64</v>
      </c>
      <c r="G40" s="42" t="s">
        <v>241</v>
      </c>
      <c r="H40" s="27" t="s">
        <v>20</v>
      </c>
      <c r="I40" s="42" t="s">
        <v>338</v>
      </c>
      <c r="J40" s="29"/>
      <c r="K40" s="27" t="s">
        <v>64</v>
      </c>
      <c r="L40" s="30" t="s">
        <v>67</v>
      </c>
      <c r="M40" s="27" t="s">
        <v>64</v>
      </c>
      <c r="N40" s="30" t="s">
        <v>67</v>
      </c>
      <c r="O40" s="27" t="s">
        <v>64</v>
      </c>
      <c r="P40" s="30" t="s">
        <v>67</v>
      </c>
      <c r="Q40" s="29"/>
      <c r="R40" s="92" t="s">
        <v>20</v>
      </c>
      <c r="S40" s="97" t="s">
        <v>461</v>
      </c>
      <c r="T40" s="92" t="s">
        <v>20</v>
      </c>
      <c r="U40" s="9" t="s">
        <v>70</v>
      </c>
      <c r="V40" s="180" t="s">
        <v>20</v>
      </c>
      <c r="W40" s="182" t="s">
        <v>71</v>
      </c>
      <c r="X40" s="228"/>
      <c r="Y40" s="27" t="s">
        <v>72</v>
      </c>
      <c r="Z40" s="28" t="s">
        <v>73</v>
      </c>
      <c r="AA40" s="27" t="s">
        <v>72</v>
      </c>
      <c r="AB40" s="28" t="s">
        <v>74</v>
      </c>
      <c r="AC40" s="201"/>
      <c r="AD40" s="27" t="s">
        <v>72</v>
      </c>
      <c r="AE40" s="28" t="s">
        <v>326</v>
      </c>
      <c r="AF40" s="27" t="s">
        <v>20</v>
      </c>
      <c r="AG40" s="93" t="s">
        <v>327</v>
      </c>
      <c r="AH40" s="103" t="s">
        <v>20</v>
      </c>
      <c r="AI40" s="93" t="s">
        <v>327</v>
      </c>
      <c r="AJ40" s="201"/>
      <c r="AK40" s="27" t="s">
        <v>102</v>
      </c>
      <c r="AL40" s="35" t="s">
        <v>451</v>
      </c>
      <c r="AM40" s="27" t="s">
        <v>102</v>
      </c>
      <c r="AN40" s="28" t="s">
        <v>456</v>
      </c>
      <c r="AO40" s="27" t="s">
        <v>64</v>
      </c>
      <c r="AP40" s="28" t="s">
        <v>462</v>
      </c>
      <c r="AQ40" s="201"/>
      <c r="AR40" s="27" t="s">
        <v>20</v>
      </c>
      <c r="AS40" s="28" t="s">
        <v>414</v>
      </c>
      <c r="AT40" s="27" t="s">
        <v>20</v>
      </c>
      <c r="AU40" s="28" t="s">
        <v>331</v>
      </c>
      <c r="AV40" s="27" t="s">
        <v>20</v>
      </c>
      <c r="AW40" s="28" t="s">
        <v>332</v>
      </c>
      <c r="AX40" s="27" t="s">
        <v>20</v>
      </c>
      <c r="AY40" s="28" t="s">
        <v>333</v>
      </c>
      <c r="AZ40" s="201"/>
      <c r="BA40" s="27" t="s">
        <v>64</v>
      </c>
      <c r="BB40" s="28" t="s">
        <v>85</v>
      </c>
      <c r="BC40" s="27" t="s">
        <v>64</v>
      </c>
      <c r="BD40" s="28" t="s">
        <v>86</v>
      </c>
      <c r="BE40" s="27" t="s">
        <v>20</v>
      </c>
      <c r="BF40" s="28" t="s">
        <v>87</v>
      </c>
      <c r="BG40" s="213"/>
      <c r="BH40" s="27" t="s">
        <v>102</v>
      </c>
      <c r="BI40" s="38" t="s">
        <v>108</v>
      </c>
      <c r="BJ40" s="27" t="s">
        <v>102</v>
      </c>
      <c r="BK40" s="38" t="s">
        <v>108</v>
      </c>
      <c r="BL40" s="201"/>
      <c r="BM40" s="27" t="s">
        <v>64</v>
      </c>
      <c r="BN40" s="28" t="s">
        <v>146</v>
      </c>
      <c r="BO40" s="213"/>
      <c r="BP40" s="27" t="s">
        <v>20</v>
      </c>
      <c r="BQ40" s="35" t="s">
        <v>235</v>
      </c>
      <c r="BR40" s="27" t="s">
        <v>20</v>
      </c>
      <c r="BS40" s="35" t="s">
        <v>236</v>
      </c>
      <c r="BT40" s="201"/>
      <c r="BU40" s="40"/>
      <c r="BV40" s="40"/>
      <c r="BW40" s="201"/>
      <c r="BX40" s="40"/>
      <c r="BY40" s="28">
        <v>1</v>
      </c>
      <c r="BZ40" s="198"/>
      <c r="CA40" s="102" t="s">
        <v>20</v>
      </c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</row>
    <row r="41" spans="1:97" ht="19.5" customHeight="1">
      <c r="A41" s="62"/>
      <c r="B41" s="62"/>
      <c r="C41" s="62"/>
      <c r="D41" s="62"/>
      <c r="E41" s="62"/>
      <c r="F41" s="62"/>
      <c r="G41" s="60"/>
      <c r="H41" s="60"/>
      <c r="I41" s="61"/>
      <c r="J41" s="62"/>
      <c r="K41" s="62"/>
      <c r="L41" s="62"/>
      <c r="M41" s="62"/>
      <c r="N41" s="60"/>
      <c r="O41" s="60"/>
      <c r="P41" s="62"/>
      <c r="Q41" s="62"/>
      <c r="R41" s="62"/>
      <c r="S41" s="62"/>
      <c r="T41" s="62"/>
      <c r="U41" s="60"/>
      <c r="V41" s="60"/>
      <c r="W41" s="62"/>
      <c r="X41" s="62"/>
      <c r="Y41" s="62"/>
      <c r="Z41" s="60"/>
      <c r="AA41" s="60"/>
      <c r="AB41" s="62"/>
      <c r="AC41" s="62"/>
      <c r="AD41" s="62"/>
      <c r="AE41" s="62"/>
      <c r="AG41" s="60"/>
      <c r="AH41" s="60"/>
      <c r="AI41" s="62"/>
      <c r="AJ41" s="62"/>
      <c r="AK41" s="62"/>
      <c r="AL41" s="62"/>
      <c r="AM41" s="62"/>
      <c r="AN41" s="60"/>
      <c r="AO41" s="60"/>
      <c r="AP41" s="62"/>
      <c r="AQ41" s="62"/>
      <c r="AR41" s="62"/>
      <c r="AS41" s="62"/>
      <c r="AT41" s="62"/>
      <c r="AU41" s="62"/>
      <c r="AV41" s="62"/>
      <c r="AW41" s="60"/>
      <c r="AX41" s="60"/>
      <c r="AY41" s="62"/>
      <c r="AZ41" s="62"/>
      <c r="BA41" s="62"/>
      <c r="BB41" s="62"/>
      <c r="BC41" s="62"/>
      <c r="BD41" s="60"/>
      <c r="BE41" s="60"/>
      <c r="BF41" s="62"/>
      <c r="BG41" s="62"/>
      <c r="BH41" s="62"/>
      <c r="BI41" s="60"/>
      <c r="BJ41" s="60"/>
      <c r="BK41" s="62"/>
      <c r="BL41" s="62"/>
      <c r="BM41" s="60"/>
      <c r="BN41" s="60"/>
      <c r="BO41" s="62"/>
      <c r="BP41" s="60"/>
      <c r="BQ41" s="60"/>
      <c r="BR41" s="60"/>
      <c r="BS41" s="60"/>
      <c r="BT41" s="62"/>
      <c r="BU41" s="62"/>
      <c r="BV41" s="62"/>
      <c r="BW41" s="62"/>
      <c r="BX41" s="62"/>
      <c r="BY41" s="62"/>
      <c r="BZ41" s="62"/>
      <c r="CA41" s="60"/>
      <c r="CB41" s="60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</row>
    <row r="42" spans="1:97" ht="19.5" customHeight="1">
      <c r="A42" s="62"/>
      <c r="B42" s="62"/>
      <c r="C42" s="62"/>
      <c r="D42" s="62"/>
      <c r="E42" s="62"/>
      <c r="F42" s="62"/>
      <c r="G42" s="60"/>
      <c r="H42" s="60"/>
      <c r="I42" s="61"/>
      <c r="J42" s="62"/>
      <c r="K42" s="62"/>
      <c r="L42" s="62"/>
      <c r="M42" s="62"/>
      <c r="N42" s="60"/>
      <c r="O42" s="60"/>
      <c r="P42" s="62"/>
      <c r="Q42" s="62"/>
      <c r="R42" s="62"/>
      <c r="S42" s="62"/>
      <c r="T42" s="62"/>
      <c r="U42" s="60"/>
      <c r="V42" s="60"/>
      <c r="W42" s="62"/>
      <c r="X42" s="62"/>
      <c r="Y42" s="62"/>
      <c r="Z42" s="60"/>
      <c r="AA42" s="60"/>
      <c r="AB42" s="62"/>
      <c r="AC42" s="62"/>
      <c r="AD42" s="62"/>
      <c r="AE42" s="62"/>
      <c r="AG42" s="60"/>
      <c r="AH42" s="60"/>
      <c r="AI42" s="62"/>
      <c r="AJ42" s="62"/>
      <c r="AK42" s="62"/>
      <c r="AL42" s="62"/>
      <c r="AM42" s="62"/>
      <c r="AN42" s="60"/>
      <c r="AO42" s="60"/>
      <c r="AP42" s="62"/>
      <c r="AQ42" s="62"/>
      <c r="AR42" s="62"/>
      <c r="AS42" s="62"/>
      <c r="AT42" s="62"/>
      <c r="AU42" s="62"/>
      <c r="AV42" s="62"/>
      <c r="AW42" s="60"/>
      <c r="AX42" s="60"/>
      <c r="AY42" s="62"/>
      <c r="AZ42" s="62"/>
      <c r="BA42" s="62"/>
      <c r="BB42" s="62"/>
      <c r="BC42" s="62"/>
      <c r="BD42" s="60"/>
      <c r="BE42" s="60"/>
      <c r="BF42" s="62"/>
      <c r="BG42" s="62"/>
      <c r="BH42" s="62"/>
      <c r="BI42" s="60"/>
      <c r="BJ42" s="60"/>
      <c r="BK42" s="62"/>
      <c r="BL42" s="62"/>
      <c r="BM42" s="60"/>
      <c r="BN42" s="60"/>
      <c r="BO42" s="62"/>
      <c r="BP42" s="60"/>
      <c r="BQ42" s="60"/>
      <c r="BR42" s="60"/>
      <c r="BS42" s="60"/>
      <c r="BT42" s="62"/>
      <c r="BU42" s="62"/>
      <c r="BV42" s="62"/>
      <c r="BW42" s="62"/>
      <c r="BX42" s="62"/>
      <c r="BY42" s="62"/>
      <c r="BZ42" s="62"/>
      <c r="CA42" s="60"/>
      <c r="CB42" s="60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</row>
    <row r="43" spans="1:97" ht="19.5" customHeight="1">
      <c r="A43" s="62"/>
      <c r="B43" s="62"/>
      <c r="C43" s="62"/>
      <c r="D43" s="62"/>
      <c r="E43" s="62"/>
      <c r="F43" s="62"/>
      <c r="G43" s="60"/>
      <c r="H43" s="60"/>
      <c r="I43" s="61"/>
      <c r="J43" s="62"/>
      <c r="K43" s="62"/>
      <c r="L43" s="62"/>
      <c r="M43" s="62"/>
      <c r="N43" s="60"/>
      <c r="O43" s="60"/>
      <c r="P43" s="62"/>
      <c r="Q43" s="62"/>
      <c r="R43" s="62"/>
      <c r="S43" s="62"/>
      <c r="T43" s="62"/>
      <c r="U43" s="60"/>
      <c r="V43" s="60"/>
      <c r="W43" s="62"/>
      <c r="X43" s="62"/>
      <c r="Y43" s="62"/>
      <c r="Z43" s="60"/>
      <c r="AA43" s="60"/>
      <c r="AB43" s="62"/>
      <c r="AC43" s="62"/>
      <c r="AD43" s="62"/>
      <c r="AE43" s="62"/>
      <c r="AG43" s="60"/>
      <c r="AH43" s="60"/>
      <c r="AI43" s="62"/>
      <c r="AJ43" s="62"/>
      <c r="AK43" s="62"/>
      <c r="AL43" s="62"/>
      <c r="AM43" s="62"/>
      <c r="AN43" s="60"/>
      <c r="AO43" s="60"/>
      <c r="AP43" s="62"/>
      <c r="AQ43" s="62"/>
      <c r="AR43" s="62"/>
      <c r="AS43" s="62"/>
      <c r="AT43" s="62"/>
      <c r="AU43" s="62"/>
      <c r="AV43" s="62"/>
      <c r="AW43" s="60"/>
      <c r="AX43" s="60"/>
      <c r="AY43" s="62"/>
      <c r="AZ43" s="62"/>
      <c r="BA43" s="62"/>
      <c r="BB43" s="62"/>
      <c r="BC43" s="62"/>
      <c r="BD43" s="60"/>
      <c r="BE43" s="60"/>
      <c r="BF43" s="62"/>
      <c r="BG43" s="62"/>
      <c r="BH43" s="62"/>
      <c r="BI43" s="60"/>
      <c r="BJ43" s="60"/>
      <c r="BK43" s="62"/>
      <c r="BL43" s="62"/>
      <c r="BM43" s="60"/>
      <c r="BN43" s="60"/>
      <c r="BO43" s="62"/>
      <c r="BP43" s="60"/>
      <c r="BQ43" s="60"/>
      <c r="BR43" s="60"/>
      <c r="BS43" s="60"/>
      <c r="BT43" s="62"/>
      <c r="BU43" s="62"/>
      <c r="BV43" s="62"/>
      <c r="BW43" s="62"/>
      <c r="BX43" s="62"/>
      <c r="BY43" s="62"/>
      <c r="BZ43" s="62"/>
      <c r="CA43" s="60"/>
      <c r="CB43" s="60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</row>
    <row r="44" spans="1:97" ht="19.5" customHeight="1">
      <c r="A44" s="62"/>
      <c r="B44" s="62"/>
      <c r="C44" s="62"/>
      <c r="D44" s="62"/>
      <c r="E44" s="62"/>
      <c r="F44" s="62"/>
      <c r="G44" s="60"/>
      <c r="H44" s="60"/>
      <c r="I44" s="61"/>
      <c r="J44" s="62"/>
      <c r="K44" s="62"/>
      <c r="L44" s="62"/>
      <c r="M44" s="62"/>
      <c r="N44" s="60"/>
      <c r="O44" s="60"/>
      <c r="P44" s="62"/>
      <c r="Q44" s="62"/>
      <c r="R44" s="62"/>
      <c r="S44" s="62"/>
      <c r="T44" s="62"/>
      <c r="U44" s="60"/>
      <c r="V44" s="60"/>
      <c r="W44" s="62"/>
      <c r="X44" s="62"/>
      <c r="Y44" s="62"/>
      <c r="Z44" s="60"/>
      <c r="AA44" s="60"/>
      <c r="AB44" s="62"/>
      <c r="AC44" s="62"/>
      <c r="AD44" s="62"/>
      <c r="AE44" s="62"/>
      <c r="AG44" s="60"/>
      <c r="AH44" s="60"/>
      <c r="AI44" s="62"/>
      <c r="AJ44" s="62"/>
      <c r="AK44" s="62"/>
      <c r="AL44" s="62"/>
      <c r="AM44" s="62"/>
      <c r="AN44" s="60"/>
      <c r="AO44" s="60"/>
      <c r="AP44" s="62"/>
      <c r="AQ44" s="62"/>
      <c r="AR44" s="62"/>
      <c r="AS44" s="62"/>
      <c r="AT44" s="62"/>
      <c r="AU44" s="62"/>
      <c r="AV44" s="62"/>
      <c r="AW44" s="60"/>
      <c r="AX44" s="60"/>
      <c r="AY44" s="62"/>
      <c r="AZ44" s="62"/>
      <c r="BA44" s="62"/>
      <c r="BB44" s="62"/>
      <c r="BC44" s="62"/>
      <c r="BD44" s="60"/>
      <c r="BE44" s="60"/>
      <c r="BF44" s="62"/>
      <c r="BG44" s="62"/>
      <c r="BH44" s="62"/>
      <c r="BI44" s="60"/>
      <c r="BJ44" s="60"/>
      <c r="BK44" s="62"/>
      <c r="BL44" s="62"/>
      <c r="BM44" s="60"/>
      <c r="BN44" s="60"/>
      <c r="BO44" s="62"/>
      <c r="BP44" s="60"/>
      <c r="BQ44" s="60"/>
      <c r="BR44" s="60"/>
      <c r="BS44" s="60"/>
      <c r="BT44" s="62"/>
      <c r="BU44" s="62"/>
      <c r="BV44" s="62"/>
      <c r="BW44" s="62"/>
      <c r="BX44" s="62"/>
      <c r="BY44" s="62"/>
      <c r="BZ44" s="62"/>
      <c r="CA44" s="60"/>
      <c r="CB44" s="60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</row>
    <row r="45" spans="1:97" ht="19.5" customHeight="1">
      <c r="A45" s="62"/>
      <c r="B45" s="62"/>
      <c r="C45" s="62"/>
      <c r="D45" s="62"/>
      <c r="E45" s="62"/>
      <c r="F45" s="62"/>
      <c r="G45" s="60"/>
      <c r="H45" s="60"/>
      <c r="I45" s="61"/>
      <c r="J45" s="62"/>
      <c r="K45" s="62"/>
      <c r="L45" s="62"/>
      <c r="M45" s="62"/>
      <c r="N45" s="60"/>
      <c r="O45" s="60"/>
      <c r="P45" s="62"/>
      <c r="Q45" s="62"/>
      <c r="R45" s="62"/>
      <c r="S45" s="62"/>
      <c r="T45" s="62"/>
      <c r="U45" s="60"/>
      <c r="V45" s="60"/>
      <c r="W45" s="62"/>
      <c r="X45" s="62"/>
      <c r="Y45" s="62"/>
      <c r="Z45" s="60"/>
      <c r="AA45" s="60"/>
      <c r="AB45" s="62"/>
      <c r="AC45" s="62"/>
      <c r="AD45" s="62"/>
      <c r="AE45" s="62"/>
      <c r="AG45" s="60"/>
      <c r="AH45" s="60"/>
      <c r="AI45" s="62"/>
      <c r="AJ45" s="62"/>
      <c r="AK45" s="62"/>
      <c r="AL45" s="62"/>
      <c r="AM45" s="62"/>
      <c r="AN45" s="60"/>
      <c r="AO45" s="60"/>
      <c r="AP45" s="62"/>
      <c r="AQ45" s="62"/>
      <c r="AR45" s="62"/>
      <c r="AS45" s="62"/>
      <c r="AT45" s="62"/>
      <c r="AU45" s="62"/>
      <c r="AV45" s="62"/>
      <c r="AW45" s="60"/>
      <c r="AX45" s="60"/>
      <c r="AY45" s="62"/>
      <c r="AZ45" s="62"/>
      <c r="BA45" s="62"/>
      <c r="BB45" s="62"/>
      <c r="BC45" s="62"/>
      <c r="BD45" s="60"/>
      <c r="BE45" s="60"/>
      <c r="BF45" s="62"/>
      <c r="BG45" s="62"/>
      <c r="BH45" s="62"/>
      <c r="BI45" s="60"/>
      <c r="BJ45" s="60"/>
      <c r="BK45" s="62"/>
      <c r="BL45" s="62"/>
      <c r="BM45" s="60"/>
      <c r="BN45" s="60"/>
      <c r="BO45" s="62"/>
      <c r="BP45" s="60"/>
      <c r="BQ45" s="60"/>
      <c r="BR45" s="60"/>
      <c r="BS45" s="60"/>
      <c r="BT45" s="62"/>
      <c r="BU45" s="62"/>
      <c r="BV45" s="62"/>
      <c r="BW45" s="62"/>
      <c r="BX45" s="62"/>
      <c r="BY45" s="62"/>
      <c r="BZ45" s="62"/>
      <c r="CA45" s="60"/>
      <c r="CB45" s="60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</row>
    <row r="46" spans="1:97" ht="19.5" customHeight="1">
      <c r="A46" s="62"/>
      <c r="B46" s="62"/>
      <c r="C46" s="62"/>
      <c r="D46" s="62"/>
      <c r="E46" s="62"/>
      <c r="F46" s="62"/>
      <c r="G46" s="60"/>
      <c r="H46" s="60"/>
      <c r="I46" s="61"/>
      <c r="J46" s="62"/>
      <c r="K46" s="62"/>
      <c r="L46" s="62"/>
      <c r="M46" s="62"/>
      <c r="N46" s="60"/>
      <c r="O46" s="60"/>
      <c r="P46" s="62"/>
      <c r="Q46" s="62"/>
      <c r="R46" s="62"/>
      <c r="S46" s="62"/>
      <c r="T46" s="62"/>
      <c r="U46" s="60"/>
      <c r="V46" s="60"/>
      <c r="W46" s="62"/>
      <c r="X46" s="62"/>
      <c r="Y46" s="62"/>
      <c r="Z46" s="60"/>
      <c r="AA46" s="60"/>
      <c r="AB46" s="62"/>
      <c r="AC46" s="62"/>
      <c r="AD46" s="62"/>
      <c r="AE46" s="62"/>
      <c r="AF46" s="62"/>
      <c r="AG46" s="60"/>
      <c r="AH46" s="60"/>
      <c r="AI46" s="62"/>
      <c r="AJ46" s="62"/>
      <c r="AK46" s="62"/>
      <c r="AL46" s="62"/>
      <c r="AM46" s="62"/>
      <c r="AN46" s="60"/>
      <c r="AO46" s="60"/>
      <c r="AP46" s="62"/>
      <c r="AQ46" s="62"/>
      <c r="AR46" s="62"/>
      <c r="AS46" s="62"/>
      <c r="AT46" s="62"/>
      <c r="AU46" s="62"/>
      <c r="AV46" s="62"/>
      <c r="AW46" s="60"/>
      <c r="AX46" s="60"/>
      <c r="AY46" s="62"/>
      <c r="AZ46" s="62"/>
      <c r="BA46" s="62"/>
      <c r="BB46" s="62"/>
      <c r="BC46" s="62"/>
      <c r="BD46" s="60"/>
      <c r="BE46" s="60"/>
      <c r="BF46" s="62"/>
      <c r="BG46" s="62"/>
      <c r="BH46" s="62"/>
      <c r="BI46" s="60"/>
      <c r="BJ46" s="60"/>
      <c r="BK46" s="62"/>
      <c r="BL46" s="62"/>
      <c r="BM46" s="60"/>
      <c r="BN46" s="60"/>
      <c r="BO46" s="62"/>
      <c r="BP46" s="60"/>
      <c r="BQ46" s="60"/>
      <c r="BR46" s="60"/>
      <c r="BS46" s="60"/>
      <c r="BT46" s="62"/>
      <c r="BU46" s="62"/>
      <c r="BV46" s="62"/>
      <c r="BW46" s="62"/>
      <c r="BX46" s="62"/>
      <c r="BY46" s="62"/>
      <c r="BZ46" s="62"/>
      <c r="CA46" s="60"/>
      <c r="CB46" s="60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</row>
    <row r="47" spans="1:97" ht="19.5" customHeight="1">
      <c r="A47" s="62"/>
      <c r="B47" s="62"/>
      <c r="C47" s="62"/>
      <c r="D47" s="62"/>
      <c r="E47" s="62"/>
      <c r="F47" s="62"/>
      <c r="G47" s="59"/>
      <c r="H47" s="60"/>
      <c r="I47" s="61"/>
      <c r="J47" s="62"/>
      <c r="K47" s="62"/>
      <c r="L47" s="62"/>
      <c r="M47" s="62"/>
      <c r="N47" s="59"/>
      <c r="O47" s="60"/>
      <c r="P47" s="62"/>
      <c r="Q47" s="62"/>
      <c r="R47" s="62"/>
      <c r="S47" s="62"/>
      <c r="T47" s="62"/>
      <c r="U47" s="59"/>
      <c r="V47" s="60"/>
      <c r="W47" s="62"/>
      <c r="X47" s="62"/>
      <c r="Y47" s="62"/>
      <c r="Z47" s="59"/>
      <c r="AA47" s="60"/>
      <c r="AB47" s="62"/>
      <c r="AC47" s="62"/>
      <c r="AD47" s="62"/>
      <c r="AE47" s="62"/>
      <c r="AF47" s="62"/>
      <c r="AG47" s="59"/>
      <c r="AH47" s="60"/>
      <c r="AI47" s="62"/>
      <c r="AJ47" s="62"/>
      <c r="AK47" s="62"/>
      <c r="AL47" s="62"/>
      <c r="AM47" s="62"/>
      <c r="AN47" s="59"/>
      <c r="AO47" s="60"/>
      <c r="AP47" s="62"/>
      <c r="AQ47" s="62"/>
      <c r="AR47" s="62"/>
      <c r="AS47" s="62"/>
      <c r="AT47" s="62"/>
      <c r="AU47" s="62"/>
      <c r="AV47" s="62"/>
      <c r="AW47" s="59"/>
      <c r="AX47" s="60"/>
      <c r="AY47" s="62"/>
      <c r="AZ47" s="62"/>
      <c r="BA47" s="62"/>
      <c r="BB47" s="62"/>
      <c r="BC47" s="62"/>
      <c r="BD47" s="59"/>
      <c r="BE47" s="60"/>
      <c r="BF47" s="62"/>
      <c r="BG47" s="62"/>
      <c r="BH47" s="62"/>
      <c r="BI47" s="59"/>
      <c r="BJ47" s="60"/>
      <c r="BK47" s="62"/>
      <c r="BL47" s="62"/>
      <c r="BM47" s="60"/>
      <c r="BN47" s="59"/>
      <c r="BO47" s="62"/>
      <c r="BP47" s="60"/>
      <c r="BQ47" s="59"/>
      <c r="BR47" s="60"/>
      <c r="BS47" s="59"/>
      <c r="BT47" s="62"/>
      <c r="BU47" s="62"/>
      <c r="BV47" s="62"/>
      <c r="BW47" s="62"/>
      <c r="BX47" s="62"/>
      <c r="BY47" s="62"/>
      <c r="BZ47" s="62"/>
      <c r="CA47" s="60"/>
      <c r="CB47" s="59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</row>
    <row r="48" spans="1:97" ht="19.5" customHeight="1">
      <c r="A48" s="62"/>
      <c r="B48" s="62"/>
      <c r="C48" s="62"/>
      <c r="D48" s="62"/>
      <c r="E48" s="62"/>
      <c r="F48" s="62"/>
      <c r="G48" s="59"/>
      <c r="H48" s="60"/>
      <c r="I48" s="61"/>
      <c r="J48" s="62"/>
      <c r="K48" s="62"/>
      <c r="L48" s="62"/>
      <c r="M48" s="62"/>
      <c r="N48" s="59"/>
      <c r="O48" s="60"/>
      <c r="P48" s="62"/>
      <c r="Q48" s="62"/>
      <c r="R48" s="62"/>
      <c r="S48" s="62"/>
      <c r="T48" s="62"/>
      <c r="U48" s="59"/>
      <c r="V48" s="60"/>
      <c r="W48" s="62"/>
      <c r="X48" s="62"/>
      <c r="Y48" s="62"/>
      <c r="Z48" s="59"/>
      <c r="AA48" s="60"/>
      <c r="AB48" s="62"/>
      <c r="AC48" s="62"/>
      <c r="AD48" s="62"/>
      <c r="AE48" s="62"/>
      <c r="AF48" s="62"/>
      <c r="AG48" s="59"/>
      <c r="AH48" s="60"/>
      <c r="AI48" s="62"/>
      <c r="AJ48" s="62"/>
      <c r="AK48" s="62"/>
      <c r="AL48" s="62"/>
      <c r="AM48" s="62"/>
      <c r="AN48" s="59"/>
      <c r="AO48" s="60"/>
      <c r="AP48" s="62"/>
      <c r="AQ48" s="62"/>
      <c r="AR48" s="62"/>
      <c r="AS48" s="62"/>
      <c r="AT48" s="62"/>
      <c r="AU48" s="62"/>
      <c r="AV48" s="62"/>
      <c r="AW48" s="59"/>
      <c r="AX48" s="60"/>
      <c r="AY48" s="62"/>
      <c r="AZ48" s="62"/>
      <c r="BA48" s="62"/>
      <c r="BB48" s="62"/>
      <c r="BC48" s="62"/>
      <c r="BD48" s="59"/>
      <c r="BE48" s="60"/>
      <c r="BF48" s="62"/>
      <c r="BG48" s="62"/>
      <c r="BH48" s="62"/>
      <c r="BI48" s="59"/>
      <c r="BJ48" s="60"/>
      <c r="BK48" s="62"/>
      <c r="BL48" s="62"/>
      <c r="BM48" s="60"/>
      <c r="BN48" s="59"/>
      <c r="BO48" s="62"/>
      <c r="BP48" s="60"/>
      <c r="BQ48" s="59"/>
      <c r="BR48" s="60"/>
      <c r="BS48" s="59"/>
      <c r="BT48" s="62"/>
      <c r="BU48" s="62"/>
      <c r="BV48" s="62"/>
      <c r="BW48" s="62"/>
      <c r="BX48" s="62"/>
      <c r="BY48" s="62"/>
      <c r="BZ48" s="62"/>
      <c r="CA48" s="60"/>
      <c r="CB48" s="59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</row>
    <row r="49" spans="1:97" ht="19.5" customHeight="1">
      <c r="A49" s="62"/>
      <c r="B49" s="62"/>
      <c r="C49" s="62"/>
      <c r="D49" s="62"/>
      <c r="E49" s="62"/>
      <c r="F49" s="62"/>
      <c r="G49" s="61"/>
      <c r="H49" s="62"/>
      <c r="I49" s="61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</row>
    <row r="50" spans="1:97" ht="19.5" customHeight="1">
      <c r="A50" s="62"/>
      <c r="B50" s="62"/>
      <c r="C50" s="62"/>
      <c r="D50" s="62"/>
      <c r="E50" s="62"/>
      <c r="F50" s="62"/>
      <c r="G50" s="61"/>
      <c r="H50" s="62"/>
      <c r="I50" s="61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</row>
    <row r="51" spans="1:97" ht="19.5" customHeight="1">
      <c r="A51" s="62"/>
      <c r="B51" s="62"/>
      <c r="C51" s="62"/>
      <c r="D51" s="62"/>
      <c r="E51" s="62"/>
      <c r="F51" s="62"/>
      <c r="G51" s="61"/>
      <c r="H51" s="62"/>
      <c r="I51" s="61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</row>
    <row r="52" spans="1:97" ht="19.5" customHeight="1">
      <c r="A52" s="62"/>
      <c r="B52" s="62"/>
      <c r="C52" s="62"/>
      <c r="D52" s="62"/>
      <c r="E52" s="62"/>
      <c r="F52" s="62"/>
      <c r="G52" s="61"/>
      <c r="H52" s="62"/>
      <c r="I52" s="61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</row>
    <row r="53" spans="1:97" ht="19.5" customHeight="1">
      <c r="A53" s="62"/>
      <c r="B53" s="62"/>
      <c r="C53" s="62"/>
      <c r="D53" s="62"/>
      <c r="E53" s="62"/>
      <c r="F53" s="62"/>
      <c r="G53" s="61"/>
      <c r="H53" s="62"/>
      <c r="I53" s="61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</row>
    <row r="54" spans="1:97" ht="19.5" customHeight="1">
      <c r="A54" s="62"/>
      <c r="B54" s="62"/>
      <c r="C54" s="62"/>
      <c r="D54" s="62"/>
      <c r="E54" s="62"/>
      <c r="F54" s="62"/>
      <c r="G54" s="61"/>
      <c r="H54" s="62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</row>
    <row r="55" spans="1:97" ht="19.5" customHeight="1">
      <c r="A55" s="62"/>
      <c r="B55" s="62"/>
      <c r="C55" s="62"/>
      <c r="D55" s="62"/>
      <c r="E55" s="62"/>
      <c r="F55" s="62"/>
      <c r="G55" s="61"/>
      <c r="H55" s="62"/>
      <c r="I55" s="61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</row>
    <row r="56" spans="1:97" ht="19.5" customHeight="1">
      <c r="A56" s="62"/>
      <c r="B56" s="62"/>
      <c r="C56" s="62"/>
      <c r="D56" s="62"/>
      <c r="E56" s="62"/>
      <c r="F56" s="62"/>
      <c r="G56" s="61"/>
      <c r="H56" s="62"/>
      <c r="I56" s="61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</row>
    <row r="57" spans="1:97" ht="19.5" customHeight="1">
      <c r="A57" s="62"/>
      <c r="B57" s="62"/>
      <c r="C57" s="62"/>
      <c r="D57" s="62"/>
      <c r="E57" s="62"/>
      <c r="F57" s="62"/>
      <c r="G57" s="61"/>
      <c r="H57" s="62"/>
      <c r="I57" s="61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</row>
    <row r="58" spans="1:97" ht="19.5" customHeight="1">
      <c r="A58" s="62"/>
      <c r="B58" s="62"/>
      <c r="C58" s="62"/>
      <c r="D58" s="62"/>
      <c r="E58" s="62"/>
      <c r="F58" s="62"/>
      <c r="G58" s="61"/>
      <c r="H58" s="62"/>
      <c r="I58" s="61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</row>
    <row r="59" spans="1:97" ht="19.5" customHeight="1">
      <c r="A59" s="62"/>
      <c r="B59" s="62"/>
      <c r="C59" s="62"/>
      <c r="D59" s="62"/>
      <c r="E59" s="62"/>
      <c r="F59" s="62"/>
      <c r="G59" s="61"/>
      <c r="H59" s="62"/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</row>
    <row r="60" spans="1:97" ht="19.5" customHeight="1">
      <c r="A60" s="62"/>
      <c r="B60" s="62"/>
      <c r="C60" s="62"/>
      <c r="D60" s="62"/>
      <c r="E60" s="62"/>
      <c r="F60" s="62"/>
      <c r="G60" s="61"/>
      <c r="H60" s="62"/>
      <c r="I60" s="61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</row>
    <row r="61" spans="1:97" ht="19.5" customHeight="1">
      <c r="A61" s="62"/>
      <c r="B61" s="62"/>
      <c r="C61" s="62"/>
      <c r="D61" s="62"/>
      <c r="E61" s="62"/>
      <c r="F61" s="62"/>
      <c r="G61" s="61"/>
      <c r="H61" s="62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</row>
    <row r="62" spans="1:97" ht="19.5" customHeight="1">
      <c r="A62" s="62"/>
      <c r="B62" s="62"/>
      <c r="C62" s="62"/>
      <c r="D62" s="62"/>
      <c r="E62" s="62"/>
      <c r="F62" s="62"/>
      <c r="G62" s="61"/>
      <c r="H62" s="62"/>
      <c r="I62" s="61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</row>
    <row r="63" spans="1:97" ht="19.5" customHeight="1">
      <c r="A63" s="62"/>
      <c r="B63" s="62"/>
      <c r="C63" s="62"/>
      <c r="D63" s="62"/>
      <c r="E63" s="62"/>
      <c r="F63" s="62"/>
      <c r="G63" s="61"/>
      <c r="H63" s="62"/>
      <c r="I63" s="6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</row>
    <row r="64" spans="1:97" ht="19.5" customHeight="1">
      <c r="A64" s="62"/>
      <c r="B64" s="62"/>
      <c r="C64" s="62"/>
      <c r="D64" s="62"/>
      <c r="E64" s="62"/>
      <c r="F64" s="62"/>
      <c r="G64" s="61"/>
      <c r="H64" s="62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</row>
    <row r="65" spans="1:97" ht="19.5" customHeight="1">
      <c r="A65" s="62"/>
      <c r="B65" s="62"/>
      <c r="C65" s="62"/>
      <c r="D65" s="62"/>
      <c r="E65" s="62"/>
      <c r="F65" s="62"/>
      <c r="G65" s="61"/>
      <c r="H65" s="62"/>
      <c r="I65" s="61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</row>
    <row r="66" spans="1:97" ht="19.5" customHeight="1">
      <c r="A66" s="62"/>
      <c r="B66" s="62"/>
      <c r="C66" s="62"/>
      <c r="D66" s="62"/>
      <c r="E66" s="62"/>
      <c r="F66" s="62"/>
      <c r="G66" s="61"/>
      <c r="H66" s="62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</row>
    <row r="67" spans="1:97" ht="19.5" customHeight="1">
      <c r="A67" s="62"/>
      <c r="B67" s="62"/>
      <c r="C67" s="62"/>
      <c r="D67" s="62"/>
      <c r="E67" s="62"/>
      <c r="F67" s="62"/>
      <c r="G67" s="61"/>
      <c r="H67" s="62"/>
      <c r="I67" s="61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</row>
    <row r="68" spans="1:97" ht="19.5" customHeight="1">
      <c r="A68" s="62"/>
      <c r="B68" s="62"/>
      <c r="C68" s="62"/>
      <c r="D68" s="62"/>
      <c r="E68" s="62"/>
      <c r="F68" s="62"/>
      <c r="G68" s="61"/>
      <c r="H68" s="62"/>
      <c r="I68" s="61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</row>
    <row r="69" spans="1:97" ht="19.5" customHeight="1">
      <c r="A69" s="62"/>
      <c r="B69" s="62"/>
      <c r="C69" s="62"/>
      <c r="D69" s="62"/>
      <c r="E69" s="62"/>
      <c r="F69" s="62"/>
      <c r="G69" s="61"/>
      <c r="H69" s="62"/>
      <c r="I69" s="61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</row>
    <row r="70" spans="1:97" ht="19.5" customHeight="1">
      <c r="A70" s="62"/>
      <c r="B70" s="62"/>
      <c r="C70" s="62"/>
      <c r="D70" s="62"/>
      <c r="E70" s="62"/>
      <c r="F70" s="62"/>
      <c r="G70" s="61"/>
      <c r="H70" s="62"/>
      <c r="I70" s="61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</row>
    <row r="71" spans="1:97" ht="19.5" customHeight="1">
      <c r="A71" s="62"/>
      <c r="B71" s="62"/>
      <c r="C71" s="62"/>
      <c r="D71" s="62"/>
      <c r="E71" s="62"/>
      <c r="F71" s="62"/>
      <c r="G71" s="61"/>
      <c r="H71" s="62"/>
      <c r="I71" s="61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</row>
    <row r="72" spans="1:97" ht="19.5" customHeight="1">
      <c r="A72" s="62"/>
      <c r="B72" s="62"/>
      <c r="C72" s="62"/>
      <c r="D72" s="62"/>
      <c r="E72" s="62"/>
      <c r="F72" s="62"/>
      <c r="G72" s="61"/>
      <c r="H72" s="62"/>
      <c r="I72" s="61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</row>
    <row r="73" spans="1:97" ht="19.5" customHeight="1">
      <c r="A73" s="62"/>
      <c r="B73" s="62"/>
      <c r="C73" s="62"/>
      <c r="D73" s="62"/>
      <c r="E73" s="62"/>
      <c r="F73" s="62"/>
      <c r="G73" s="61"/>
      <c r="H73" s="62"/>
      <c r="I73" s="61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</row>
    <row r="74" spans="1:97" ht="19.5" customHeight="1">
      <c r="A74" s="62"/>
      <c r="B74" s="62"/>
      <c r="C74" s="62"/>
      <c r="D74" s="62"/>
      <c r="E74" s="62"/>
      <c r="F74" s="62"/>
      <c r="G74" s="61"/>
      <c r="H74" s="62"/>
      <c r="I74" s="61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</row>
    <row r="75" spans="1:97" ht="19.5" customHeight="1">
      <c r="A75" s="62"/>
      <c r="B75" s="62"/>
      <c r="C75" s="62"/>
      <c r="D75" s="62"/>
      <c r="E75" s="62"/>
      <c r="F75" s="62"/>
      <c r="G75" s="61"/>
      <c r="H75" s="62"/>
      <c r="I75" s="61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</row>
    <row r="76" spans="1:97" ht="19.5" customHeight="1">
      <c r="A76" s="62"/>
      <c r="B76" s="62"/>
      <c r="C76" s="62"/>
      <c r="D76" s="62"/>
      <c r="E76" s="62"/>
      <c r="F76" s="62"/>
      <c r="G76" s="61"/>
      <c r="H76" s="62"/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</row>
    <row r="77" spans="1:97" ht="19.5" customHeight="1">
      <c r="A77" s="62"/>
      <c r="B77" s="62"/>
      <c r="C77" s="62"/>
      <c r="D77" s="62"/>
      <c r="E77" s="62"/>
      <c r="F77" s="62"/>
      <c r="G77" s="61"/>
      <c r="H77" s="62"/>
      <c r="I77" s="61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</row>
    <row r="78" spans="1:97" ht="19.5" customHeight="1">
      <c r="A78" s="62"/>
      <c r="B78" s="62"/>
      <c r="C78" s="62"/>
      <c r="D78" s="62"/>
      <c r="E78" s="62"/>
      <c r="F78" s="62"/>
      <c r="G78" s="61"/>
      <c r="H78" s="62"/>
      <c r="I78" s="61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</row>
    <row r="79" spans="1:97" ht="19.5" customHeight="1">
      <c r="A79" s="62"/>
      <c r="B79" s="62"/>
      <c r="C79" s="62"/>
      <c r="D79" s="62"/>
      <c r="E79" s="62"/>
      <c r="F79" s="62"/>
      <c r="G79" s="61"/>
      <c r="H79" s="62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</row>
    <row r="80" spans="1:97" ht="19.5" customHeight="1">
      <c r="A80" s="62"/>
      <c r="B80" s="62"/>
      <c r="C80" s="62"/>
      <c r="D80" s="62"/>
      <c r="E80" s="62"/>
      <c r="F80" s="62"/>
      <c r="G80" s="61"/>
      <c r="H80" s="62"/>
      <c r="I80" s="61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</row>
    <row r="81" spans="1:97" ht="19.5" customHeight="1">
      <c r="A81" s="62"/>
      <c r="B81" s="62"/>
      <c r="C81" s="62"/>
      <c r="D81" s="62"/>
      <c r="E81" s="62"/>
      <c r="F81" s="62"/>
      <c r="G81" s="61"/>
      <c r="H81" s="62"/>
      <c r="I81" s="61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</row>
    <row r="82" spans="1:97" ht="19.5" customHeight="1">
      <c r="A82" s="62"/>
      <c r="B82" s="62"/>
      <c r="C82" s="62"/>
      <c r="D82" s="62"/>
      <c r="E82" s="62"/>
      <c r="F82" s="62"/>
      <c r="G82" s="61"/>
      <c r="H82" s="62"/>
      <c r="I82" s="61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</row>
    <row r="83" spans="1:97" ht="19.5" customHeight="1">
      <c r="A83" s="62"/>
      <c r="B83" s="62"/>
      <c r="C83" s="62"/>
      <c r="D83" s="62"/>
      <c r="E83" s="62"/>
      <c r="F83" s="62"/>
      <c r="G83" s="61"/>
      <c r="H83" s="62"/>
      <c r="I83" s="61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</row>
    <row r="84" spans="1:97" ht="19.5" customHeight="1">
      <c r="A84" s="62"/>
      <c r="B84" s="62"/>
      <c r="C84" s="62"/>
      <c r="D84" s="62"/>
      <c r="E84" s="62"/>
      <c r="F84" s="62"/>
      <c r="G84" s="61"/>
      <c r="H84" s="62"/>
      <c r="I84" s="61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</row>
    <row r="85" spans="1:97" ht="19.5" customHeight="1">
      <c r="A85" s="62"/>
      <c r="B85" s="62"/>
      <c r="C85" s="62"/>
      <c r="D85" s="62"/>
      <c r="E85" s="62"/>
      <c r="F85" s="62"/>
      <c r="G85" s="61"/>
      <c r="H85" s="62"/>
      <c r="I85" s="61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</row>
    <row r="86" spans="1:97" ht="19.5" customHeight="1">
      <c r="A86" s="62"/>
      <c r="B86" s="62"/>
      <c r="C86" s="62"/>
      <c r="D86" s="62"/>
      <c r="E86" s="62"/>
      <c r="F86" s="62"/>
      <c r="G86" s="61"/>
      <c r="H86" s="62"/>
      <c r="I86" s="61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</row>
    <row r="87" spans="1:97" ht="19.5" customHeight="1">
      <c r="A87" s="62"/>
      <c r="B87" s="62"/>
      <c r="C87" s="62"/>
      <c r="D87" s="62"/>
      <c r="E87" s="62"/>
      <c r="F87" s="62"/>
      <c r="G87" s="61"/>
      <c r="H87" s="62"/>
      <c r="I87" s="61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</row>
    <row r="88" spans="1:97" ht="19.5" customHeight="1">
      <c r="A88" s="62"/>
      <c r="B88" s="62"/>
      <c r="C88" s="62"/>
      <c r="D88" s="62"/>
      <c r="E88" s="62"/>
      <c r="F88" s="62"/>
      <c r="G88" s="61"/>
      <c r="H88" s="62"/>
      <c r="I88" s="61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</row>
    <row r="89" spans="1:97" ht="19.5" customHeight="1">
      <c r="A89" s="62"/>
      <c r="B89" s="62"/>
      <c r="C89" s="62"/>
      <c r="D89" s="62"/>
      <c r="E89" s="62"/>
      <c r="F89" s="62"/>
      <c r="G89" s="61"/>
      <c r="H89" s="62"/>
      <c r="I89" s="61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</row>
    <row r="90" spans="1:97" ht="19.5" customHeight="1">
      <c r="A90" s="62"/>
      <c r="B90" s="62"/>
      <c r="C90" s="62"/>
      <c r="D90" s="62"/>
      <c r="E90" s="62"/>
      <c r="F90" s="62"/>
      <c r="G90" s="61"/>
      <c r="H90" s="62"/>
      <c r="I90" s="61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</row>
    <row r="91" spans="1:97" ht="19.5" customHeight="1">
      <c r="A91" s="62"/>
      <c r="B91" s="62"/>
      <c r="C91" s="62"/>
      <c r="D91" s="62"/>
      <c r="E91" s="62"/>
      <c r="F91" s="62"/>
      <c r="G91" s="61"/>
      <c r="H91" s="62"/>
      <c r="I91" s="61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</row>
    <row r="92" spans="1:97" ht="19.5" customHeight="1">
      <c r="A92" s="62"/>
      <c r="B92" s="62"/>
      <c r="C92" s="62"/>
      <c r="D92" s="62"/>
      <c r="E92" s="62"/>
      <c r="F92" s="62"/>
      <c r="G92" s="61"/>
      <c r="H92" s="62"/>
      <c r="I92" s="61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</row>
    <row r="93" spans="1:97" ht="19.5" customHeight="1">
      <c r="A93" s="62"/>
      <c r="B93" s="62"/>
      <c r="C93" s="62"/>
      <c r="D93" s="62"/>
      <c r="E93" s="62"/>
      <c r="F93" s="62"/>
      <c r="G93" s="61"/>
      <c r="H93" s="62"/>
      <c r="I93" s="61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</row>
    <row r="94" spans="1:97" ht="19.5" customHeight="1">
      <c r="A94" s="62"/>
      <c r="B94" s="62"/>
      <c r="C94" s="62"/>
      <c r="D94" s="62"/>
      <c r="E94" s="62"/>
      <c r="F94" s="62"/>
      <c r="G94" s="61"/>
      <c r="H94" s="62"/>
      <c r="I94" s="61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</row>
    <row r="95" spans="1:97" ht="19.5" customHeight="1">
      <c r="A95" s="62"/>
      <c r="B95" s="62"/>
      <c r="C95" s="62"/>
      <c r="D95" s="62"/>
      <c r="E95" s="62"/>
      <c r="F95" s="62"/>
      <c r="G95" s="61"/>
      <c r="H95" s="62"/>
      <c r="I95" s="61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</row>
    <row r="96" spans="1:97" ht="19.5" customHeight="1">
      <c r="A96" s="62"/>
      <c r="B96" s="62"/>
      <c r="C96" s="62"/>
      <c r="D96" s="62"/>
      <c r="E96" s="62"/>
      <c r="F96" s="62"/>
      <c r="G96" s="61"/>
      <c r="H96" s="62"/>
      <c r="I96" s="61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</row>
    <row r="97" spans="1:97" ht="19.5" customHeight="1">
      <c r="A97" s="62"/>
      <c r="B97" s="62"/>
      <c r="C97" s="62"/>
      <c r="D97" s="62"/>
      <c r="E97" s="62"/>
      <c r="F97" s="62"/>
      <c r="G97" s="61"/>
      <c r="H97" s="62"/>
      <c r="I97" s="61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</row>
    <row r="98" spans="1:97" ht="19.5" customHeight="1">
      <c r="A98" s="62"/>
      <c r="B98" s="62"/>
      <c r="C98" s="62"/>
      <c r="D98" s="62"/>
      <c r="E98" s="62"/>
      <c r="F98" s="62"/>
      <c r="G98" s="61"/>
      <c r="H98" s="62"/>
      <c r="I98" s="61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</row>
    <row r="99" spans="1:97" ht="19.5" customHeight="1">
      <c r="A99" s="62"/>
      <c r="B99" s="62"/>
      <c r="C99" s="62"/>
      <c r="D99" s="62"/>
      <c r="E99" s="62"/>
      <c r="F99" s="62"/>
      <c r="G99" s="61"/>
      <c r="H99" s="62"/>
      <c r="I99" s="61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</row>
    <row r="100" spans="1:97" ht="19.5" customHeight="1">
      <c r="A100" s="62"/>
      <c r="B100" s="62"/>
      <c r="C100" s="62"/>
      <c r="D100" s="62"/>
      <c r="E100" s="62"/>
      <c r="F100" s="62"/>
      <c r="G100" s="61"/>
      <c r="H100" s="62"/>
      <c r="I100" s="61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</row>
    <row r="101" spans="1:97" ht="19.5" customHeight="1">
      <c r="A101" s="62"/>
      <c r="B101" s="62"/>
      <c r="C101" s="62"/>
      <c r="D101" s="62"/>
      <c r="E101" s="62"/>
      <c r="F101" s="62"/>
      <c r="G101" s="61"/>
      <c r="H101" s="62"/>
      <c r="I101" s="61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</row>
    <row r="102" spans="1:97" ht="19.5" customHeight="1">
      <c r="A102" s="62"/>
      <c r="B102" s="62"/>
      <c r="C102" s="62"/>
      <c r="D102" s="62"/>
      <c r="E102" s="62"/>
      <c r="F102" s="62"/>
      <c r="G102" s="61"/>
      <c r="H102" s="62"/>
      <c r="I102" s="61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</row>
    <row r="103" spans="1:97" ht="19.5" customHeight="1">
      <c r="A103" s="62"/>
      <c r="B103" s="62"/>
      <c r="C103" s="62"/>
      <c r="D103" s="62"/>
      <c r="E103" s="62"/>
      <c r="F103" s="62"/>
      <c r="G103" s="61"/>
      <c r="H103" s="62"/>
      <c r="I103" s="61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</row>
    <row r="104" spans="1:97" ht="19.5" customHeight="1">
      <c r="A104" s="62"/>
      <c r="B104" s="62"/>
      <c r="C104" s="62"/>
      <c r="D104" s="62"/>
      <c r="E104" s="62"/>
      <c r="F104" s="62"/>
      <c r="G104" s="61"/>
      <c r="H104" s="62"/>
      <c r="I104" s="61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</row>
    <row r="105" spans="1:97" ht="19.5" customHeight="1">
      <c r="A105" s="62"/>
      <c r="B105" s="62"/>
      <c r="C105" s="62"/>
      <c r="D105" s="62"/>
      <c r="E105" s="62"/>
      <c r="F105" s="62"/>
      <c r="G105" s="61"/>
      <c r="H105" s="62"/>
      <c r="I105" s="61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</row>
    <row r="106" spans="1:97" ht="19.5" customHeight="1">
      <c r="A106" s="62"/>
      <c r="B106" s="62"/>
      <c r="C106" s="62"/>
      <c r="D106" s="62"/>
      <c r="E106" s="62"/>
      <c r="F106" s="62"/>
      <c r="G106" s="61"/>
      <c r="H106" s="62"/>
      <c r="I106" s="61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</row>
    <row r="107" spans="1:97" ht="19.5" customHeight="1">
      <c r="A107" s="62"/>
      <c r="B107" s="62"/>
      <c r="C107" s="62"/>
      <c r="D107" s="62"/>
      <c r="E107" s="62"/>
      <c r="F107" s="62"/>
      <c r="G107" s="61"/>
      <c r="H107" s="62"/>
      <c r="I107" s="61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</row>
    <row r="108" spans="1:97" ht="19.5" customHeight="1">
      <c r="A108" s="62"/>
      <c r="B108" s="62"/>
      <c r="C108" s="62"/>
      <c r="D108" s="62"/>
      <c r="E108" s="62"/>
      <c r="F108" s="62"/>
      <c r="G108" s="61"/>
      <c r="H108" s="62"/>
      <c r="I108" s="61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</row>
    <row r="109" spans="1:97" ht="19.5" customHeight="1">
      <c r="A109" s="62"/>
      <c r="B109" s="62"/>
      <c r="C109" s="62"/>
      <c r="D109" s="62"/>
      <c r="E109" s="62"/>
      <c r="F109" s="62"/>
      <c r="G109" s="61"/>
      <c r="H109" s="62"/>
      <c r="I109" s="61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</row>
    <row r="110" spans="1:97" ht="19.5" customHeight="1">
      <c r="A110" s="62"/>
      <c r="B110" s="62"/>
      <c r="C110" s="62"/>
      <c r="D110" s="62"/>
      <c r="E110" s="62"/>
      <c r="F110" s="62"/>
      <c r="G110" s="61"/>
      <c r="H110" s="62"/>
      <c r="I110" s="61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</row>
    <row r="111" spans="1:97" ht="19.5" customHeight="1">
      <c r="A111" s="62"/>
      <c r="B111" s="62"/>
      <c r="C111" s="62"/>
      <c r="D111" s="62"/>
      <c r="E111" s="62"/>
      <c r="F111" s="62"/>
      <c r="G111" s="61"/>
      <c r="H111" s="62"/>
      <c r="I111" s="61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</row>
    <row r="112" spans="1:97" ht="19.5" customHeight="1">
      <c r="A112" s="62"/>
      <c r="B112" s="62"/>
      <c r="C112" s="62"/>
      <c r="D112" s="62"/>
      <c r="E112" s="62"/>
      <c r="F112" s="62"/>
      <c r="G112" s="61"/>
      <c r="H112" s="62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</row>
    <row r="113" spans="1:97" ht="19.5" customHeight="1">
      <c r="A113" s="62"/>
      <c r="B113" s="62"/>
      <c r="C113" s="62"/>
      <c r="D113" s="62"/>
      <c r="E113" s="62"/>
      <c r="F113" s="62"/>
      <c r="G113" s="61"/>
      <c r="H113" s="62"/>
      <c r="I113" s="61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</row>
    <row r="114" spans="1:97" ht="19.5" customHeight="1">
      <c r="A114" s="62"/>
      <c r="B114" s="62"/>
      <c r="C114" s="62"/>
      <c r="D114" s="62"/>
      <c r="E114" s="62"/>
      <c r="F114" s="62"/>
      <c r="G114" s="61"/>
      <c r="H114" s="62"/>
      <c r="I114" s="61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</row>
    <row r="115" spans="1:97" ht="19.5" customHeight="1">
      <c r="A115" s="62"/>
      <c r="B115" s="62"/>
      <c r="C115" s="62"/>
      <c r="D115" s="62"/>
      <c r="E115" s="62"/>
      <c r="F115" s="62"/>
      <c r="G115" s="61"/>
      <c r="H115" s="62"/>
      <c r="I115" s="61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</row>
    <row r="116" spans="1:97" ht="19.5" customHeight="1">
      <c r="A116" s="62"/>
      <c r="B116" s="62"/>
      <c r="C116" s="62"/>
      <c r="D116" s="62"/>
      <c r="E116" s="62"/>
      <c r="F116" s="62"/>
      <c r="G116" s="61"/>
      <c r="H116" s="62"/>
      <c r="I116" s="61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</row>
    <row r="117" spans="1:97" ht="19.5" customHeight="1">
      <c r="A117" s="62"/>
      <c r="B117" s="62"/>
      <c r="C117" s="62"/>
      <c r="D117" s="62"/>
      <c r="E117" s="62"/>
      <c r="F117" s="62"/>
      <c r="G117" s="61"/>
      <c r="H117" s="62"/>
      <c r="I117" s="61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</row>
    <row r="118" spans="1:97" ht="19.5" customHeight="1">
      <c r="A118" s="62"/>
      <c r="B118" s="62"/>
      <c r="C118" s="62"/>
      <c r="D118" s="62"/>
      <c r="E118" s="62"/>
      <c r="F118" s="62"/>
      <c r="G118" s="61"/>
      <c r="H118" s="62"/>
      <c r="I118" s="61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</row>
    <row r="119" spans="1:97" ht="19.5" customHeight="1">
      <c r="A119" s="62"/>
      <c r="B119" s="62"/>
      <c r="C119" s="62"/>
      <c r="D119" s="62"/>
      <c r="E119" s="62"/>
      <c r="F119" s="62"/>
      <c r="G119" s="61"/>
      <c r="H119" s="62"/>
      <c r="I119" s="61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</row>
    <row r="120" spans="1:97" ht="19.5" customHeight="1">
      <c r="A120" s="62"/>
      <c r="B120" s="62"/>
      <c r="C120" s="62"/>
      <c r="D120" s="62"/>
      <c r="E120" s="62"/>
      <c r="F120" s="62"/>
      <c r="G120" s="61"/>
      <c r="H120" s="62"/>
      <c r="I120" s="61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</row>
    <row r="121" spans="1:97" ht="19.5" customHeight="1">
      <c r="A121" s="62"/>
      <c r="B121" s="62"/>
      <c r="C121" s="62"/>
      <c r="D121" s="62"/>
      <c r="E121" s="62"/>
      <c r="F121" s="62"/>
      <c r="G121" s="61"/>
      <c r="H121" s="62"/>
      <c r="I121" s="61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</row>
    <row r="122" spans="1:97" ht="19.5" customHeight="1">
      <c r="A122" s="62"/>
      <c r="B122" s="62"/>
      <c r="C122" s="62"/>
      <c r="D122" s="62"/>
      <c r="E122" s="62"/>
      <c r="F122" s="62"/>
      <c r="G122" s="61"/>
      <c r="H122" s="62"/>
      <c r="I122" s="61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</row>
    <row r="123" spans="1:97" ht="19.5" customHeight="1">
      <c r="A123" s="62"/>
      <c r="B123" s="62"/>
      <c r="C123" s="62"/>
      <c r="D123" s="62"/>
      <c r="E123" s="62"/>
      <c r="F123" s="62"/>
      <c r="G123" s="61"/>
      <c r="H123" s="62"/>
      <c r="I123" s="61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</row>
    <row r="124" spans="1:97" ht="19.5" customHeight="1">
      <c r="A124" s="62"/>
      <c r="B124" s="62"/>
      <c r="C124" s="62"/>
      <c r="D124" s="62"/>
      <c r="E124" s="62"/>
      <c r="F124" s="62"/>
      <c r="G124" s="61"/>
      <c r="H124" s="62"/>
      <c r="I124" s="61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</row>
    <row r="125" spans="1:97" ht="19.5" customHeight="1">
      <c r="A125" s="62"/>
      <c r="B125" s="62"/>
      <c r="C125" s="62"/>
      <c r="D125" s="62"/>
      <c r="E125" s="62"/>
      <c r="F125" s="62"/>
      <c r="G125" s="61"/>
      <c r="H125" s="62"/>
      <c r="I125" s="61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</row>
    <row r="126" spans="1:97" ht="19.5" customHeight="1">
      <c r="A126" s="62"/>
      <c r="B126" s="62"/>
      <c r="C126" s="62"/>
      <c r="D126" s="62"/>
      <c r="E126" s="62"/>
      <c r="F126" s="62"/>
      <c r="G126" s="61"/>
      <c r="H126" s="62"/>
      <c r="I126" s="61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</row>
    <row r="127" spans="1:97" ht="19.5" customHeight="1">
      <c r="A127" s="62"/>
      <c r="B127" s="62"/>
      <c r="C127" s="62"/>
      <c r="D127" s="62"/>
      <c r="E127" s="62"/>
      <c r="F127" s="62"/>
      <c r="G127" s="61"/>
      <c r="H127" s="62"/>
      <c r="I127" s="61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</row>
    <row r="128" spans="1:97" ht="19.5" customHeight="1">
      <c r="A128" s="62"/>
      <c r="B128" s="62"/>
      <c r="C128" s="62"/>
      <c r="D128" s="62"/>
      <c r="E128" s="62"/>
      <c r="F128" s="62"/>
      <c r="G128" s="61"/>
      <c r="H128" s="62"/>
      <c r="I128" s="61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</row>
    <row r="129" spans="1:97" ht="19.5" customHeight="1">
      <c r="A129" s="62"/>
      <c r="B129" s="62"/>
      <c r="C129" s="62"/>
      <c r="D129" s="62"/>
      <c r="E129" s="62"/>
      <c r="F129" s="62"/>
      <c r="G129" s="61"/>
      <c r="H129" s="62"/>
      <c r="I129" s="61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</row>
    <row r="130" spans="1:97" ht="19.5" customHeight="1">
      <c r="A130" s="62"/>
      <c r="B130" s="62"/>
      <c r="C130" s="62"/>
      <c r="D130" s="62"/>
      <c r="E130" s="62"/>
      <c r="F130" s="62"/>
      <c r="G130" s="61"/>
      <c r="H130" s="62"/>
      <c r="I130" s="61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</row>
    <row r="131" spans="1:97" ht="19.5" customHeight="1">
      <c r="A131" s="62"/>
      <c r="B131" s="62"/>
      <c r="C131" s="62"/>
      <c r="D131" s="62"/>
      <c r="E131" s="62"/>
      <c r="F131" s="62"/>
      <c r="G131" s="61"/>
      <c r="H131" s="62"/>
      <c r="I131" s="61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</row>
    <row r="132" spans="1:97" ht="19.5" customHeight="1">
      <c r="A132" s="62"/>
      <c r="B132" s="62"/>
      <c r="C132" s="62"/>
      <c r="D132" s="62"/>
      <c r="E132" s="62"/>
      <c r="F132" s="62"/>
      <c r="G132" s="61"/>
      <c r="H132" s="62"/>
      <c r="I132" s="61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</row>
    <row r="133" spans="1:97" ht="19.5" customHeight="1">
      <c r="A133" s="62"/>
      <c r="B133" s="62"/>
      <c r="C133" s="62"/>
      <c r="D133" s="62"/>
      <c r="E133" s="62"/>
      <c r="F133" s="62"/>
      <c r="G133" s="61"/>
      <c r="H133" s="62"/>
      <c r="I133" s="61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</row>
    <row r="134" spans="1:97" ht="19.5" customHeight="1">
      <c r="A134" s="62"/>
      <c r="B134" s="62"/>
      <c r="C134" s="62"/>
      <c r="D134" s="62"/>
      <c r="E134" s="62"/>
      <c r="F134" s="62"/>
      <c r="G134" s="61"/>
      <c r="H134" s="62"/>
      <c r="I134" s="61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</row>
    <row r="135" spans="1:97" ht="19.5" customHeight="1">
      <c r="A135" s="62"/>
      <c r="B135" s="62"/>
      <c r="C135" s="62"/>
      <c r="D135" s="62"/>
      <c r="E135" s="62"/>
      <c r="F135" s="62"/>
      <c r="G135" s="61"/>
      <c r="H135" s="62"/>
      <c r="I135" s="61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</row>
    <row r="136" spans="1:97" ht="19.5" customHeight="1">
      <c r="A136" s="62"/>
      <c r="B136" s="62"/>
      <c r="C136" s="62"/>
      <c r="D136" s="62"/>
      <c r="E136" s="62"/>
      <c r="F136" s="62"/>
      <c r="G136" s="61"/>
      <c r="H136" s="62"/>
      <c r="I136" s="61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</row>
    <row r="137" spans="1:97" ht="19.5" customHeight="1">
      <c r="A137" s="62"/>
      <c r="B137" s="62"/>
      <c r="C137" s="62"/>
      <c r="D137" s="62"/>
      <c r="E137" s="62"/>
      <c r="F137" s="62"/>
      <c r="G137" s="61"/>
      <c r="H137" s="62"/>
      <c r="I137" s="61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</row>
    <row r="138" spans="1:97" ht="19.5" customHeight="1">
      <c r="A138" s="62"/>
      <c r="B138" s="62"/>
      <c r="C138" s="62"/>
      <c r="D138" s="62"/>
      <c r="E138" s="62"/>
      <c r="F138" s="62"/>
      <c r="G138" s="61"/>
      <c r="H138" s="62"/>
      <c r="I138" s="61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</row>
    <row r="139" spans="1:97" ht="19.5" customHeight="1">
      <c r="A139" s="62"/>
      <c r="B139" s="62"/>
      <c r="C139" s="62"/>
      <c r="D139" s="62"/>
      <c r="E139" s="62"/>
      <c r="F139" s="62"/>
      <c r="G139" s="61"/>
      <c r="H139" s="62"/>
      <c r="I139" s="61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</row>
    <row r="140" spans="1:97" ht="19.5" customHeight="1">
      <c r="A140" s="62"/>
      <c r="B140" s="62"/>
      <c r="C140" s="62"/>
      <c r="D140" s="62"/>
      <c r="E140" s="62"/>
      <c r="F140" s="62"/>
      <c r="G140" s="61"/>
      <c r="H140" s="62"/>
      <c r="I140" s="61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</row>
    <row r="141" spans="1:97" ht="19.5" customHeight="1">
      <c r="A141" s="62"/>
      <c r="B141" s="62"/>
      <c r="C141" s="62"/>
      <c r="D141" s="62"/>
      <c r="E141" s="62"/>
      <c r="F141" s="62"/>
      <c r="G141" s="61"/>
      <c r="H141" s="62"/>
      <c r="I141" s="61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</row>
    <row r="142" spans="1:97" ht="19.5" customHeight="1">
      <c r="A142" s="62"/>
      <c r="B142" s="62"/>
      <c r="C142" s="62"/>
      <c r="D142" s="62"/>
      <c r="E142" s="62"/>
      <c r="F142" s="62"/>
      <c r="G142" s="61"/>
      <c r="H142" s="62"/>
      <c r="I142" s="61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</row>
    <row r="143" spans="1:97" ht="19.5" customHeight="1">
      <c r="A143" s="62"/>
      <c r="B143" s="62"/>
      <c r="C143" s="62"/>
      <c r="D143" s="62"/>
      <c r="E143" s="62"/>
      <c r="F143" s="62"/>
      <c r="G143" s="61"/>
      <c r="H143" s="62"/>
      <c r="I143" s="61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</row>
    <row r="144" spans="1:97" ht="19.5" customHeight="1">
      <c r="A144" s="62"/>
      <c r="B144" s="62"/>
      <c r="C144" s="62"/>
      <c r="D144" s="62"/>
      <c r="E144" s="62"/>
      <c r="F144" s="62"/>
      <c r="G144" s="61"/>
      <c r="H144" s="62"/>
      <c r="I144" s="61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</row>
    <row r="145" spans="1:97" ht="19.5" customHeight="1">
      <c r="A145" s="62"/>
      <c r="B145" s="62"/>
      <c r="C145" s="62"/>
      <c r="D145" s="62"/>
      <c r="E145" s="62"/>
      <c r="F145" s="62"/>
      <c r="G145" s="61"/>
      <c r="H145" s="62"/>
      <c r="I145" s="61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</row>
    <row r="146" spans="1:97" ht="19.5" customHeight="1">
      <c r="A146" s="62"/>
      <c r="B146" s="62"/>
      <c r="C146" s="62"/>
      <c r="D146" s="62"/>
      <c r="E146" s="62"/>
      <c r="F146" s="62"/>
      <c r="G146" s="61"/>
      <c r="H146" s="62"/>
      <c r="I146" s="61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</row>
    <row r="147" spans="1:97" ht="19.5" customHeight="1">
      <c r="A147" s="62"/>
      <c r="B147" s="62"/>
      <c r="C147" s="62"/>
      <c r="D147" s="62"/>
      <c r="E147" s="62"/>
      <c r="F147" s="62"/>
      <c r="G147" s="61"/>
      <c r="H147" s="62"/>
      <c r="I147" s="61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</row>
    <row r="148" spans="1:97" ht="19.5" customHeight="1">
      <c r="A148" s="62"/>
      <c r="B148" s="62"/>
      <c r="C148" s="62"/>
      <c r="D148" s="62"/>
      <c r="E148" s="62"/>
      <c r="F148" s="62"/>
      <c r="G148" s="61"/>
      <c r="H148" s="62"/>
      <c r="I148" s="61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</row>
    <row r="149" spans="1:97" ht="19.5" customHeight="1">
      <c r="A149" s="62"/>
      <c r="B149" s="62"/>
      <c r="C149" s="62"/>
      <c r="D149" s="62"/>
      <c r="E149" s="62"/>
      <c r="F149" s="62"/>
      <c r="G149" s="61"/>
      <c r="H149" s="62"/>
      <c r="I149" s="61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</row>
    <row r="150" spans="1:97" ht="19.5" customHeight="1">
      <c r="A150" s="62"/>
      <c r="B150" s="62"/>
      <c r="C150" s="62"/>
      <c r="D150" s="62"/>
      <c r="E150" s="62"/>
      <c r="F150" s="62"/>
      <c r="G150" s="61"/>
      <c r="H150" s="62"/>
      <c r="I150" s="61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</row>
    <row r="151" spans="1:97" ht="19.5" customHeight="1">
      <c r="A151" s="62"/>
      <c r="B151" s="62"/>
      <c r="C151" s="62"/>
      <c r="D151" s="62"/>
      <c r="E151" s="62"/>
      <c r="F151" s="62"/>
      <c r="G151" s="61"/>
      <c r="H151" s="62"/>
      <c r="I151" s="61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</row>
    <row r="152" spans="1:97" ht="19.5" customHeight="1">
      <c r="A152" s="62"/>
      <c r="B152" s="62"/>
      <c r="C152" s="62"/>
      <c r="D152" s="62"/>
      <c r="E152" s="62"/>
      <c r="F152" s="62"/>
      <c r="G152" s="61"/>
      <c r="H152" s="62"/>
      <c r="I152" s="61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</row>
    <row r="153" spans="1:97" ht="19.5" customHeight="1">
      <c r="A153" s="62"/>
      <c r="B153" s="62"/>
      <c r="C153" s="62"/>
      <c r="D153" s="62"/>
      <c r="E153" s="62"/>
      <c r="F153" s="62"/>
      <c r="G153" s="61"/>
      <c r="H153" s="62"/>
      <c r="I153" s="61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</row>
    <row r="154" spans="1:97" ht="19.5" customHeight="1">
      <c r="A154" s="62"/>
      <c r="B154" s="62"/>
      <c r="C154" s="62"/>
      <c r="D154" s="62"/>
      <c r="E154" s="62"/>
      <c r="F154" s="62"/>
      <c r="G154" s="61"/>
      <c r="H154" s="62"/>
      <c r="I154" s="61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</row>
    <row r="155" spans="1:97" ht="19.5" customHeight="1">
      <c r="A155" s="62"/>
      <c r="B155" s="62"/>
      <c r="C155" s="62"/>
      <c r="D155" s="62"/>
      <c r="E155" s="62"/>
      <c r="F155" s="62"/>
      <c r="G155" s="61"/>
      <c r="H155" s="62"/>
      <c r="I155" s="61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</row>
    <row r="156" spans="1:97" ht="19.5" customHeight="1">
      <c r="A156" s="62"/>
      <c r="B156" s="62"/>
      <c r="C156" s="62"/>
      <c r="D156" s="62"/>
      <c r="E156" s="62"/>
      <c r="F156" s="62"/>
      <c r="G156" s="61"/>
      <c r="H156" s="62"/>
      <c r="I156" s="61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</row>
    <row r="157" spans="1:97" ht="19.5" customHeight="1">
      <c r="A157" s="62"/>
      <c r="B157" s="62"/>
      <c r="C157" s="62"/>
      <c r="D157" s="62"/>
      <c r="E157" s="62"/>
      <c r="F157" s="62"/>
      <c r="G157" s="61"/>
      <c r="H157" s="62"/>
      <c r="I157" s="61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</row>
    <row r="158" spans="1:97" ht="19.5" customHeight="1">
      <c r="A158" s="62"/>
      <c r="B158" s="62"/>
      <c r="C158" s="62"/>
      <c r="D158" s="62"/>
      <c r="E158" s="62"/>
      <c r="F158" s="62"/>
      <c r="G158" s="61"/>
      <c r="H158" s="62"/>
      <c r="I158" s="61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</row>
    <row r="159" spans="1:97" ht="19.5" customHeight="1">
      <c r="A159" s="62"/>
      <c r="B159" s="62"/>
      <c r="C159" s="62"/>
      <c r="D159" s="62"/>
      <c r="E159" s="62"/>
      <c r="F159" s="62"/>
      <c r="G159" s="61"/>
      <c r="H159" s="62"/>
      <c r="I159" s="61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</row>
    <row r="160" spans="1:97" ht="19.5" customHeight="1">
      <c r="A160" s="62"/>
      <c r="B160" s="62"/>
      <c r="C160" s="62"/>
      <c r="D160" s="62"/>
      <c r="E160" s="62"/>
      <c r="F160" s="62"/>
      <c r="G160" s="61"/>
      <c r="H160" s="62"/>
      <c r="I160" s="61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</row>
    <row r="161" spans="1:97" ht="19.5" customHeight="1">
      <c r="A161" s="62"/>
      <c r="B161" s="62"/>
      <c r="C161" s="62"/>
      <c r="D161" s="62"/>
      <c r="E161" s="62"/>
      <c r="F161" s="62"/>
      <c r="G161" s="61"/>
      <c r="H161" s="62"/>
      <c r="I161" s="61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</row>
    <row r="162" spans="1:97" ht="19.5" customHeight="1">
      <c r="A162" s="62"/>
      <c r="B162" s="62"/>
      <c r="C162" s="62"/>
      <c r="D162" s="62"/>
      <c r="E162" s="62"/>
      <c r="F162" s="62"/>
      <c r="G162" s="61"/>
      <c r="H162" s="62"/>
      <c r="I162" s="61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</row>
    <row r="163" spans="1:97" ht="19.5" customHeight="1">
      <c r="A163" s="62"/>
      <c r="B163" s="62"/>
      <c r="C163" s="62"/>
      <c r="D163" s="62"/>
      <c r="E163" s="62"/>
      <c r="F163" s="62"/>
      <c r="G163" s="61"/>
      <c r="H163" s="62"/>
      <c r="I163" s="61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</row>
    <row r="164" spans="1:97" ht="19.5" customHeight="1">
      <c r="A164" s="62"/>
      <c r="B164" s="62"/>
      <c r="C164" s="62"/>
      <c r="D164" s="62"/>
      <c r="E164" s="62"/>
      <c r="F164" s="62"/>
      <c r="G164" s="61"/>
      <c r="H164" s="62"/>
      <c r="I164" s="61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</row>
    <row r="165" spans="1:97" ht="19.5" customHeight="1">
      <c r="A165" s="62"/>
      <c r="B165" s="62"/>
      <c r="C165" s="62"/>
      <c r="D165" s="62"/>
      <c r="E165" s="62"/>
      <c r="F165" s="62"/>
      <c r="G165" s="61"/>
      <c r="H165" s="62"/>
      <c r="I165" s="61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</row>
    <row r="166" spans="1:97" ht="19.5" customHeight="1">
      <c r="A166" s="62"/>
      <c r="B166" s="62"/>
      <c r="C166" s="62"/>
      <c r="D166" s="62"/>
      <c r="E166" s="62"/>
      <c r="F166" s="62"/>
      <c r="G166" s="61"/>
      <c r="H166" s="62"/>
      <c r="I166" s="61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</row>
    <row r="167" spans="1:97" ht="19.5" customHeight="1">
      <c r="A167" s="62"/>
      <c r="B167" s="62"/>
      <c r="C167" s="62"/>
      <c r="D167" s="62"/>
      <c r="E167" s="62"/>
      <c r="F167" s="62"/>
      <c r="G167" s="61"/>
      <c r="H167" s="62"/>
      <c r="I167" s="61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</row>
    <row r="168" spans="1:97" ht="19.5" customHeight="1">
      <c r="A168" s="62"/>
      <c r="B168" s="62"/>
      <c r="C168" s="62"/>
      <c r="D168" s="62"/>
      <c r="E168" s="62"/>
      <c r="F168" s="62"/>
      <c r="G168" s="61"/>
      <c r="H168" s="62"/>
      <c r="I168" s="61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</row>
    <row r="169" spans="1:97" ht="19.5" customHeight="1">
      <c r="A169" s="62"/>
      <c r="B169" s="62"/>
      <c r="C169" s="62"/>
      <c r="D169" s="62"/>
      <c r="E169" s="62"/>
      <c r="F169" s="62"/>
      <c r="G169" s="61"/>
      <c r="H169" s="62"/>
      <c r="I169" s="61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</row>
    <row r="170" spans="1:97" ht="19.5" customHeight="1">
      <c r="A170" s="62"/>
      <c r="B170" s="62"/>
      <c r="C170" s="62"/>
      <c r="D170" s="62"/>
      <c r="E170" s="62"/>
      <c r="F170" s="62"/>
      <c r="G170" s="61"/>
      <c r="H170" s="62"/>
      <c r="I170" s="61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</row>
    <row r="171" spans="1:97" ht="19.5" customHeight="1">
      <c r="A171" s="62"/>
      <c r="B171" s="62"/>
      <c r="C171" s="62"/>
      <c r="D171" s="62"/>
      <c r="E171" s="62"/>
      <c r="F171" s="62"/>
      <c r="G171" s="61"/>
      <c r="H171" s="62"/>
      <c r="I171" s="61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</row>
    <row r="172" spans="1:97" ht="19.5" customHeight="1">
      <c r="A172" s="62"/>
      <c r="B172" s="62"/>
      <c r="C172" s="62"/>
      <c r="D172" s="62"/>
      <c r="E172" s="62"/>
      <c r="F172" s="62"/>
      <c r="G172" s="61"/>
      <c r="H172" s="62"/>
      <c r="I172" s="61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</row>
    <row r="173" spans="1:97" ht="19.5" customHeight="1">
      <c r="A173" s="62"/>
      <c r="B173" s="62"/>
      <c r="C173" s="62"/>
      <c r="D173" s="62"/>
      <c r="E173" s="62"/>
      <c r="F173" s="62"/>
      <c r="G173" s="61"/>
      <c r="H173" s="62"/>
      <c r="I173" s="61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</row>
    <row r="174" spans="1:97" ht="19.5" customHeight="1">
      <c r="A174" s="62"/>
      <c r="B174" s="62"/>
      <c r="C174" s="62"/>
      <c r="D174" s="62"/>
      <c r="E174" s="62"/>
      <c r="F174" s="62"/>
      <c r="G174" s="61"/>
      <c r="H174" s="62"/>
      <c r="I174" s="61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</row>
    <row r="175" spans="1:97" ht="19.5" customHeight="1">
      <c r="A175" s="62"/>
      <c r="B175" s="62"/>
      <c r="C175" s="62"/>
      <c r="D175" s="62"/>
      <c r="E175" s="62"/>
      <c r="F175" s="62"/>
      <c r="G175" s="61"/>
      <c r="H175" s="62"/>
      <c r="I175" s="61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</row>
    <row r="176" spans="1:97" ht="19.5" customHeight="1">
      <c r="A176" s="62"/>
      <c r="B176" s="62"/>
      <c r="C176" s="62"/>
      <c r="D176" s="62"/>
      <c r="E176" s="62"/>
      <c r="F176" s="62"/>
      <c r="G176" s="61"/>
      <c r="H176" s="62"/>
      <c r="I176" s="61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</row>
    <row r="177" spans="1:97" ht="19.5" customHeight="1">
      <c r="A177" s="62"/>
      <c r="B177" s="62"/>
      <c r="C177" s="62"/>
      <c r="D177" s="62"/>
      <c r="E177" s="62"/>
      <c r="F177" s="62"/>
      <c r="G177" s="61"/>
      <c r="H177" s="62"/>
      <c r="I177" s="61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</row>
    <row r="178" spans="1:97" ht="19.5" customHeight="1">
      <c r="A178" s="62"/>
      <c r="B178" s="62"/>
      <c r="C178" s="62"/>
      <c r="D178" s="62"/>
      <c r="E178" s="62"/>
      <c r="F178" s="62"/>
      <c r="G178" s="61"/>
      <c r="H178" s="62"/>
      <c r="I178" s="61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</row>
    <row r="179" spans="1:97" ht="19.5" customHeight="1">
      <c r="A179" s="62"/>
      <c r="B179" s="62"/>
      <c r="C179" s="62"/>
      <c r="D179" s="62"/>
      <c r="E179" s="62"/>
      <c r="F179" s="62"/>
      <c r="G179" s="61"/>
      <c r="H179" s="62"/>
      <c r="I179" s="61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</row>
    <row r="180" spans="1:97" ht="19.5" customHeight="1">
      <c r="A180" s="62"/>
      <c r="B180" s="62"/>
      <c r="C180" s="62"/>
      <c r="D180" s="62"/>
      <c r="E180" s="62"/>
      <c r="F180" s="62"/>
      <c r="G180" s="61"/>
      <c r="H180" s="62"/>
      <c r="I180" s="61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</row>
    <row r="181" spans="1:97" ht="19.5" customHeight="1">
      <c r="A181" s="62"/>
      <c r="B181" s="62"/>
      <c r="C181" s="62"/>
      <c r="D181" s="62"/>
      <c r="E181" s="62"/>
      <c r="F181" s="62"/>
      <c r="G181" s="61"/>
      <c r="H181" s="62"/>
      <c r="I181" s="61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</row>
    <row r="182" spans="1:97" ht="19.5" customHeight="1">
      <c r="A182" s="62"/>
      <c r="B182" s="62"/>
      <c r="C182" s="62"/>
      <c r="D182" s="62"/>
      <c r="E182" s="62"/>
      <c r="F182" s="62"/>
      <c r="G182" s="61"/>
      <c r="H182" s="62"/>
      <c r="I182" s="61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</row>
    <row r="183" spans="1:97" ht="19.5" customHeight="1">
      <c r="A183" s="62"/>
      <c r="B183" s="62"/>
      <c r="C183" s="62"/>
      <c r="D183" s="62"/>
      <c r="E183" s="62"/>
      <c r="F183" s="62"/>
      <c r="G183" s="61"/>
      <c r="H183" s="62"/>
      <c r="I183" s="61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</row>
    <row r="184" spans="1:97" ht="19.5" customHeight="1">
      <c r="A184" s="62"/>
      <c r="B184" s="62"/>
      <c r="C184" s="62"/>
      <c r="D184" s="62"/>
      <c r="E184" s="62"/>
      <c r="F184" s="62"/>
      <c r="G184" s="61"/>
      <c r="H184" s="62"/>
      <c r="I184" s="61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</row>
    <row r="185" spans="1:97" ht="19.5" customHeight="1">
      <c r="A185" s="62"/>
      <c r="B185" s="62"/>
      <c r="C185" s="62"/>
      <c r="D185" s="62"/>
      <c r="E185" s="62"/>
      <c r="F185" s="62"/>
      <c r="G185" s="61"/>
      <c r="H185" s="62"/>
      <c r="I185" s="61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</row>
    <row r="186" spans="1:97" ht="19.5" customHeight="1">
      <c r="A186" s="62"/>
      <c r="B186" s="62"/>
      <c r="C186" s="62"/>
      <c r="D186" s="62"/>
      <c r="E186" s="62"/>
      <c r="F186" s="62"/>
      <c r="G186" s="61"/>
      <c r="H186" s="62"/>
      <c r="I186" s="61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</row>
    <row r="187" spans="1:97" ht="19.5" customHeight="1">
      <c r="A187" s="62"/>
      <c r="B187" s="62"/>
      <c r="C187" s="62"/>
      <c r="D187" s="62"/>
      <c r="E187" s="62"/>
      <c r="F187" s="62"/>
      <c r="G187" s="61"/>
      <c r="H187" s="62"/>
      <c r="I187" s="61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</row>
    <row r="188" spans="1:97" ht="19.5" customHeight="1">
      <c r="A188" s="62"/>
      <c r="B188" s="62"/>
      <c r="C188" s="62"/>
      <c r="D188" s="62"/>
      <c r="E188" s="62"/>
      <c r="F188" s="62"/>
      <c r="G188" s="61"/>
      <c r="H188" s="62"/>
      <c r="I188" s="61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</row>
    <row r="189" spans="1:97" ht="19.5" customHeight="1">
      <c r="A189" s="62"/>
      <c r="B189" s="62"/>
      <c r="C189" s="62"/>
      <c r="D189" s="62"/>
      <c r="E189" s="62"/>
      <c r="F189" s="62"/>
      <c r="G189" s="61"/>
      <c r="H189" s="62"/>
      <c r="I189" s="61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</row>
    <row r="190" spans="1:97" ht="19.5" customHeight="1">
      <c r="A190" s="62"/>
      <c r="B190" s="62"/>
      <c r="C190" s="62"/>
      <c r="D190" s="62"/>
      <c r="E190" s="62"/>
      <c r="F190" s="62"/>
      <c r="G190" s="61"/>
      <c r="H190" s="62"/>
      <c r="I190" s="61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</row>
    <row r="191" spans="1:97" ht="19.5" customHeight="1">
      <c r="A191" s="62"/>
      <c r="B191" s="62"/>
      <c r="C191" s="62"/>
      <c r="D191" s="62"/>
      <c r="E191" s="62"/>
      <c r="F191" s="62"/>
      <c r="G191" s="61"/>
      <c r="H191" s="62"/>
      <c r="I191" s="61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</row>
    <row r="192" spans="1:97" ht="19.5" customHeight="1">
      <c r="A192" s="62"/>
      <c r="B192" s="62"/>
      <c r="C192" s="62"/>
      <c r="D192" s="62"/>
      <c r="E192" s="62"/>
      <c r="F192" s="62"/>
      <c r="G192" s="61"/>
      <c r="H192" s="62"/>
      <c r="I192" s="61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</row>
    <row r="193" spans="1:97" ht="19.5" customHeight="1">
      <c r="A193" s="62"/>
      <c r="B193" s="62"/>
      <c r="C193" s="62"/>
      <c r="D193" s="62"/>
      <c r="E193" s="62"/>
      <c r="F193" s="62"/>
      <c r="G193" s="61"/>
      <c r="H193" s="62"/>
      <c r="I193" s="61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</row>
    <row r="194" spans="1:97" ht="19.5" customHeight="1">
      <c r="A194" s="62"/>
      <c r="B194" s="62"/>
      <c r="C194" s="62"/>
      <c r="D194" s="62"/>
      <c r="E194" s="62"/>
      <c r="F194" s="62"/>
      <c r="G194" s="61"/>
      <c r="H194" s="62"/>
      <c r="I194" s="61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</row>
    <row r="195" spans="1:97" ht="19.5" customHeight="1">
      <c r="A195" s="62"/>
      <c r="B195" s="62"/>
      <c r="C195" s="62"/>
      <c r="D195" s="62"/>
      <c r="E195" s="62"/>
      <c r="F195" s="62"/>
      <c r="G195" s="61"/>
      <c r="H195" s="62"/>
      <c r="I195" s="61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</row>
    <row r="196" spans="1:97" ht="19.5" customHeight="1">
      <c r="A196" s="62"/>
      <c r="B196" s="62"/>
      <c r="C196" s="62"/>
      <c r="D196" s="62"/>
      <c r="E196" s="62"/>
      <c r="F196" s="62"/>
      <c r="G196" s="61"/>
      <c r="H196" s="62"/>
      <c r="I196" s="61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</row>
    <row r="197" spans="1:97" ht="19.5" customHeight="1">
      <c r="A197" s="62"/>
      <c r="B197" s="62"/>
      <c r="C197" s="62"/>
      <c r="D197" s="62"/>
      <c r="E197" s="62"/>
      <c r="F197" s="62"/>
      <c r="G197" s="61"/>
      <c r="H197" s="62"/>
      <c r="I197" s="61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</row>
    <row r="198" spans="1:97" ht="19.5" customHeight="1">
      <c r="A198" s="62"/>
      <c r="B198" s="62"/>
      <c r="C198" s="62"/>
      <c r="D198" s="62"/>
      <c r="E198" s="62"/>
      <c r="F198" s="62"/>
      <c r="G198" s="61"/>
      <c r="H198" s="62"/>
      <c r="I198" s="61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</row>
    <row r="199" spans="1:97" ht="19.5" customHeight="1">
      <c r="A199" s="62"/>
      <c r="B199" s="62"/>
      <c r="C199" s="62"/>
      <c r="D199" s="62"/>
      <c r="E199" s="62"/>
      <c r="F199" s="62"/>
      <c r="G199" s="61"/>
      <c r="H199" s="62"/>
      <c r="I199" s="61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</row>
    <row r="200" spans="1:97" ht="19.5" customHeight="1">
      <c r="A200" s="62"/>
      <c r="B200" s="62"/>
      <c r="C200" s="62"/>
      <c r="D200" s="62"/>
      <c r="E200" s="62"/>
      <c r="F200" s="62"/>
      <c r="G200" s="61"/>
      <c r="H200" s="62"/>
      <c r="I200" s="61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</row>
    <row r="201" spans="1:97" ht="19.5" customHeight="1">
      <c r="A201" s="62"/>
      <c r="B201" s="62"/>
      <c r="C201" s="62"/>
      <c r="D201" s="62"/>
      <c r="E201" s="62"/>
      <c r="F201" s="62"/>
      <c r="G201" s="61"/>
      <c r="H201" s="62"/>
      <c r="I201" s="61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</row>
    <row r="202" spans="1:97" ht="19.5" customHeight="1">
      <c r="A202" s="62"/>
      <c r="B202" s="62"/>
      <c r="C202" s="62"/>
      <c r="D202" s="62"/>
      <c r="E202" s="62"/>
      <c r="F202" s="62"/>
      <c r="G202" s="61"/>
      <c r="H202" s="62"/>
      <c r="I202" s="61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</row>
    <row r="203" spans="1:97" ht="19.5" customHeight="1">
      <c r="A203" s="62"/>
      <c r="B203" s="62"/>
      <c r="C203" s="62"/>
      <c r="D203" s="62"/>
      <c r="E203" s="62"/>
      <c r="F203" s="62"/>
      <c r="G203" s="61"/>
      <c r="H203" s="62"/>
      <c r="I203" s="61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</row>
    <row r="204" spans="1:97" ht="19.5" customHeight="1">
      <c r="A204" s="62"/>
      <c r="B204" s="62"/>
      <c r="C204" s="62"/>
      <c r="D204" s="62"/>
      <c r="E204" s="62"/>
      <c r="F204" s="62"/>
      <c r="G204" s="61"/>
      <c r="H204" s="62"/>
      <c r="I204" s="61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</row>
    <row r="205" spans="1:97" ht="19.5" customHeight="1">
      <c r="A205" s="62"/>
      <c r="B205" s="62"/>
      <c r="C205" s="62"/>
      <c r="D205" s="62"/>
      <c r="E205" s="62"/>
      <c r="F205" s="62"/>
      <c r="G205" s="61"/>
      <c r="H205" s="62"/>
      <c r="I205" s="61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</row>
    <row r="206" spans="1:97" ht="19.5" customHeight="1">
      <c r="A206" s="62"/>
      <c r="B206" s="62"/>
      <c r="C206" s="62"/>
      <c r="D206" s="62"/>
      <c r="E206" s="62"/>
      <c r="F206" s="62"/>
      <c r="G206" s="61"/>
      <c r="H206" s="62"/>
      <c r="I206" s="61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</row>
    <row r="207" spans="1:97" ht="19.5" customHeight="1">
      <c r="A207" s="62"/>
      <c r="B207" s="62"/>
      <c r="C207" s="62"/>
      <c r="D207" s="62"/>
      <c r="E207" s="62"/>
      <c r="F207" s="62"/>
      <c r="G207" s="61"/>
      <c r="H207" s="62"/>
      <c r="I207" s="61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</row>
    <row r="208" spans="1:97" ht="19.5" customHeight="1">
      <c r="A208" s="62"/>
      <c r="B208" s="62"/>
      <c r="C208" s="62"/>
      <c r="D208" s="62"/>
      <c r="E208" s="62"/>
      <c r="F208" s="62"/>
      <c r="G208" s="61"/>
      <c r="H208" s="62"/>
      <c r="I208" s="61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</row>
    <row r="209" spans="1:97" ht="19.5" customHeight="1">
      <c r="A209" s="62"/>
      <c r="B209" s="62"/>
      <c r="C209" s="62"/>
      <c r="D209" s="62"/>
      <c r="E209" s="62"/>
      <c r="F209" s="62"/>
      <c r="G209" s="61"/>
      <c r="H209" s="62"/>
      <c r="I209" s="61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</row>
    <row r="210" spans="1:97" ht="19.5" customHeight="1">
      <c r="A210" s="62"/>
      <c r="B210" s="62"/>
      <c r="C210" s="62"/>
      <c r="D210" s="62"/>
      <c r="E210" s="62"/>
      <c r="F210" s="62"/>
      <c r="G210" s="61"/>
      <c r="H210" s="62"/>
      <c r="I210" s="61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</row>
    <row r="211" spans="1:97" ht="19.5" customHeight="1">
      <c r="A211" s="62"/>
      <c r="B211" s="62"/>
      <c r="C211" s="62"/>
      <c r="D211" s="62"/>
      <c r="E211" s="62"/>
      <c r="F211" s="62"/>
      <c r="G211" s="61"/>
      <c r="H211" s="62"/>
      <c r="I211" s="61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</row>
    <row r="212" spans="1:97" ht="19.5" customHeight="1">
      <c r="A212" s="62"/>
      <c r="B212" s="62"/>
      <c r="C212" s="62"/>
      <c r="D212" s="62"/>
      <c r="E212" s="62"/>
      <c r="F212" s="62"/>
      <c r="G212" s="61"/>
      <c r="H212" s="62"/>
      <c r="I212" s="61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</row>
    <row r="213" spans="1:97" ht="19.5" customHeight="1">
      <c r="A213" s="62"/>
      <c r="B213" s="62"/>
      <c r="C213" s="62"/>
      <c r="D213" s="62"/>
      <c r="E213" s="62"/>
      <c r="F213" s="62"/>
      <c r="G213" s="61"/>
      <c r="H213" s="62"/>
      <c r="I213" s="61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</row>
    <row r="214" spans="1:97" ht="19.5" customHeight="1">
      <c r="A214" s="62"/>
      <c r="B214" s="62"/>
      <c r="C214" s="62"/>
      <c r="D214" s="62"/>
      <c r="E214" s="62"/>
      <c r="F214" s="62"/>
      <c r="G214" s="61"/>
      <c r="H214" s="62"/>
      <c r="I214" s="61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</row>
    <row r="215" spans="1:97" ht="19.5" customHeight="1">
      <c r="A215" s="62"/>
      <c r="B215" s="62"/>
      <c r="C215" s="62"/>
      <c r="D215" s="62"/>
      <c r="E215" s="62"/>
      <c r="F215" s="62"/>
      <c r="G215" s="61"/>
      <c r="H215" s="62"/>
      <c r="I215" s="61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</row>
    <row r="216" spans="1:97" ht="19.5" customHeight="1">
      <c r="A216" s="62"/>
      <c r="B216" s="62"/>
      <c r="C216" s="62"/>
      <c r="D216" s="62"/>
      <c r="E216" s="62"/>
      <c r="F216" s="62"/>
      <c r="G216" s="61"/>
      <c r="H216" s="62"/>
      <c r="I216" s="61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</row>
    <row r="217" spans="1:97" ht="19.5" customHeight="1">
      <c r="A217" s="62"/>
      <c r="B217" s="62"/>
      <c r="C217" s="62"/>
      <c r="D217" s="62"/>
      <c r="E217" s="62"/>
      <c r="F217" s="62"/>
      <c r="G217" s="61"/>
      <c r="H217" s="62"/>
      <c r="I217" s="61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</row>
    <row r="218" spans="1:97" ht="19.5" customHeight="1">
      <c r="A218" s="62"/>
      <c r="B218" s="62"/>
      <c r="C218" s="62"/>
      <c r="D218" s="62"/>
      <c r="E218" s="62"/>
      <c r="F218" s="62"/>
      <c r="G218" s="61"/>
      <c r="H218" s="62"/>
      <c r="I218" s="61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</row>
    <row r="219" spans="1:97" ht="19.5" customHeight="1">
      <c r="A219" s="62"/>
      <c r="B219" s="62"/>
      <c r="C219" s="62"/>
      <c r="D219" s="62"/>
      <c r="E219" s="62"/>
      <c r="F219" s="62"/>
      <c r="G219" s="61"/>
      <c r="H219" s="62"/>
      <c r="I219" s="61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</row>
    <row r="220" spans="1:97" ht="19.5" customHeight="1">
      <c r="A220" s="62"/>
      <c r="B220" s="62"/>
      <c r="C220" s="62"/>
      <c r="D220" s="62"/>
      <c r="E220" s="62"/>
      <c r="F220" s="62"/>
      <c r="G220" s="61"/>
      <c r="H220" s="62"/>
      <c r="I220" s="61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</row>
    <row r="221" spans="1:97" ht="19.5" customHeight="1">
      <c r="A221" s="62"/>
      <c r="B221" s="62"/>
      <c r="C221" s="62"/>
      <c r="D221" s="62"/>
      <c r="E221" s="62"/>
      <c r="F221" s="62"/>
      <c r="G221" s="61"/>
      <c r="H221" s="62"/>
      <c r="I221" s="61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</row>
    <row r="222" spans="1:97" ht="19.5" customHeight="1">
      <c r="A222" s="62"/>
      <c r="B222" s="62"/>
      <c r="C222" s="62"/>
      <c r="D222" s="62"/>
      <c r="E222" s="62"/>
      <c r="F222" s="62"/>
      <c r="G222" s="61"/>
      <c r="H222" s="62"/>
      <c r="I222" s="61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</row>
    <row r="223" spans="1:97" ht="19.5" customHeight="1">
      <c r="A223" s="62"/>
      <c r="B223" s="62"/>
      <c r="C223" s="62"/>
      <c r="D223" s="62"/>
      <c r="E223" s="62"/>
      <c r="F223" s="62"/>
      <c r="G223" s="61"/>
      <c r="H223" s="62"/>
      <c r="I223" s="61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</row>
    <row r="224" spans="1:97" ht="19.5" customHeight="1">
      <c r="A224" s="62"/>
      <c r="B224" s="62"/>
      <c r="C224" s="62"/>
      <c r="D224" s="62"/>
      <c r="E224" s="62"/>
      <c r="F224" s="62"/>
      <c r="G224" s="61"/>
      <c r="H224" s="62"/>
      <c r="I224" s="61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</row>
    <row r="225" spans="1:97" ht="19.5" customHeight="1">
      <c r="A225" s="62"/>
      <c r="B225" s="62"/>
      <c r="C225" s="62"/>
      <c r="D225" s="62"/>
      <c r="E225" s="62"/>
      <c r="F225" s="62"/>
      <c r="G225" s="61"/>
      <c r="H225" s="62"/>
      <c r="I225" s="61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</row>
    <row r="226" spans="1:97" ht="19.5" customHeight="1">
      <c r="A226" s="62"/>
      <c r="B226" s="62"/>
      <c r="C226" s="62"/>
      <c r="D226" s="62"/>
      <c r="E226" s="62"/>
      <c r="F226" s="62"/>
      <c r="G226" s="61"/>
      <c r="H226" s="62"/>
      <c r="I226" s="61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</row>
    <row r="227" spans="1:97" ht="19.5" customHeight="1">
      <c r="A227" s="62"/>
      <c r="B227" s="62"/>
      <c r="C227" s="62"/>
      <c r="D227" s="62"/>
      <c r="E227" s="62"/>
      <c r="F227" s="62"/>
      <c r="G227" s="61"/>
      <c r="H227" s="62"/>
      <c r="I227" s="61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</row>
    <row r="228" spans="1:97" ht="19.5" customHeight="1">
      <c r="A228" s="62"/>
      <c r="B228" s="62"/>
      <c r="C228" s="62"/>
      <c r="D228" s="62"/>
      <c r="E228" s="62"/>
      <c r="F228" s="62"/>
      <c r="G228" s="61"/>
      <c r="H228" s="62"/>
      <c r="I228" s="61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</row>
    <row r="229" spans="1:97" ht="19.5" customHeight="1">
      <c r="A229" s="62"/>
      <c r="B229" s="62"/>
      <c r="C229" s="62"/>
      <c r="D229" s="62"/>
      <c r="E229" s="62"/>
      <c r="F229" s="62"/>
      <c r="G229" s="61"/>
      <c r="H229" s="62"/>
      <c r="I229" s="61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</row>
    <row r="230" spans="1:97" ht="19.5" customHeight="1">
      <c r="A230" s="62"/>
      <c r="B230" s="62"/>
      <c r="C230" s="62"/>
      <c r="D230" s="62"/>
      <c r="E230" s="62"/>
      <c r="F230" s="62"/>
      <c r="G230" s="61"/>
      <c r="H230" s="62"/>
      <c r="I230" s="61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</row>
    <row r="231" spans="1:97" ht="19.5" customHeight="1">
      <c r="A231" s="62"/>
      <c r="B231" s="62"/>
      <c r="C231" s="62"/>
      <c r="D231" s="62"/>
      <c r="E231" s="62"/>
      <c r="F231" s="62"/>
      <c r="G231" s="61"/>
      <c r="H231" s="62"/>
      <c r="I231" s="61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</row>
    <row r="232" spans="1:97" ht="19.5" customHeight="1">
      <c r="A232" s="62"/>
      <c r="B232" s="62"/>
      <c r="C232" s="62"/>
      <c r="D232" s="62"/>
      <c r="E232" s="62"/>
      <c r="F232" s="62"/>
      <c r="G232" s="61"/>
      <c r="H232" s="62"/>
      <c r="I232" s="61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</row>
    <row r="233" spans="1:97" ht="19.5" customHeight="1">
      <c r="A233" s="62"/>
      <c r="B233" s="62"/>
      <c r="C233" s="62"/>
      <c r="D233" s="62"/>
      <c r="E233" s="62"/>
      <c r="F233" s="62"/>
      <c r="G233" s="61"/>
      <c r="H233" s="62"/>
      <c r="I233" s="61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</row>
    <row r="234" spans="1:97" ht="19.5" customHeight="1">
      <c r="A234" s="62"/>
      <c r="B234" s="62"/>
      <c r="C234" s="62"/>
      <c r="D234" s="62"/>
      <c r="E234" s="62"/>
      <c r="F234" s="62"/>
      <c r="G234" s="61"/>
      <c r="H234" s="62"/>
      <c r="I234" s="61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</row>
    <row r="235" spans="1:97" ht="19.5" customHeight="1">
      <c r="A235" s="62"/>
      <c r="B235" s="62"/>
      <c r="C235" s="62"/>
      <c r="D235" s="62"/>
      <c r="E235" s="62"/>
      <c r="F235" s="62"/>
      <c r="G235" s="61"/>
      <c r="H235" s="62"/>
      <c r="I235" s="61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</row>
    <row r="236" spans="1:97" ht="19.5" customHeight="1">
      <c r="A236" s="62"/>
      <c r="B236" s="62"/>
      <c r="C236" s="62"/>
      <c r="D236" s="62"/>
      <c r="E236" s="62"/>
      <c r="F236" s="62"/>
      <c r="G236" s="61"/>
      <c r="H236" s="62"/>
      <c r="I236" s="61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</row>
    <row r="237" spans="1:97" ht="19.5" customHeight="1">
      <c r="A237" s="62"/>
      <c r="B237" s="62"/>
      <c r="C237" s="62"/>
      <c r="D237" s="62"/>
      <c r="E237" s="62"/>
      <c r="F237" s="62"/>
      <c r="G237" s="61"/>
      <c r="H237" s="62"/>
      <c r="I237" s="61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</row>
    <row r="238" spans="1:97" ht="19.5" customHeight="1">
      <c r="A238" s="62"/>
      <c r="B238" s="62"/>
      <c r="C238" s="62"/>
      <c r="D238" s="62"/>
      <c r="E238" s="62"/>
      <c r="F238" s="62"/>
      <c r="G238" s="61"/>
      <c r="H238" s="62"/>
      <c r="I238" s="61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</row>
    <row r="239" spans="1:97" ht="19.5" customHeight="1">
      <c r="A239" s="62"/>
      <c r="B239" s="62"/>
      <c r="C239" s="62"/>
      <c r="D239" s="62"/>
      <c r="E239" s="62"/>
      <c r="F239" s="62"/>
      <c r="G239" s="61"/>
      <c r="H239" s="62"/>
      <c r="I239" s="61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</row>
    <row r="240" spans="1:97" ht="19.5" customHeight="1">
      <c r="A240" s="62"/>
      <c r="B240" s="62"/>
      <c r="C240" s="62"/>
      <c r="D240" s="62"/>
      <c r="E240" s="62"/>
      <c r="F240" s="62"/>
      <c r="G240" s="61"/>
      <c r="H240" s="62"/>
      <c r="I240" s="61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</row>
    <row r="241" spans="1:97" ht="19.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</row>
    <row r="242" spans="1:97" ht="19.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</row>
    <row r="243" spans="1:97" ht="19.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</row>
    <row r="244" spans="1:97" ht="19.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</row>
    <row r="245" spans="1:97" ht="19.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</row>
    <row r="246" spans="1:97" ht="19.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</row>
    <row r="247" spans="1:97" ht="19.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</row>
    <row r="248" spans="1:97" ht="19.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</row>
    <row r="249" spans="1:97" ht="15.75" customHeight="1"/>
    <row r="250" spans="1:97" ht="15.75" customHeight="1"/>
    <row r="251" spans="1:97" ht="15.75" customHeight="1"/>
    <row r="252" spans="1:97" ht="15.75" customHeight="1"/>
    <row r="253" spans="1:97" ht="15.75" customHeight="1"/>
    <row r="254" spans="1:97" ht="15.75" customHeight="1"/>
    <row r="255" spans="1:97" ht="15.75" customHeight="1"/>
    <row r="256" spans="1:9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8">
    <mergeCell ref="AD6:AI6"/>
    <mergeCell ref="F6:I6"/>
    <mergeCell ref="AK6:AP6"/>
    <mergeCell ref="A6:D6"/>
    <mergeCell ref="AA8:AA12"/>
    <mergeCell ref="AB8:AB11"/>
    <mergeCell ref="R6:W6"/>
    <mergeCell ref="Y6:AB6"/>
    <mergeCell ref="S8:S11"/>
    <mergeCell ref="T8:T12"/>
    <mergeCell ref="U8:U11"/>
    <mergeCell ref="V8:V12"/>
    <mergeCell ref="W8:W11"/>
    <mergeCell ref="C10:D10"/>
    <mergeCell ref="A11:A12"/>
    <mergeCell ref="B11:D12"/>
    <mergeCell ref="A4:BZ5"/>
    <mergeCell ref="BA6:BF6"/>
    <mergeCell ref="BH6:BK6"/>
    <mergeCell ref="BM6:BN6"/>
    <mergeCell ref="BP6:BS6"/>
    <mergeCell ref="BU6:BV6"/>
    <mergeCell ref="BX6:BY6"/>
    <mergeCell ref="BW6:BW40"/>
    <mergeCell ref="BZ6:BZ40"/>
    <mergeCell ref="BX8:BX11"/>
    <mergeCell ref="BY8:BY11"/>
    <mergeCell ref="E6:E40"/>
    <mergeCell ref="A7:C7"/>
    <mergeCell ref="A9:C9"/>
    <mergeCell ref="A10:B10"/>
    <mergeCell ref="K6:P6"/>
    <mergeCell ref="AR8:AR12"/>
    <mergeCell ref="AS8:AS11"/>
    <mergeCell ref="AW8:AW11"/>
    <mergeCell ref="AX8:AX12"/>
    <mergeCell ref="AY8:AY11"/>
    <mergeCell ref="BU8:BU11"/>
    <mergeCell ref="BV8:BV11"/>
    <mergeCell ref="BL11:BL40"/>
    <mergeCell ref="Y8:Y12"/>
    <mergeCell ref="Z8:Z11"/>
    <mergeCell ref="BJ8:BJ12"/>
    <mergeCell ref="BK8:BK11"/>
    <mergeCell ref="BM8:BM12"/>
    <mergeCell ref="BN8:BN11"/>
    <mergeCell ref="BP8:BP12"/>
    <mergeCell ref="BG6:BG40"/>
    <mergeCell ref="BT6:BT40"/>
    <mergeCell ref="BO7:BO40"/>
    <mergeCell ref="AN8:AN11"/>
    <mergeCell ref="AO8:AO12"/>
    <mergeCell ref="AR6:AY6"/>
    <mergeCell ref="BS8:BS11"/>
    <mergeCell ref="BB8:BB11"/>
    <mergeCell ref="BC8:BC12"/>
    <mergeCell ref="BD8:BD11"/>
    <mergeCell ref="BE8:BE12"/>
    <mergeCell ref="BI8:BI11"/>
    <mergeCell ref="BQ8:BQ11"/>
    <mergeCell ref="BR8:BR12"/>
    <mergeCell ref="A2:CA3"/>
    <mergeCell ref="X6:X40"/>
    <mergeCell ref="AC6:AC40"/>
    <mergeCell ref="AJ6:AJ40"/>
    <mergeCell ref="AQ6:AQ40"/>
    <mergeCell ref="AZ6:AZ40"/>
    <mergeCell ref="CA6:CA12"/>
    <mergeCell ref="AD8:AD12"/>
    <mergeCell ref="AE8:AE11"/>
    <mergeCell ref="AF8:AF12"/>
    <mergeCell ref="AG8:AG11"/>
    <mergeCell ref="AH8:AH12"/>
    <mergeCell ref="BF8:BF11"/>
    <mergeCell ref="BU7:BV7"/>
    <mergeCell ref="BX7:BY7"/>
    <mergeCell ref="A8:C8"/>
    <mergeCell ref="F8:F12"/>
    <mergeCell ref="G8:G11"/>
    <mergeCell ref="H8:H12"/>
    <mergeCell ref="I8:I11"/>
    <mergeCell ref="K8:K12"/>
    <mergeCell ref="L8:L11"/>
    <mergeCell ref="M8:M12"/>
    <mergeCell ref="N8:N11"/>
    <mergeCell ref="O8:O12"/>
    <mergeCell ref="BH8:BH12"/>
    <mergeCell ref="BA8:BA12"/>
    <mergeCell ref="P8:P11"/>
    <mergeCell ref="R8:R12"/>
    <mergeCell ref="AT8:AT12"/>
    <mergeCell ref="AU8:AU11"/>
    <mergeCell ref="AV8:AV12"/>
    <mergeCell ref="AI8:AI11"/>
    <mergeCell ref="AK8:AK12"/>
    <mergeCell ref="AL8:AL11"/>
    <mergeCell ref="AM8:AM12"/>
    <mergeCell ref="AP8:AP11"/>
  </mergeCells>
  <dataValidations count="3">
    <dataValidation type="list" allowBlank="1" showInputMessage="1" showErrorMessage="1" prompt="solo letras" sqref="R13 F13:F40 H13:H40 K13:K40 M13:M40 O13:O40 Y13:Y40 AA13:AA40 AD13:AD40 AF13:AF40 AH13:AH40 AK13:AK40 AM13:AM40 AO13:AO40 AR13:AR40 AT13:AT40 AV13:AV40 AX13:AX40 BA13:BA40 BC13:BC40 BE13:BE40 BH13:BH40 BJ13:BJ40 BM13:BM40 BP13:BP40 BR13:BR40" xr:uid="{00000000-0002-0000-0200-000000000000}">
      <formula1>"AD,A,B,C,TRASL.,NA"</formula1>
    </dataValidation>
    <dataValidation type="custom" allowBlank="1" showErrorMessage="1" sqref="S13 J13:J40 Q16:Q40" xr:uid="{00000000-0002-0000-0200-000001000000}">
      <formula1>AND(GTE(LEN(J13),MIN((0),(100))),LTE(LEN(J13),MAX((0),(100))))</formula1>
    </dataValidation>
    <dataValidation type="list" allowBlank="1" showErrorMessage="1" sqref="CA13:CA40" xr:uid="{00000000-0002-0000-0200-000002000000}">
      <formula1>"AD,A,B,C,TRASL.,NA"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1000"/>
  <sheetViews>
    <sheetView showGridLines="0" tabSelected="1" zoomScaleNormal="100" workbookViewId="0">
      <pane xSplit="5" ySplit="12" topLeftCell="BE13" activePane="bottomRight" state="frozen"/>
      <selection pane="topRight" activeCell="F1" sqref="F1"/>
      <selection pane="bottomLeft" activeCell="A13" sqref="A13"/>
      <selection pane="bottomRight" activeCell="BF17" sqref="BF17"/>
    </sheetView>
  </sheetViews>
  <sheetFormatPr baseColWidth="10" defaultColWidth="12.59765625" defaultRowHeight="15" customHeight="1"/>
  <cols>
    <col min="1" max="1" width="10.09765625" customWidth="1"/>
    <col min="2" max="2" width="12.59765625" customWidth="1"/>
    <col min="3" max="3" width="11.19921875" customWidth="1"/>
    <col min="4" max="4" width="25.69921875" customWidth="1"/>
    <col min="5" max="5" width="0.3984375" customWidth="1"/>
    <col min="6" max="6" width="16.3984375" customWidth="1"/>
    <col min="7" max="7" width="37.19921875" customWidth="1"/>
    <col min="8" max="8" width="16.3984375" customWidth="1"/>
    <col min="9" max="9" width="44.3984375" customWidth="1"/>
    <col min="10" max="10" width="1.5" customWidth="1"/>
    <col min="11" max="11" width="16.3984375" customWidth="1"/>
    <col min="12" max="12" width="44.3984375" customWidth="1"/>
    <col min="13" max="13" width="16.3984375" customWidth="1"/>
    <col min="14" max="14" width="44.3984375" customWidth="1"/>
    <col min="15" max="15" width="16.3984375" customWidth="1"/>
    <col min="16" max="16" width="44.3984375" customWidth="1"/>
    <col min="17" max="17" width="1.5" customWidth="1"/>
    <col min="18" max="18" width="16.3984375" customWidth="1"/>
    <col min="19" max="19" width="44.3984375" customWidth="1"/>
    <col min="20" max="20" width="16.3984375" customWidth="1"/>
    <col min="21" max="21" width="44.3984375" customWidth="1"/>
    <col min="22" max="22" width="16.3984375" customWidth="1"/>
    <col min="23" max="23" width="44.3984375" customWidth="1"/>
    <col min="24" max="24" width="1.5" customWidth="1"/>
    <col min="25" max="25" width="16.3984375" customWidth="1"/>
    <col min="26" max="26" width="44.3984375" customWidth="1"/>
    <col min="27" max="27" width="16.3984375" customWidth="1"/>
    <col min="28" max="28" width="44.3984375" customWidth="1"/>
    <col min="29" max="29" width="1.5" customWidth="1"/>
    <col min="30" max="30" width="16.3984375" customWidth="1"/>
    <col min="31" max="31" width="44.3984375" customWidth="1"/>
    <col min="32" max="32" width="16.3984375" customWidth="1"/>
    <col min="33" max="33" width="44.3984375" customWidth="1"/>
    <col min="34" max="34" width="16.3984375" customWidth="1"/>
    <col min="35" max="35" width="44.3984375" customWidth="1"/>
    <col min="36" max="36" width="1.5" customWidth="1"/>
    <col min="37" max="37" width="16.3984375" customWidth="1"/>
    <col min="38" max="38" width="44.3984375" customWidth="1"/>
    <col min="39" max="39" width="16.3984375" customWidth="1"/>
    <col min="40" max="40" width="44.3984375" customWidth="1"/>
    <col min="41" max="41" width="16.3984375" customWidth="1"/>
    <col min="42" max="42" width="44.3984375" customWidth="1"/>
    <col min="43" max="43" width="1.5" customWidth="1"/>
    <col min="44" max="44" width="16.3984375" customWidth="1"/>
    <col min="45" max="45" width="44.3984375" customWidth="1"/>
    <col min="46" max="46" width="16.3984375" customWidth="1"/>
    <col min="47" max="47" width="44.3984375" customWidth="1"/>
    <col min="48" max="48" width="16.3984375" customWidth="1"/>
    <col min="49" max="49" width="44.3984375" customWidth="1"/>
    <col min="50" max="50" width="16.3984375" customWidth="1"/>
    <col min="51" max="51" width="44.3984375" customWidth="1"/>
    <col min="52" max="52" width="1.5" customWidth="1"/>
    <col min="53" max="53" width="16.3984375" customWidth="1"/>
    <col min="54" max="54" width="44.3984375" customWidth="1"/>
    <col min="55" max="55" width="16.3984375" customWidth="1"/>
    <col min="56" max="56" width="44.3984375" customWidth="1"/>
    <col min="57" max="57" width="16.3984375" customWidth="1"/>
    <col min="58" max="58" width="44.3984375" customWidth="1"/>
    <col min="59" max="59" width="1.5" customWidth="1"/>
    <col min="60" max="60" width="16.3984375" customWidth="1"/>
    <col min="61" max="61" width="44.3984375" customWidth="1"/>
    <col min="62" max="62" width="16.3984375" customWidth="1"/>
    <col min="63" max="63" width="44.3984375" customWidth="1"/>
    <col min="64" max="64" width="1.5" customWidth="1"/>
    <col min="65" max="65" width="16.3984375" customWidth="1"/>
    <col min="66" max="66" width="44.3984375" customWidth="1"/>
    <col min="67" max="67" width="1.5" customWidth="1"/>
    <col min="68" max="68" width="16.3984375" customWidth="1"/>
    <col min="69" max="69" width="44.3984375" customWidth="1"/>
    <col min="70" max="70" width="16.3984375" customWidth="1"/>
    <col min="71" max="71" width="44.3984375" customWidth="1"/>
    <col min="72" max="72" width="1.5" customWidth="1"/>
    <col min="73" max="73" width="16.69921875" customWidth="1"/>
    <col min="74" max="74" width="18.69921875" customWidth="1"/>
    <col min="75" max="75" width="1.5" customWidth="1"/>
    <col min="76" max="76" width="16.69921875" customWidth="1"/>
    <col min="77" max="77" width="18.69921875" customWidth="1"/>
    <col min="78" max="78" width="1.5" customWidth="1"/>
    <col min="79" max="79" width="23.09765625" customWidth="1"/>
    <col min="80" max="80" width="24.19921875" customWidth="1"/>
    <col min="81" max="81" width="5" customWidth="1"/>
    <col min="82" max="97" width="9.3984375" customWidth="1"/>
  </cols>
  <sheetData>
    <row r="1" spans="1:97" ht="49.5" customHeight="1">
      <c r="A1" s="2" t="s">
        <v>0</v>
      </c>
      <c r="B1" s="2"/>
      <c r="C1" s="2"/>
      <c r="D1" s="2"/>
      <c r="E1" s="2"/>
      <c r="F1" s="2"/>
      <c r="G1" s="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</row>
    <row r="2" spans="1:97" ht="19.5" customHeight="1">
      <c r="A2" s="203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18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</row>
    <row r="3" spans="1:97" ht="19.5" customHeight="1">
      <c r="A3" s="219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1"/>
      <c r="CB3" s="5"/>
      <c r="CC3" s="5"/>
      <c r="CD3" s="5"/>
      <c r="CE3" s="5"/>
      <c r="CF3" s="6"/>
      <c r="CG3" s="5"/>
      <c r="CH3" s="5"/>
      <c r="CI3" s="5"/>
      <c r="CJ3" s="6"/>
      <c r="CK3" s="5"/>
      <c r="CL3" s="5"/>
      <c r="CM3" s="5"/>
      <c r="CN3" s="5"/>
      <c r="CO3" s="6"/>
      <c r="CP3" s="5"/>
      <c r="CQ3" s="5"/>
      <c r="CR3" s="5"/>
      <c r="CS3" s="5"/>
    </row>
    <row r="4" spans="1:97" ht="19.5" customHeigh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4"/>
      <c r="CB4" s="5"/>
      <c r="CC4" s="5"/>
      <c r="CD4" s="5"/>
      <c r="CE4" s="5"/>
      <c r="CF4" s="6"/>
      <c r="CG4" s="5"/>
      <c r="CH4" s="5"/>
      <c r="CI4" s="5"/>
      <c r="CJ4" s="6"/>
      <c r="CK4" s="5"/>
      <c r="CL4" s="5"/>
      <c r="CM4" s="5"/>
      <c r="CN4" s="5"/>
      <c r="CO4" s="6"/>
      <c r="CP4" s="5"/>
      <c r="CQ4" s="5"/>
      <c r="CR4" s="5"/>
      <c r="CS4" s="5"/>
    </row>
    <row r="5" spans="1:97" ht="19.5" customHeight="1">
      <c r="A5" s="210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210"/>
      <c r="BN5" s="210"/>
      <c r="BO5" s="210"/>
      <c r="BP5" s="210"/>
      <c r="BQ5" s="210"/>
      <c r="BR5" s="210"/>
      <c r="BS5" s="210"/>
      <c r="BT5" s="210"/>
      <c r="BU5" s="210"/>
      <c r="BV5" s="210"/>
      <c r="BW5" s="210"/>
      <c r="BX5" s="210"/>
      <c r="BY5" s="210"/>
      <c r="BZ5" s="210"/>
      <c r="CA5" s="4"/>
      <c r="CB5" s="5"/>
      <c r="CC5" s="5"/>
      <c r="CD5" s="5"/>
      <c r="CE5" s="5"/>
      <c r="CF5" s="6"/>
      <c r="CG5" s="5"/>
      <c r="CH5" s="5"/>
      <c r="CI5" s="5"/>
      <c r="CJ5" s="6"/>
      <c r="CK5" s="5"/>
      <c r="CL5" s="5"/>
      <c r="CM5" s="5"/>
      <c r="CN5" s="5"/>
      <c r="CO5" s="6"/>
      <c r="CP5" s="5"/>
      <c r="CQ5" s="5"/>
      <c r="CR5" s="5"/>
      <c r="CS5" s="5"/>
    </row>
    <row r="6" spans="1:97" ht="19.5" customHeight="1">
      <c r="A6" s="193" t="s">
        <v>1</v>
      </c>
      <c r="B6" s="190"/>
      <c r="C6" s="190"/>
      <c r="D6" s="191"/>
      <c r="E6" s="211"/>
      <c r="F6" s="192" t="s">
        <v>2</v>
      </c>
      <c r="G6" s="190"/>
      <c r="H6" s="190"/>
      <c r="I6" s="191"/>
      <c r="J6" s="7"/>
      <c r="K6" s="192" t="s">
        <v>3</v>
      </c>
      <c r="L6" s="190"/>
      <c r="M6" s="190"/>
      <c r="N6" s="190"/>
      <c r="O6" s="190"/>
      <c r="P6" s="191"/>
      <c r="Q6" s="7"/>
      <c r="R6" s="192" t="s">
        <v>223</v>
      </c>
      <c r="S6" s="190"/>
      <c r="T6" s="190"/>
      <c r="U6" s="190"/>
      <c r="V6" s="190"/>
      <c r="W6" s="191"/>
      <c r="X6" s="214"/>
      <c r="Y6" s="192" t="s">
        <v>4</v>
      </c>
      <c r="Z6" s="190"/>
      <c r="AA6" s="190"/>
      <c r="AB6" s="191"/>
      <c r="AC6" s="199"/>
      <c r="AD6" s="192" t="s">
        <v>5</v>
      </c>
      <c r="AE6" s="190"/>
      <c r="AF6" s="190"/>
      <c r="AG6" s="190"/>
      <c r="AH6" s="190"/>
      <c r="AI6" s="191"/>
      <c r="AJ6" s="199"/>
      <c r="AK6" s="192" t="s">
        <v>6</v>
      </c>
      <c r="AL6" s="190"/>
      <c r="AM6" s="190"/>
      <c r="AN6" s="190"/>
      <c r="AO6" s="190"/>
      <c r="AP6" s="191"/>
      <c r="AQ6" s="199"/>
      <c r="AR6" s="192" t="s">
        <v>7</v>
      </c>
      <c r="AS6" s="190"/>
      <c r="AT6" s="190"/>
      <c r="AU6" s="190"/>
      <c r="AV6" s="190"/>
      <c r="AW6" s="190"/>
      <c r="AX6" s="190"/>
      <c r="AY6" s="191"/>
      <c r="AZ6" s="199"/>
      <c r="BA6" s="192" t="s">
        <v>8</v>
      </c>
      <c r="BB6" s="190"/>
      <c r="BC6" s="190"/>
      <c r="BD6" s="190"/>
      <c r="BE6" s="190"/>
      <c r="BF6" s="191"/>
      <c r="BG6" s="214"/>
      <c r="BH6" s="192" t="s">
        <v>9</v>
      </c>
      <c r="BI6" s="190"/>
      <c r="BJ6" s="190"/>
      <c r="BK6" s="191"/>
      <c r="BL6" s="7"/>
      <c r="BM6" s="192" t="s">
        <v>10</v>
      </c>
      <c r="BN6" s="191"/>
      <c r="BO6" s="7"/>
      <c r="BP6" s="192" t="s">
        <v>11</v>
      </c>
      <c r="BQ6" s="190"/>
      <c r="BR6" s="190"/>
      <c r="BS6" s="191"/>
      <c r="BT6" s="199"/>
      <c r="BU6" s="192" t="s">
        <v>12</v>
      </c>
      <c r="BV6" s="191"/>
      <c r="BW6" s="199"/>
      <c r="BX6" s="192" t="s">
        <v>13</v>
      </c>
      <c r="BY6" s="191"/>
      <c r="BZ6" s="196"/>
      <c r="CA6" s="194" t="s">
        <v>14</v>
      </c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</row>
    <row r="7" spans="1:97" ht="19.5" customHeight="1">
      <c r="A7" s="189" t="s">
        <v>15</v>
      </c>
      <c r="B7" s="190"/>
      <c r="C7" s="191"/>
      <c r="D7" s="10" t="s">
        <v>16</v>
      </c>
      <c r="E7" s="197"/>
      <c r="F7" s="11" t="s">
        <v>17</v>
      </c>
      <c r="G7" s="11" t="s">
        <v>18</v>
      </c>
      <c r="H7" s="11" t="s">
        <v>17</v>
      </c>
      <c r="I7" s="11" t="s">
        <v>18</v>
      </c>
      <c r="J7" s="7"/>
      <c r="K7" s="11" t="s">
        <v>17</v>
      </c>
      <c r="L7" s="11" t="s">
        <v>18</v>
      </c>
      <c r="M7" s="11" t="s">
        <v>17</v>
      </c>
      <c r="N7" s="11" t="s">
        <v>18</v>
      </c>
      <c r="O7" s="11" t="s">
        <v>17</v>
      </c>
      <c r="P7" s="11" t="s">
        <v>18</v>
      </c>
      <c r="Q7" s="7"/>
      <c r="R7" s="11" t="s">
        <v>17</v>
      </c>
      <c r="S7" s="11" t="s">
        <v>18</v>
      </c>
      <c r="T7" s="11" t="s">
        <v>17</v>
      </c>
      <c r="U7" s="11" t="s">
        <v>18</v>
      </c>
      <c r="V7" s="11" t="s">
        <v>17</v>
      </c>
      <c r="W7" s="11" t="s">
        <v>18</v>
      </c>
      <c r="X7" s="186"/>
      <c r="Y7" s="11" t="s">
        <v>17</v>
      </c>
      <c r="Z7" s="11" t="s">
        <v>18</v>
      </c>
      <c r="AA7" s="11" t="s">
        <v>17</v>
      </c>
      <c r="AB7" s="11" t="s">
        <v>18</v>
      </c>
      <c r="AC7" s="200"/>
      <c r="AD7" s="11" t="s">
        <v>17</v>
      </c>
      <c r="AE7" s="11" t="s">
        <v>18</v>
      </c>
      <c r="AF7" s="11" t="s">
        <v>17</v>
      </c>
      <c r="AG7" s="11" t="s">
        <v>18</v>
      </c>
      <c r="AH7" s="11" t="s">
        <v>17</v>
      </c>
      <c r="AI7" s="11" t="s">
        <v>18</v>
      </c>
      <c r="AJ7" s="200"/>
      <c r="AK7" s="11" t="s">
        <v>17</v>
      </c>
      <c r="AL7" s="11" t="s">
        <v>18</v>
      </c>
      <c r="AM7" s="11" t="s">
        <v>17</v>
      </c>
      <c r="AN7" s="11" t="s">
        <v>18</v>
      </c>
      <c r="AO7" s="11" t="s">
        <v>17</v>
      </c>
      <c r="AP7" s="11" t="s">
        <v>18</v>
      </c>
      <c r="AQ7" s="200"/>
      <c r="AR7" s="11" t="s">
        <v>17</v>
      </c>
      <c r="AS7" s="11" t="s">
        <v>18</v>
      </c>
      <c r="AT7" s="11" t="s">
        <v>17</v>
      </c>
      <c r="AU7" s="11" t="s">
        <v>18</v>
      </c>
      <c r="AV7" s="11" t="s">
        <v>17</v>
      </c>
      <c r="AW7" s="11" t="s">
        <v>18</v>
      </c>
      <c r="AX7" s="11" t="s">
        <v>17</v>
      </c>
      <c r="AY7" s="11" t="s">
        <v>18</v>
      </c>
      <c r="AZ7" s="200"/>
      <c r="BA7" s="11" t="s">
        <v>17</v>
      </c>
      <c r="BB7" s="11" t="s">
        <v>18</v>
      </c>
      <c r="BC7" s="11" t="s">
        <v>17</v>
      </c>
      <c r="BD7" s="11" t="s">
        <v>18</v>
      </c>
      <c r="BE7" s="11" t="s">
        <v>17</v>
      </c>
      <c r="BF7" s="11" t="s">
        <v>18</v>
      </c>
      <c r="BG7" s="186"/>
      <c r="BH7" s="11" t="s">
        <v>17</v>
      </c>
      <c r="BI7" s="11" t="s">
        <v>18</v>
      </c>
      <c r="BJ7" s="11" t="s">
        <v>17</v>
      </c>
      <c r="BK7" s="11" t="s">
        <v>18</v>
      </c>
      <c r="BL7" s="7"/>
      <c r="BM7" s="11" t="s">
        <v>17</v>
      </c>
      <c r="BN7" s="11" t="s">
        <v>18</v>
      </c>
      <c r="BO7" s="214"/>
      <c r="BP7" s="11" t="s">
        <v>17</v>
      </c>
      <c r="BQ7" s="11" t="s">
        <v>18</v>
      </c>
      <c r="BR7" s="11" t="s">
        <v>17</v>
      </c>
      <c r="BS7" s="11" t="s">
        <v>18</v>
      </c>
      <c r="BT7" s="200"/>
      <c r="BU7" s="195"/>
      <c r="BV7" s="191"/>
      <c r="BW7" s="200"/>
      <c r="BX7" s="195"/>
      <c r="BY7" s="191"/>
      <c r="BZ7" s="197"/>
      <c r="CA7" s="186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</row>
    <row r="8" spans="1:97" ht="19.5" customHeight="1">
      <c r="A8" s="189" t="s">
        <v>19</v>
      </c>
      <c r="B8" s="190"/>
      <c r="C8" s="191"/>
      <c r="D8" s="13" t="s">
        <v>463</v>
      </c>
      <c r="E8" s="197"/>
      <c r="F8" s="185" t="s">
        <v>21</v>
      </c>
      <c r="G8" s="188" t="s">
        <v>22</v>
      </c>
      <c r="H8" s="185" t="s">
        <v>21</v>
      </c>
      <c r="I8" s="188" t="s">
        <v>23</v>
      </c>
      <c r="J8" s="7"/>
      <c r="K8" s="185" t="s">
        <v>21</v>
      </c>
      <c r="L8" s="188" t="s">
        <v>24</v>
      </c>
      <c r="M8" s="185" t="s">
        <v>21</v>
      </c>
      <c r="N8" s="188" t="s">
        <v>25</v>
      </c>
      <c r="O8" s="185" t="s">
        <v>21</v>
      </c>
      <c r="P8" s="188" t="s">
        <v>26</v>
      </c>
      <c r="Q8" s="7"/>
      <c r="R8" s="185" t="s">
        <v>21</v>
      </c>
      <c r="S8" s="188" t="s">
        <v>27</v>
      </c>
      <c r="T8" s="185" t="s">
        <v>21</v>
      </c>
      <c r="U8" s="188" t="s">
        <v>28</v>
      </c>
      <c r="V8" s="185" t="s">
        <v>21</v>
      </c>
      <c r="W8" s="188" t="s">
        <v>29</v>
      </c>
      <c r="X8" s="186"/>
      <c r="Y8" s="185" t="s">
        <v>21</v>
      </c>
      <c r="Z8" s="223" t="s">
        <v>30</v>
      </c>
      <c r="AA8" s="185" t="s">
        <v>21</v>
      </c>
      <c r="AB8" s="225" t="s">
        <v>31</v>
      </c>
      <c r="AC8" s="200"/>
      <c r="AD8" s="185" t="s">
        <v>21</v>
      </c>
      <c r="AE8" s="188" t="s">
        <v>32</v>
      </c>
      <c r="AF8" s="185" t="s">
        <v>21</v>
      </c>
      <c r="AG8" s="188" t="s">
        <v>33</v>
      </c>
      <c r="AH8" s="185" t="s">
        <v>21</v>
      </c>
      <c r="AI8" s="188" t="s">
        <v>34</v>
      </c>
      <c r="AJ8" s="200"/>
      <c r="AK8" s="185" t="s">
        <v>21</v>
      </c>
      <c r="AL8" s="188" t="s">
        <v>35</v>
      </c>
      <c r="AM8" s="185" t="s">
        <v>21</v>
      </c>
      <c r="AN8" s="188" t="s">
        <v>36</v>
      </c>
      <c r="AO8" s="185" t="s">
        <v>21</v>
      </c>
      <c r="AP8" s="188" t="s">
        <v>37</v>
      </c>
      <c r="AQ8" s="200"/>
      <c r="AR8" s="185" t="s">
        <v>21</v>
      </c>
      <c r="AS8" s="188" t="s">
        <v>38</v>
      </c>
      <c r="AT8" s="185" t="s">
        <v>21</v>
      </c>
      <c r="AU8" s="188" t="s">
        <v>39</v>
      </c>
      <c r="AV8" s="185" t="s">
        <v>21</v>
      </c>
      <c r="AW8" s="188" t="s">
        <v>40</v>
      </c>
      <c r="AX8" s="185" t="s">
        <v>21</v>
      </c>
      <c r="AY8" s="188" t="s">
        <v>41</v>
      </c>
      <c r="AZ8" s="200"/>
      <c r="BA8" s="185" t="s">
        <v>21</v>
      </c>
      <c r="BB8" s="188" t="s">
        <v>42</v>
      </c>
      <c r="BC8" s="185" t="s">
        <v>21</v>
      </c>
      <c r="BD8" s="188" t="s">
        <v>43</v>
      </c>
      <c r="BE8" s="185" t="s">
        <v>21</v>
      </c>
      <c r="BF8" s="188" t="s">
        <v>44</v>
      </c>
      <c r="BG8" s="186"/>
      <c r="BH8" s="185" t="s">
        <v>21</v>
      </c>
      <c r="BI8" s="188" t="s">
        <v>45</v>
      </c>
      <c r="BJ8" s="185" t="s">
        <v>21</v>
      </c>
      <c r="BK8" s="188" t="s">
        <v>46</v>
      </c>
      <c r="BL8" s="7"/>
      <c r="BM8" s="185" t="s">
        <v>21</v>
      </c>
      <c r="BN8" s="188" t="s">
        <v>47</v>
      </c>
      <c r="BO8" s="186"/>
      <c r="BP8" s="185" t="s">
        <v>21</v>
      </c>
      <c r="BQ8" s="188" t="s">
        <v>48</v>
      </c>
      <c r="BR8" s="185" t="s">
        <v>21</v>
      </c>
      <c r="BS8" s="188" t="s">
        <v>49</v>
      </c>
      <c r="BT8" s="200"/>
      <c r="BU8" s="188" t="s">
        <v>50</v>
      </c>
      <c r="BV8" s="188" t="s">
        <v>51</v>
      </c>
      <c r="BW8" s="200"/>
      <c r="BX8" s="188" t="s">
        <v>50</v>
      </c>
      <c r="BY8" s="188" t="s">
        <v>51</v>
      </c>
      <c r="BZ8" s="197"/>
      <c r="CA8" s="186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</row>
    <row r="9" spans="1:97" ht="19.5" customHeight="1">
      <c r="A9" s="189" t="s">
        <v>52</v>
      </c>
      <c r="B9" s="190"/>
      <c r="C9" s="191"/>
      <c r="D9" s="13">
        <v>2023</v>
      </c>
      <c r="E9" s="197"/>
      <c r="F9" s="186"/>
      <c r="G9" s="186"/>
      <c r="H9" s="186"/>
      <c r="I9" s="186"/>
      <c r="J9" s="7"/>
      <c r="K9" s="186"/>
      <c r="L9" s="186"/>
      <c r="M9" s="186"/>
      <c r="N9" s="186"/>
      <c r="O9" s="186"/>
      <c r="P9" s="186"/>
      <c r="Q9" s="7"/>
      <c r="R9" s="186"/>
      <c r="S9" s="186"/>
      <c r="T9" s="186"/>
      <c r="U9" s="186"/>
      <c r="V9" s="186"/>
      <c r="W9" s="186"/>
      <c r="X9" s="186"/>
      <c r="Y9" s="186"/>
      <c r="Z9" s="224"/>
      <c r="AA9" s="186"/>
      <c r="AB9" s="184"/>
      <c r="AC9" s="200"/>
      <c r="AD9" s="186"/>
      <c r="AE9" s="186"/>
      <c r="AF9" s="186"/>
      <c r="AG9" s="186"/>
      <c r="AH9" s="186"/>
      <c r="AI9" s="186"/>
      <c r="AJ9" s="200"/>
      <c r="AK9" s="186"/>
      <c r="AL9" s="186"/>
      <c r="AM9" s="186"/>
      <c r="AN9" s="186"/>
      <c r="AO9" s="186"/>
      <c r="AP9" s="186"/>
      <c r="AQ9" s="200"/>
      <c r="AR9" s="186"/>
      <c r="AS9" s="186"/>
      <c r="AT9" s="186"/>
      <c r="AU9" s="186"/>
      <c r="AV9" s="186"/>
      <c r="AW9" s="186"/>
      <c r="AX9" s="186"/>
      <c r="AY9" s="186"/>
      <c r="AZ9" s="200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7"/>
      <c r="BM9" s="186"/>
      <c r="BN9" s="186"/>
      <c r="BO9" s="186"/>
      <c r="BP9" s="186"/>
      <c r="BQ9" s="186"/>
      <c r="BR9" s="186"/>
      <c r="BS9" s="186"/>
      <c r="BT9" s="200"/>
      <c r="BU9" s="186"/>
      <c r="BV9" s="186"/>
      <c r="BW9" s="200"/>
      <c r="BX9" s="186"/>
      <c r="BY9" s="186"/>
      <c r="BZ9" s="197"/>
      <c r="CA9" s="186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</row>
    <row r="10" spans="1:97" ht="19.5" customHeight="1">
      <c r="A10" s="215" t="s">
        <v>224</v>
      </c>
      <c r="B10" s="191"/>
      <c r="C10" s="215" t="s">
        <v>464</v>
      </c>
      <c r="D10" s="191"/>
      <c r="E10" s="197"/>
      <c r="F10" s="186"/>
      <c r="G10" s="186"/>
      <c r="H10" s="186"/>
      <c r="I10" s="186"/>
      <c r="J10" s="7"/>
      <c r="K10" s="186"/>
      <c r="L10" s="186"/>
      <c r="M10" s="186"/>
      <c r="N10" s="186"/>
      <c r="O10" s="186"/>
      <c r="P10" s="186"/>
      <c r="Q10" s="7"/>
      <c r="R10" s="186"/>
      <c r="S10" s="186"/>
      <c r="T10" s="186"/>
      <c r="U10" s="186"/>
      <c r="V10" s="186"/>
      <c r="W10" s="186"/>
      <c r="X10" s="186"/>
      <c r="Y10" s="186"/>
      <c r="Z10" s="224"/>
      <c r="AA10" s="186"/>
      <c r="AB10" s="184"/>
      <c r="AC10" s="200"/>
      <c r="AD10" s="186"/>
      <c r="AE10" s="186"/>
      <c r="AF10" s="186"/>
      <c r="AG10" s="186"/>
      <c r="AH10" s="186"/>
      <c r="AI10" s="186"/>
      <c r="AJ10" s="200"/>
      <c r="AK10" s="186"/>
      <c r="AL10" s="186"/>
      <c r="AM10" s="186"/>
      <c r="AN10" s="186"/>
      <c r="AO10" s="186"/>
      <c r="AP10" s="186"/>
      <c r="AQ10" s="200"/>
      <c r="AR10" s="186"/>
      <c r="AS10" s="186"/>
      <c r="AT10" s="186"/>
      <c r="AU10" s="186"/>
      <c r="AV10" s="186"/>
      <c r="AW10" s="186"/>
      <c r="AX10" s="186"/>
      <c r="AY10" s="186"/>
      <c r="AZ10" s="20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7"/>
      <c r="BM10" s="186"/>
      <c r="BN10" s="186"/>
      <c r="BO10" s="186"/>
      <c r="BP10" s="186"/>
      <c r="BQ10" s="186"/>
      <c r="BR10" s="186"/>
      <c r="BS10" s="186"/>
      <c r="BT10" s="200"/>
      <c r="BU10" s="186"/>
      <c r="BV10" s="186"/>
      <c r="BW10" s="200"/>
      <c r="BX10" s="186"/>
      <c r="BY10" s="186"/>
      <c r="BZ10" s="197"/>
      <c r="CA10" s="186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</row>
    <row r="11" spans="1:97" ht="19.5" customHeight="1">
      <c r="A11" s="216" t="s">
        <v>55</v>
      </c>
      <c r="B11" s="217" t="s">
        <v>56</v>
      </c>
      <c r="C11" s="204"/>
      <c r="D11" s="218"/>
      <c r="E11" s="197"/>
      <c r="F11" s="186"/>
      <c r="G11" s="187"/>
      <c r="H11" s="186"/>
      <c r="I11" s="187"/>
      <c r="J11" s="17"/>
      <c r="K11" s="186"/>
      <c r="L11" s="187"/>
      <c r="M11" s="186"/>
      <c r="N11" s="187"/>
      <c r="O11" s="186"/>
      <c r="P11" s="187"/>
      <c r="Q11" s="17"/>
      <c r="R11" s="186"/>
      <c r="S11" s="187"/>
      <c r="T11" s="186"/>
      <c r="U11" s="187"/>
      <c r="V11" s="186"/>
      <c r="W11" s="187"/>
      <c r="X11" s="186"/>
      <c r="Y11" s="186"/>
      <c r="Z11" s="224"/>
      <c r="AA11" s="186"/>
      <c r="AB11" s="184"/>
      <c r="AC11" s="200"/>
      <c r="AD11" s="186"/>
      <c r="AE11" s="187"/>
      <c r="AF11" s="186"/>
      <c r="AG11" s="187"/>
      <c r="AH11" s="186"/>
      <c r="AI11" s="187"/>
      <c r="AJ11" s="200"/>
      <c r="AK11" s="186"/>
      <c r="AL11" s="187"/>
      <c r="AM11" s="186"/>
      <c r="AN11" s="187"/>
      <c r="AO11" s="186"/>
      <c r="AP11" s="187"/>
      <c r="AQ11" s="200"/>
      <c r="AR11" s="186"/>
      <c r="AS11" s="187"/>
      <c r="AT11" s="186"/>
      <c r="AU11" s="187"/>
      <c r="AV11" s="186"/>
      <c r="AW11" s="187"/>
      <c r="AX11" s="186"/>
      <c r="AY11" s="187"/>
      <c r="AZ11" s="200"/>
      <c r="BA11" s="186"/>
      <c r="BB11" s="187"/>
      <c r="BC11" s="186"/>
      <c r="BD11" s="187"/>
      <c r="BE11" s="186"/>
      <c r="BF11" s="187"/>
      <c r="BG11" s="186"/>
      <c r="BH11" s="186"/>
      <c r="BI11" s="187"/>
      <c r="BJ11" s="186"/>
      <c r="BK11" s="187"/>
      <c r="BL11" s="202"/>
      <c r="BM11" s="186"/>
      <c r="BN11" s="187"/>
      <c r="BO11" s="186"/>
      <c r="BP11" s="186"/>
      <c r="BQ11" s="187"/>
      <c r="BR11" s="186"/>
      <c r="BS11" s="187"/>
      <c r="BT11" s="200"/>
      <c r="BU11" s="187"/>
      <c r="BV11" s="187"/>
      <c r="BW11" s="200"/>
      <c r="BX11" s="187"/>
      <c r="BY11" s="187"/>
      <c r="BZ11" s="197"/>
      <c r="CA11" s="186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</row>
    <row r="12" spans="1:97" ht="31.5" customHeight="1">
      <c r="A12" s="187"/>
      <c r="B12" s="219"/>
      <c r="C12" s="220"/>
      <c r="D12" s="221"/>
      <c r="E12" s="197"/>
      <c r="F12" s="187"/>
      <c r="G12" s="18" t="s">
        <v>57</v>
      </c>
      <c r="H12" s="187"/>
      <c r="I12" s="19" t="s">
        <v>57</v>
      </c>
      <c r="J12" s="17"/>
      <c r="K12" s="187"/>
      <c r="L12" s="86" t="s">
        <v>57</v>
      </c>
      <c r="M12" s="187"/>
      <c r="N12" s="18" t="s">
        <v>57</v>
      </c>
      <c r="O12" s="187"/>
      <c r="P12" s="18" t="s">
        <v>57</v>
      </c>
      <c r="Q12" s="17"/>
      <c r="R12" s="187"/>
      <c r="S12" s="86" t="s">
        <v>57</v>
      </c>
      <c r="T12" s="187"/>
      <c r="U12" s="18" t="s">
        <v>57</v>
      </c>
      <c r="V12" s="187"/>
      <c r="W12" s="86" t="s">
        <v>57</v>
      </c>
      <c r="X12" s="186"/>
      <c r="Y12" s="187"/>
      <c r="Z12" s="19" t="s">
        <v>57</v>
      </c>
      <c r="AA12" s="187"/>
      <c r="AB12" s="19" t="s">
        <v>58</v>
      </c>
      <c r="AC12" s="200"/>
      <c r="AD12" s="187"/>
      <c r="AE12" s="20" t="s">
        <v>58</v>
      </c>
      <c r="AF12" s="187"/>
      <c r="AG12" s="21" t="s">
        <v>58</v>
      </c>
      <c r="AH12" s="187"/>
      <c r="AI12" s="22" t="s">
        <v>58</v>
      </c>
      <c r="AJ12" s="200"/>
      <c r="AK12" s="187"/>
      <c r="AL12" s="19" t="s">
        <v>58</v>
      </c>
      <c r="AM12" s="187"/>
      <c r="AN12" s="117" t="s">
        <v>58</v>
      </c>
      <c r="AO12" s="187"/>
      <c r="AP12" s="117" t="s">
        <v>58</v>
      </c>
      <c r="AQ12" s="200"/>
      <c r="AR12" s="187"/>
      <c r="AS12" s="18" t="s">
        <v>57</v>
      </c>
      <c r="AT12" s="187"/>
      <c r="AU12" s="18" t="s">
        <v>57</v>
      </c>
      <c r="AV12" s="187"/>
      <c r="AW12" s="18" t="s">
        <v>57</v>
      </c>
      <c r="AX12" s="187"/>
      <c r="AY12" s="18" t="s">
        <v>57</v>
      </c>
      <c r="AZ12" s="200"/>
      <c r="BA12" s="187"/>
      <c r="BB12" s="18" t="s">
        <v>57</v>
      </c>
      <c r="BC12" s="187"/>
      <c r="BD12" s="18" t="s">
        <v>57</v>
      </c>
      <c r="BE12" s="187"/>
      <c r="BF12" s="18" t="s">
        <v>57</v>
      </c>
      <c r="BG12" s="186"/>
      <c r="BH12" s="187"/>
      <c r="BI12" s="18" t="s">
        <v>57</v>
      </c>
      <c r="BJ12" s="187"/>
      <c r="BK12" s="18" t="s">
        <v>57</v>
      </c>
      <c r="BL12" s="200"/>
      <c r="BM12" s="187"/>
      <c r="BN12" s="18" t="s">
        <v>57</v>
      </c>
      <c r="BO12" s="186"/>
      <c r="BP12" s="187"/>
      <c r="BQ12" s="86" t="s">
        <v>57</v>
      </c>
      <c r="BR12" s="187"/>
      <c r="BS12" s="18" t="s">
        <v>57</v>
      </c>
      <c r="BT12" s="200"/>
      <c r="BU12" s="18" t="s">
        <v>59</v>
      </c>
      <c r="BV12" s="18" t="s">
        <v>59</v>
      </c>
      <c r="BW12" s="200"/>
      <c r="BX12" s="18" t="s">
        <v>60</v>
      </c>
      <c r="BY12" s="18" t="s">
        <v>60</v>
      </c>
      <c r="BZ12" s="197"/>
      <c r="CA12" s="187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</row>
    <row r="13" spans="1:97" ht="24.75" customHeight="1">
      <c r="A13" s="24">
        <v>1</v>
      </c>
      <c r="B13" s="25" t="s">
        <v>465</v>
      </c>
      <c r="C13" s="96" t="s">
        <v>466</v>
      </c>
      <c r="D13" s="96" t="s">
        <v>467</v>
      </c>
      <c r="E13" s="197"/>
      <c r="F13" s="27" t="s">
        <v>102</v>
      </c>
      <c r="G13" s="42" t="s">
        <v>240</v>
      </c>
      <c r="H13" s="27" t="s">
        <v>102</v>
      </c>
      <c r="I13" s="42" t="s">
        <v>240</v>
      </c>
      <c r="J13" s="29"/>
      <c r="K13" s="27" t="s">
        <v>64</v>
      </c>
      <c r="L13" s="30" t="s">
        <v>67</v>
      </c>
      <c r="M13" s="27" t="s">
        <v>64</v>
      </c>
      <c r="N13" s="30" t="s">
        <v>67</v>
      </c>
      <c r="O13" s="27" t="s">
        <v>64</v>
      </c>
      <c r="P13" s="30" t="s">
        <v>67</v>
      </c>
      <c r="Q13" s="17"/>
      <c r="R13" s="27" t="s">
        <v>64</v>
      </c>
      <c r="S13" s="32" t="s">
        <v>468</v>
      </c>
      <c r="T13" s="33" t="s">
        <v>64</v>
      </c>
      <c r="U13" s="32" t="s">
        <v>115</v>
      </c>
      <c r="V13" s="33" t="s">
        <v>20</v>
      </c>
      <c r="W13" s="32" t="s">
        <v>71</v>
      </c>
      <c r="X13" s="186"/>
      <c r="Y13" s="33" t="s">
        <v>20</v>
      </c>
      <c r="Z13" s="28" t="s">
        <v>73</v>
      </c>
      <c r="AA13" s="27" t="s">
        <v>20</v>
      </c>
      <c r="AB13" s="28" t="s">
        <v>74</v>
      </c>
      <c r="AC13" s="200"/>
      <c r="AD13" s="27" t="s">
        <v>72</v>
      </c>
      <c r="AE13" s="28" t="s">
        <v>326</v>
      </c>
      <c r="AF13" s="27" t="s">
        <v>72</v>
      </c>
      <c r="AG13" s="28" t="s">
        <v>326</v>
      </c>
      <c r="AH13" s="27" t="s">
        <v>72</v>
      </c>
      <c r="AI13" s="28" t="s">
        <v>326</v>
      </c>
      <c r="AJ13" s="200"/>
      <c r="AK13" s="27" t="s">
        <v>20</v>
      </c>
      <c r="AL13" s="35" t="s">
        <v>469</v>
      </c>
      <c r="AM13" s="27" t="s">
        <v>20</v>
      </c>
      <c r="AN13" s="35" t="s">
        <v>470</v>
      </c>
      <c r="AO13" s="27" t="s">
        <v>64</v>
      </c>
      <c r="AP13" s="35" t="s">
        <v>471</v>
      </c>
      <c r="AQ13" s="200"/>
      <c r="AR13" s="27" t="s">
        <v>20</v>
      </c>
      <c r="AS13" s="28" t="s">
        <v>472</v>
      </c>
      <c r="AT13" s="27" t="s">
        <v>20</v>
      </c>
      <c r="AU13" s="28" t="s">
        <v>473</v>
      </c>
      <c r="AV13" s="27" t="s">
        <v>20</v>
      </c>
      <c r="AW13" s="28" t="s">
        <v>474</v>
      </c>
      <c r="AX13" s="27" t="s">
        <v>20</v>
      </c>
      <c r="AY13" s="28" t="s">
        <v>475</v>
      </c>
      <c r="AZ13" s="200"/>
      <c r="BA13" s="27" t="s">
        <v>64</v>
      </c>
      <c r="BB13" s="28" t="s">
        <v>85</v>
      </c>
      <c r="BC13" s="27" t="s">
        <v>64</v>
      </c>
      <c r="BD13" s="28" t="s">
        <v>86</v>
      </c>
      <c r="BE13" s="27" t="s">
        <v>64</v>
      </c>
      <c r="BF13" s="28" t="s">
        <v>145</v>
      </c>
      <c r="BG13" s="186"/>
      <c r="BH13" s="27" t="s">
        <v>102</v>
      </c>
      <c r="BI13" s="38" t="s">
        <v>108</v>
      </c>
      <c r="BJ13" s="27" t="s">
        <v>102</v>
      </c>
      <c r="BK13" s="38" t="s">
        <v>108</v>
      </c>
      <c r="BL13" s="200"/>
      <c r="BM13" s="27" t="s">
        <v>20</v>
      </c>
      <c r="BN13" s="28" t="s">
        <v>476</v>
      </c>
      <c r="BO13" s="186"/>
      <c r="BP13" s="27" t="s">
        <v>64</v>
      </c>
      <c r="BQ13" s="118" t="s">
        <v>477</v>
      </c>
      <c r="BR13" s="27" t="s">
        <v>64</v>
      </c>
      <c r="BS13" s="28" t="s">
        <v>109</v>
      </c>
      <c r="BT13" s="200"/>
      <c r="BU13" s="40"/>
      <c r="BV13" s="28">
        <v>1</v>
      </c>
      <c r="BW13" s="200"/>
      <c r="BX13" s="40"/>
      <c r="BY13" s="28">
        <v>1</v>
      </c>
      <c r="BZ13" s="197"/>
      <c r="CA13" s="41" t="s">
        <v>20</v>
      </c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</row>
    <row r="14" spans="1:97" ht="24.75" customHeight="1">
      <c r="A14" s="24">
        <v>2</v>
      </c>
      <c r="B14" s="119" t="s">
        <v>478</v>
      </c>
      <c r="C14" s="120" t="s">
        <v>310</v>
      </c>
      <c r="D14" s="121" t="s">
        <v>479</v>
      </c>
      <c r="E14" s="197"/>
      <c r="F14" s="27" t="s">
        <v>102</v>
      </c>
      <c r="G14" s="42" t="s">
        <v>240</v>
      </c>
      <c r="H14" s="27" t="s">
        <v>64</v>
      </c>
      <c r="I14" s="42" t="s">
        <v>241</v>
      </c>
      <c r="J14" s="29"/>
      <c r="K14" s="27" t="s">
        <v>64</v>
      </c>
      <c r="L14" s="30" t="s">
        <v>67</v>
      </c>
      <c r="M14" s="27" t="s">
        <v>20</v>
      </c>
      <c r="N14" s="31" t="s">
        <v>68</v>
      </c>
      <c r="O14" s="27" t="s">
        <v>64</v>
      </c>
      <c r="P14" s="30" t="s">
        <v>67</v>
      </c>
      <c r="Q14" s="17"/>
      <c r="R14" s="27" t="s">
        <v>64</v>
      </c>
      <c r="S14" s="35" t="s">
        <v>480</v>
      </c>
      <c r="T14" s="33" t="s">
        <v>64</v>
      </c>
      <c r="U14" s="32" t="s">
        <v>115</v>
      </c>
      <c r="V14" s="33" t="s">
        <v>64</v>
      </c>
      <c r="W14" s="50"/>
      <c r="X14" s="186"/>
      <c r="Y14" s="27" t="s">
        <v>20</v>
      </c>
      <c r="Z14" s="28" t="s">
        <v>73</v>
      </c>
      <c r="AA14" s="27" t="s">
        <v>64</v>
      </c>
      <c r="AB14" s="28" t="s">
        <v>97</v>
      </c>
      <c r="AC14" s="200"/>
      <c r="AD14" s="27" t="s">
        <v>20</v>
      </c>
      <c r="AE14" s="93" t="s">
        <v>327</v>
      </c>
      <c r="AF14" s="27" t="s">
        <v>20</v>
      </c>
      <c r="AG14" s="93" t="s">
        <v>327</v>
      </c>
      <c r="AH14" s="27" t="s">
        <v>20</v>
      </c>
      <c r="AI14" s="93" t="s">
        <v>327</v>
      </c>
      <c r="AJ14" s="200"/>
      <c r="AK14" s="27" t="s">
        <v>64</v>
      </c>
      <c r="AL14" s="35" t="s">
        <v>481</v>
      </c>
      <c r="AM14" s="27" t="s">
        <v>102</v>
      </c>
      <c r="AN14" s="35" t="s">
        <v>482</v>
      </c>
      <c r="AO14" s="27" t="s">
        <v>102</v>
      </c>
      <c r="AP14" s="35" t="s">
        <v>482</v>
      </c>
      <c r="AQ14" s="200"/>
      <c r="AR14" s="27" t="s">
        <v>64</v>
      </c>
      <c r="AS14" s="28" t="s">
        <v>483</v>
      </c>
      <c r="AT14" s="27" t="s">
        <v>64</v>
      </c>
      <c r="AU14" s="28" t="s">
        <v>484</v>
      </c>
      <c r="AV14" s="27" t="s">
        <v>64</v>
      </c>
      <c r="AW14" s="28" t="s">
        <v>485</v>
      </c>
      <c r="AX14" s="27" t="s">
        <v>64</v>
      </c>
      <c r="AY14" s="28" t="s">
        <v>486</v>
      </c>
      <c r="AZ14" s="200"/>
      <c r="BA14" s="27" t="s">
        <v>102</v>
      </c>
      <c r="BB14" s="28" t="s">
        <v>106</v>
      </c>
      <c r="BC14" s="27" t="s">
        <v>64</v>
      </c>
      <c r="BD14" s="28" t="s">
        <v>86</v>
      </c>
      <c r="BE14" s="27" t="s">
        <v>64</v>
      </c>
      <c r="BF14" s="28" t="s">
        <v>145</v>
      </c>
      <c r="BG14" s="186"/>
      <c r="BH14" s="27" t="s">
        <v>102</v>
      </c>
      <c r="BI14" s="38" t="s">
        <v>108</v>
      </c>
      <c r="BJ14" s="27" t="s">
        <v>64</v>
      </c>
      <c r="BK14" s="38" t="s">
        <v>89</v>
      </c>
      <c r="BL14" s="200"/>
      <c r="BM14" s="27" t="s">
        <v>20</v>
      </c>
      <c r="BN14" s="35" t="s">
        <v>487</v>
      </c>
      <c r="BO14" s="186"/>
      <c r="BP14" s="27" t="s">
        <v>20</v>
      </c>
      <c r="BQ14" s="28" t="s">
        <v>488</v>
      </c>
      <c r="BR14" s="27" t="s">
        <v>20</v>
      </c>
      <c r="BS14" s="28" t="s">
        <v>92</v>
      </c>
      <c r="BT14" s="200"/>
      <c r="BU14" s="40"/>
      <c r="BV14" s="28">
        <v>2</v>
      </c>
      <c r="BW14" s="200"/>
      <c r="BX14" s="40"/>
      <c r="BY14" s="40"/>
      <c r="BZ14" s="197"/>
      <c r="CA14" s="41" t="s">
        <v>20</v>
      </c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</row>
    <row r="15" spans="1:97" ht="24.75" customHeight="1">
      <c r="A15" s="24">
        <v>3</v>
      </c>
      <c r="B15" s="56" t="s">
        <v>251</v>
      </c>
      <c r="C15" s="56" t="s">
        <v>448</v>
      </c>
      <c r="D15" s="56" t="s">
        <v>489</v>
      </c>
      <c r="E15" s="197"/>
      <c r="F15" s="27" t="s">
        <v>64</v>
      </c>
      <c r="G15" s="42" t="s">
        <v>241</v>
      </c>
      <c r="H15" s="27" t="s">
        <v>64</v>
      </c>
      <c r="I15" s="48" t="s">
        <v>241</v>
      </c>
      <c r="J15" s="29"/>
      <c r="K15" s="27" t="s">
        <v>102</v>
      </c>
      <c r="L15" s="28" t="s">
        <v>103</v>
      </c>
      <c r="M15" s="27" t="s">
        <v>102</v>
      </c>
      <c r="N15" s="28" t="s">
        <v>103</v>
      </c>
      <c r="O15" s="27" t="s">
        <v>102</v>
      </c>
      <c r="P15" s="28" t="s">
        <v>103</v>
      </c>
      <c r="Q15" s="17"/>
      <c r="R15" s="27" t="s">
        <v>64</v>
      </c>
      <c r="S15" s="35" t="s">
        <v>480</v>
      </c>
      <c r="T15" s="33" t="s">
        <v>64</v>
      </c>
      <c r="U15" s="32" t="s">
        <v>115</v>
      </c>
      <c r="V15" s="33" t="s">
        <v>64</v>
      </c>
      <c r="W15" s="50"/>
      <c r="X15" s="186"/>
      <c r="Y15" s="27" t="s">
        <v>64</v>
      </c>
      <c r="Z15" s="28" t="s">
        <v>97</v>
      </c>
      <c r="AA15" s="27" t="s">
        <v>64</v>
      </c>
      <c r="AB15" s="28" t="s">
        <v>97</v>
      </c>
      <c r="AC15" s="200"/>
      <c r="AD15" s="27" t="s">
        <v>20</v>
      </c>
      <c r="AE15" s="93" t="s">
        <v>327</v>
      </c>
      <c r="AF15" s="27" t="s">
        <v>20</v>
      </c>
      <c r="AG15" s="93" t="s">
        <v>327</v>
      </c>
      <c r="AH15" s="27" t="s">
        <v>20</v>
      </c>
      <c r="AI15" s="93" t="s">
        <v>327</v>
      </c>
      <c r="AJ15" s="200"/>
      <c r="AK15" s="27" t="s">
        <v>102</v>
      </c>
      <c r="AL15" s="50"/>
      <c r="AM15" s="27" t="s">
        <v>102</v>
      </c>
      <c r="AN15" s="122" t="s">
        <v>482</v>
      </c>
      <c r="AO15" s="27" t="s">
        <v>102</v>
      </c>
      <c r="AP15" s="35" t="s">
        <v>482</v>
      </c>
      <c r="AQ15" s="200"/>
      <c r="AR15" s="27" t="s">
        <v>102</v>
      </c>
      <c r="AS15" s="28" t="s">
        <v>490</v>
      </c>
      <c r="AT15" s="27" t="s">
        <v>102</v>
      </c>
      <c r="AU15" s="28" t="s">
        <v>491</v>
      </c>
      <c r="AV15" s="27" t="s">
        <v>102</v>
      </c>
      <c r="AW15" s="28" t="s">
        <v>492</v>
      </c>
      <c r="AX15" s="27" t="s">
        <v>102</v>
      </c>
      <c r="AY15" s="28" t="s">
        <v>493</v>
      </c>
      <c r="AZ15" s="200"/>
      <c r="BA15" s="27" t="s">
        <v>64</v>
      </c>
      <c r="BB15" s="28" t="s">
        <v>85</v>
      </c>
      <c r="BC15" s="27" t="s">
        <v>64</v>
      </c>
      <c r="BD15" s="28" t="s">
        <v>86</v>
      </c>
      <c r="BE15" s="27" t="s">
        <v>64</v>
      </c>
      <c r="BF15" s="28" t="s">
        <v>145</v>
      </c>
      <c r="BG15" s="186"/>
      <c r="BH15" s="27" t="s">
        <v>64</v>
      </c>
      <c r="BI15" s="35" t="s">
        <v>88</v>
      </c>
      <c r="BJ15" s="27" t="s">
        <v>64</v>
      </c>
      <c r="BK15" s="38" t="s">
        <v>89</v>
      </c>
      <c r="BL15" s="200"/>
      <c r="BM15" s="27" t="s">
        <v>20</v>
      </c>
      <c r="BN15" s="28" t="s">
        <v>476</v>
      </c>
      <c r="BO15" s="186"/>
      <c r="BP15" s="27" t="s">
        <v>20</v>
      </c>
      <c r="BQ15" s="28" t="s">
        <v>488</v>
      </c>
      <c r="BR15" s="27" t="s">
        <v>20</v>
      </c>
      <c r="BS15" s="28" t="s">
        <v>92</v>
      </c>
      <c r="BT15" s="200"/>
      <c r="BU15" s="40"/>
      <c r="BV15" s="40"/>
      <c r="BW15" s="200"/>
      <c r="BX15" s="40"/>
      <c r="BY15" s="28">
        <v>3</v>
      </c>
      <c r="BZ15" s="197"/>
      <c r="CA15" s="41" t="s">
        <v>20</v>
      </c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</row>
    <row r="16" spans="1:97" ht="24.75" customHeight="1">
      <c r="A16" s="24">
        <v>4</v>
      </c>
      <c r="B16" s="25" t="s">
        <v>494</v>
      </c>
      <c r="C16" s="96" t="s">
        <v>495</v>
      </c>
      <c r="D16" s="123" t="s">
        <v>496</v>
      </c>
      <c r="E16" s="197"/>
      <c r="F16" s="27" t="s">
        <v>102</v>
      </c>
      <c r="G16" s="42" t="s">
        <v>240</v>
      </c>
      <c r="H16" s="27" t="s">
        <v>64</v>
      </c>
      <c r="I16" s="42" t="s">
        <v>241</v>
      </c>
      <c r="J16" s="29"/>
      <c r="K16" s="27" t="s">
        <v>64</v>
      </c>
      <c r="L16" s="30" t="s">
        <v>67</v>
      </c>
      <c r="M16" s="27" t="s">
        <v>64</v>
      </c>
      <c r="N16" s="30" t="s">
        <v>67</v>
      </c>
      <c r="O16" s="27" t="s">
        <v>64</v>
      </c>
      <c r="P16" s="30" t="s">
        <v>67</v>
      </c>
      <c r="Q16" s="29"/>
      <c r="R16" s="27" t="s">
        <v>64</v>
      </c>
      <c r="S16" s="28" t="s">
        <v>480</v>
      </c>
      <c r="T16" s="27" t="s">
        <v>64</v>
      </c>
      <c r="U16" s="32" t="s">
        <v>115</v>
      </c>
      <c r="V16" s="27" t="s">
        <v>20</v>
      </c>
      <c r="W16" s="32" t="s">
        <v>71</v>
      </c>
      <c r="X16" s="186"/>
      <c r="Y16" s="27" t="s">
        <v>20</v>
      </c>
      <c r="Z16" s="28" t="s">
        <v>73</v>
      </c>
      <c r="AA16" s="27" t="s">
        <v>102</v>
      </c>
      <c r="AB16" s="28" t="s">
        <v>169</v>
      </c>
      <c r="AC16" s="200"/>
      <c r="AD16" s="27" t="s">
        <v>20</v>
      </c>
      <c r="AE16" s="93" t="s">
        <v>327</v>
      </c>
      <c r="AF16" s="27" t="s">
        <v>20</v>
      </c>
      <c r="AG16" s="93" t="s">
        <v>327</v>
      </c>
      <c r="AH16" s="27" t="s">
        <v>20</v>
      </c>
      <c r="AI16" s="93" t="s">
        <v>327</v>
      </c>
      <c r="AJ16" s="200"/>
      <c r="AK16" s="27" t="s">
        <v>64</v>
      </c>
      <c r="AL16" s="35" t="s">
        <v>497</v>
      </c>
      <c r="AM16" s="27" t="s">
        <v>64</v>
      </c>
      <c r="AN16" s="35" t="s">
        <v>470</v>
      </c>
      <c r="AO16" s="27" t="s">
        <v>102</v>
      </c>
      <c r="AP16" s="35" t="s">
        <v>482</v>
      </c>
      <c r="AQ16" s="200"/>
      <c r="AR16" s="27" t="s">
        <v>102</v>
      </c>
      <c r="AS16" s="28" t="s">
        <v>498</v>
      </c>
      <c r="AT16" s="27" t="s">
        <v>102</v>
      </c>
      <c r="AU16" s="28" t="s">
        <v>491</v>
      </c>
      <c r="AV16" s="27" t="s">
        <v>102</v>
      </c>
      <c r="AW16" s="28" t="s">
        <v>492</v>
      </c>
      <c r="AX16" s="27" t="s">
        <v>102</v>
      </c>
      <c r="AY16" s="28" t="s">
        <v>498</v>
      </c>
      <c r="AZ16" s="200"/>
      <c r="BA16" s="27" t="s">
        <v>64</v>
      </c>
      <c r="BB16" s="28" t="s">
        <v>85</v>
      </c>
      <c r="BC16" s="27" t="s">
        <v>64</v>
      </c>
      <c r="BD16" s="28" t="s">
        <v>86</v>
      </c>
      <c r="BE16" s="27" t="s">
        <v>102</v>
      </c>
      <c r="BF16" s="28" t="s">
        <v>107</v>
      </c>
      <c r="BG16" s="186"/>
      <c r="BH16" s="27" t="s">
        <v>64</v>
      </c>
      <c r="BI16" s="35" t="s">
        <v>88</v>
      </c>
      <c r="BJ16" s="27" t="s">
        <v>102</v>
      </c>
      <c r="BK16" s="38" t="s">
        <v>108</v>
      </c>
      <c r="BL16" s="200"/>
      <c r="BM16" s="27" t="s">
        <v>20</v>
      </c>
      <c r="BN16" s="28" t="s">
        <v>476</v>
      </c>
      <c r="BO16" s="186"/>
      <c r="BP16" s="27" t="s">
        <v>20</v>
      </c>
      <c r="BQ16" s="28" t="s">
        <v>488</v>
      </c>
      <c r="BR16" s="27" t="s">
        <v>20</v>
      </c>
      <c r="BS16" s="28" t="s">
        <v>92</v>
      </c>
      <c r="BT16" s="200"/>
      <c r="BU16" s="40"/>
      <c r="BV16" s="40"/>
      <c r="BW16" s="200"/>
      <c r="BX16" s="40"/>
      <c r="BY16" s="40"/>
      <c r="BZ16" s="197"/>
      <c r="CA16" s="41" t="s">
        <v>20</v>
      </c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</row>
    <row r="17" spans="1:97" ht="24.75" customHeight="1">
      <c r="A17" s="24">
        <v>5</v>
      </c>
      <c r="B17" s="25" t="s">
        <v>261</v>
      </c>
      <c r="C17" s="124" t="s">
        <v>499</v>
      </c>
      <c r="D17" s="125" t="s">
        <v>500</v>
      </c>
      <c r="E17" s="197"/>
      <c r="F17" s="27" t="s">
        <v>102</v>
      </c>
      <c r="G17" s="42" t="s">
        <v>240</v>
      </c>
      <c r="H17" s="27" t="s">
        <v>64</v>
      </c>
      <c r="I17" s="42" t="s">
        <v>241</v>
      </c>
      <c r="J17" s="29"/>
      <c r="K17" s="27" t="s">
        <v>20</v>
      </c>
      <c r="L17" s="31" t="s">
        <v>68</v>
      </c>
      <c r="M17" s="27" t="s">
        <v>20</v>
      </c>
      <c r="N17" s="126" t="s">
        <v>68</v>
      </c>
      <c r="O17" s="27" t="s">
        <v>20</v>
      </c>
      <c r="P17" s="31" t="s">
        <v>68</v>
      </c>
      <c r="Q17" s="29"/>
      <c r="R17" s="27" t="s">
        <v>64</v>
      </c>
      <c r="S17" s="111" t="s">
        <v>480</v>
      </c>
      <c r="T17" s="27" t="s">
        <v>64</v>
      </c>
      <c r="U17" s="32" t="s">
        <v>115</v>
      </c>
      <c r="V17" s="27" t="s">
        <v>20</v>
      </c>
      <c r="W17" s="32" t="s">
        <v>71</v>
      </c>
      <c r="X17" s="186"/>
      <c r="Y17" s="27" t="s">
        <v>20</v>
      </c>
      <c r="Z17" s="28" t="s">
        <v>73</v>
      </c>
      <c r="AA17" s="27" t="s">
        <v>20</v>
      </c>
      <c r="AB17" s="28" t="s">
        <v>74</v>
      </c>
      <c r="AC17" s="200"/>
      <c r="AD17" s="27" t="s">
        <v>20</v>
      </c>
      <c r="AE17" s="93" t="s">
        <v>327</v>
      </c>
      <c r="AF17" s="27" t="s">
        <v>20</v>
      </c>
      <c r="AG17" s="93" t="s">
        <v>327</v>
      </c>
      <c r="AH17" s="27" t="s">
        <v>20</v>
      </c>
      <c r="AI17" s="93" t="s">
        <v>327</v>
      </c>
      <c r="AJ17" s="200"/>
      <c r="AK17" s="27" t="s">
        <v>64</v>
      </c>
      <c r="AL17" s="35" t="s">
        <v>497</v>
      </c>
      <c r="AM17" s="27" t="s">
        <v>64</v>
      </c>
      <c r="AN17" s="35" t="s">
        <v>470</v>
      </c>
      <c r="AO17" s="27" t="s">
        <v>102</v>
      </c>
      <c r="AP17" s="35" t="s">
        <v>482</v>
      </c>
      <c r="AQ17" s="200"/>
      <c r="AR17" s="27" t="s">
        <v>64</v>
      </c>
      <c r="AS17" s="28" t="s">
        <v>501</v>
      </c>
      <c r="AT17" s="27" t="s">
        <v>64</v>
      </c>
      <c r="AU17" s="28" t="s">
        <v>484</v>
      </c>
      <c r="AV17" s="27" t="s">
        <v>64</v>
      </c>
      <c r="AW17" s="28" t="s">
        <v>485</v>
      </c>
      <c r="AX17" s="27" t="s">
        <v>64</v>
      </c>
      <c r="AY17" s="28" t="s">
        <v>486</v>
      </c>
      <c r="AZ17" s="200"/>
      <c r="BA17" s="27" t="s">
        <v>64</v>
      </c>
      <c r="BB17" s="28" t="s">
        <v>85</v>
      </c>
      <c r="BC17" s="27" t="s">
        <v>64</v>
      </c>
      <c r="BD17" s="28" t="s">
        <v>86</v>
      </c>
      <c r="BE17" s="27" t="s">
        <v>20</v>
      </c>
      <c r="BF17" s="28" t="s">
        <v>87</v>
      </c>
      <c r="BG17" s="186"/>
      <c r="BH17" s="27" t="s">
        <v>64</v>
      </c>
      <c r="BI17" s="35" t="s">
        <v>88</v>
      </c>
      <c r="BJ17" s="27" t="s">
        <v>102</v>
      </c>
      <c r="BK17" s="38" t="s">
        <v>108</v>
      </c>
      <c r="BL17" s="200"/>
      <c r="BM17" s="27" t="s">
        <v>20</v>
      </c>
      <c r="BN17" s="28" t="s">
        <v>476</v>
      </c>
      <c r="BO17" s="186"/>
      <c r="BP17" s="27" t="s">
        <v>20</v>
      </c>
      <c r="BQ17" s="28" t="s">
        <v>488</v>
      </c>
      <c r="BR17" s="27" t="s">
        <v>20</v>
      </c>
      <c r="BS17" s="28" t="s">
        <v>92</v>
      </c>
      <c r="BT17" s="200"/>
      <c r="BU17" s="40"/>
      <c r="BV17" s="40"/>
      <c r="BW17" s="200"/>
      <c r="BX17" s="40"/>
      <c r="BY17" s="28">
        <v>3</v>
      </c>
      <c r="BZ17" s="197"/>
      <c r="CA17" s="41" t="s">
        <v>20</v>
      </c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</row>
    <row r="18" spans="1:97" ht="24.75" customHeight="1">
      <c r="A18" s="24">
        <v>6</v>
      </c>
      <c r="B18" s="25" t="s">
        <v>94</v>
      </c>
      <c r="C18" s="124" t="s">
        <v>502</v>
      </c>
      <c r="D18" s="125" t="s">
        <v>503</v>
      </c>
      <c r="E18" s="197"/>
      <c r="F18" s="27" t="s">
        <v>102</v>
      </c>
      <c r="G18" s="42" t="s">
        <v>240</v>
      </c>
      <c r="H18" s="27" t="s">
        <v>102</v>
      </c>
      <c r="I18" s="42" t="s">
        <v>240</v>
      </c>
      <c r="J18" s="29"/>
      <c r="K18" s="27" t="s">
        <v>64</v>
      </c>
      <c r="L18" s="30" t="s">
        <v>67</v>
      </c>
      <c r="M18" s="27" t="s">
        <v>64</v>
      </c>
      <c r="N18" s="30" t="s">
        <v>67</v>
      </c>
      <c r="O18" s="27" t="s">
        <v>64</v>
      </c>
      <c r="P18" s="30" t="s">
        <v>67</v>
      </c>
      <c r="Q18" s="29"/>
      <c r="R18" s="27" t="s">
        <v>64</v>
      </c>
      <c r="S18" s="35" t="s">
        <v>504</v>
      </c>
      <c r="T18" s="27" t="s">
        <v>102</v>
      </c>
      <c r="U18" s="50"/>
      <c r="V18" s="27" t="s">
        <v>64</v>
      </c>
      <c r="W18" s="50"/>
      <c r="X18" s="186"/>
      <c r="Y18" s="27" t="s">
        <v>64</v>
      </c>
      <c r="Z18" s="28" t="s">
        <v>97</v>
      </c>
      <c r="AA18" s="27" t="s">
        <v>64</v>
      </c>
      <c r="AB18" s="28" t="s">
        <v>97</v>
      </c>
      <c r="AC18" s="200"/>
      <c r="AD18" s="27" t="s">
        <v>20</v>
      </c>
      <c r="AE18" s="93" t="s">
        <v>327</v>
      </c>
      <c r="AF18" s="27" t="s">
        <v>20</v>
      </c>
      <c r="AG18" s="93" t="s">
        <v>327</v>
      </c>
      <c r="AH18" s="27" t="s">
        <v>20</v>
      </c>
      <c r="AI18" s="93" t="s">
        <v>327</v>
      </c>
      <c r="AJ18" s="200"/>
      <c r="AK18" s="27" t="s">
        <v>102</v>
      </c>
      <c r="AL18" s="35" t="s">
        <v>505</v>
      </c>
      <c r="AM18" s="27" t="s">
        <v>102</v>
      </c>
      <c r="AN18" s="35" t="s">
        <v>482</v>
      </c>
      <c r="AO18" s="27" t="s">
        <v>102</v>
      </c>
      <c r="AP18" s="35" t="s">
        <v>482</v>
      </c>
      <c r="AQ18" s="200"/>
      <c r="AR18" s="27" t="s">
        <v>102</v>
      </c>
      <c r="AS18" s="28" t="s">
        <v>364</v>
      </c>
      <c r="AT18" s="27" t="s">
        <v>102</v>
      </c>
      <c r="AU18" s="28" t="s">
        <v>491</v>
      </c>
      <c r="AV18" s="27" t="s">
        <v>102</v>
      </c>
      <c r="AW18" s="28" t="s">
        <v>492</v>
      </c>
      <c r="AX18" s="27" t="s">
        <v>102</v>
      </c>
      <c r="AY18" s="28" t="s">
        <v>493</v>
      </c>
      <c r="AZ18" s="200"/>
      <c r="BA18" s="27" t="s">
        <v>102</v>
      </c>
      <c r="BB18" s="28" t="s">
        <v>106</v>
      </c>
      <c r="BC18" s="27" t="s">
        <v>64</v>
      </c>
      <c r="BD18" s="28" t="s">
        <v>86</v>
      </c>
      <c r="BE18" s="27" t="s">
        <v>102</v>
      </c>
      <c r="BF18" s="28" t="s">
        <v>107</v>
      </c>
      <c r="BG18" s="186"/>
      <c r="BH18" s="27" t="s">
        <v>102</v>
      </c>
      <c r="BI18" s="38" t="s">
        <v>108</v>
      </c>
      <c r="BJ18" s="27" t="s">
        <v>64</v>
      </c>
      <c r="BK18" s="38" t="s">
        <v>89</v>
      </c>
      <c r="BL18" s="200"/>
      <c r="BM18" s="27" t="s">
        <v>64</v>
      </c>
      <c r="BN18" s="28" t="s">
        <v>96</v>
      </c>
      <c r="BO18" s="186"/>
      <c r="BP18" s="27" t="s">
        <v>64</v>
      </c>
      <c r="BQ18" s="118" t="s">
        <v>477</v>
      </c>
      <c r="BR18" s="27" t="s">
        <v>64</v>
      </c>
      <c r="BS18" s="28" t="s">
        <v>109</v>
      </c>
      <c r="BT18" s="200"/>
      <c r="BU18" s="40"/>
      <c r="BV18" s="28">
        <v>2</v>
      </c>
      <c r="BW18" s="200"/>
      <c r="BX18" s="40"/>
      <c r="BY18" s="28">
        <v>2</v>
      </c>
      <c r="BZ18" s="197"/>
      <c r="CA18" s="41" t="s">
        <v>20</v>
      </c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</row>
    <row r="19" spans="1:97" ht="24.75" customHeight="1">
      <c r="A19" s="24">
        <v>7</v>
      </c>
      <c r="B19" s="25" t="s">
        <v>382</v>
      </c>
      <c r="C19" s="25" t="s">
        <v>202</v>
      </c>
      <c r="D19" s="127" t="s">
        <v>506</v>
      </c>
      <c r="E19" s="197"/>
      <c r="F19" s="27" t="s">
        <v>20</v>
      </c>
      <c r="G19" s="28" t="s">
        <v>338</v>
      </c>
      <c r="H19" s="27" t="s">
        <v>64</v>
      </c>
      <c r="I19" s="48" t="s">
        <v>241</v>
      </c>
      <c r="J19" s="29"/>
      <c r="K19" s="27" t="s">
        <v>64</v>
      </c>
      <c r="L19" s="30" t="s">
        <v>67</v>
      </c>
      <c r="M19" s="27" t="s">
        <v>64</v>
      </c>
      <c r="N19" s="30" t="s">
        <v>67</v>
      </c>
      <c r="O19" s="27" t="s">
        <v>64</v>
      </c>
      <c r="P19" s="30" t="s">
        <v>67</v>
      </c>
      <c r="Q19" s="29"/>
      <c r="R19" s="27" t="s">
        <v>64</v>
      </c>
      <c r="S19" s="28" t="s">
        <v>480</v>
      </c>
      <c r="T19" s="27" t="s">
        <v>102</v>
      </c>
      <c r="U19" s="40"/>
      <c r="V19" s="27" t="s">
        <v>64</v>
      </c>
      <c r="W19" s="40"/>
      <c r="X19" s="186"/>
      <c r="Y19" s="27" t="s">
        <v>20</v>
      </c>
      <c r="Z19" s="28" t="s">
        <v>73</v>
      </c>
      <c r="AA19" s="27" t="s">
        <v>64</v>
      </c>
      <c r="AB19" s="28" t="s">
        <v>97</v>
      </c>
      <c r="AC19" s="200"/>
      <c r="AD19" s="27" t="s">
        <v>20</v>
      </c>
      <c r="AE19" s="93" t="s">
        <v>327</v>
      </c>
      <c r="AF19" s="27" t="s">
        <v>20</v>
      </c>
      <c r="AG19" s="93" t="s">
        <v>327</v>
      </c>
      <c r="AH19" s="27" t="s">
        <v>20</v>
      </c>
      <c r="AI19" s="93" t="s">
        <v>327</v>
      </c>
      <c r="AJ19" s="200"/>
      <c r="AK19" s="27" t="s">
        <v>102</v>
      </c>
      <c r="AL19" s="35" t="s">
        <v>507</v>
      </c>
      <c r="AM19" s="27" t="s">
        <v>102</v>
      </c>
      <c r="AN19" s="35" t="s">
        <v>482</v>
      </c>
      <c r="AO19" s="27" t="s">
        <v>64</v>
      </c>
      <c r="AP19" s="35" t="s">
        <v>471</v>
      </c>
      <c r="AQ19" s="200"/>
      <c r="AR19" s="27" t="s">
        <v>102</v>
      </c>
      <c r="AS19" s="28" t="s">
        <v>364</v>
      </c>
      <c r="AT19" s="27" t="s">
        <v>102</v>
      </c>
      <c r="AU19" s="28" t="s">
        <v>491</v>
      </c>
      <c r="AV19" s="27" t="s">
        <v>102</v>
      </c>
      <c r="AW19" s="28" t="s">
        <v>492</v>
      </c>
      <c r="AX19" s="27" t="s">
        <v>102</v>
      </c>
      <c r="AY19" s="28" t="s">
        <v>493</v>
      </c>
      <c r="AZ19" s="200"/>
      <c r="BA19" s="27" t="s">
        <v>102</v>
      </c>
      <c r="BB19" s="28" t="s">
        <v>106</v>
      </c>
      <c r="BC19" s="27" t="s">
        <v>64</v>
      </c>
      <c r="BD19" s="28" t="s">
        <v>86</v>
      </c>
      <c r="BE19" s="27" t="s">
        <v>64</v>
      </c>
      <c r="BF19" s="28" t="s">
        <v>145</v>
      </c>
      <c r="BG19" s="186"/>
      <c r="BH19" s="27" t="s">
        <v>64</v>
      </c>
      <c r="BI19" s="35" t="s">
        <v>88</v>
      </c>
      <c r="BJ19" s="27" t="s">
        <v>102</v>
      </c>
      <c r="BK19" s="38" t="s">
        <v>108</v>
      </c>
      <c r="BL19" s="200"/>
      <c r="BM19" s="27" t="s">
        <v>64</v>
      </c>
      <c r="BN19" s="28" t="s">
        <v>96</v>
      </c>
      <c r="BO19" s="186"/>
      <c r="BP19" s="27" t="s">
        <v>20</v>
      </c>
      <c r="BQ19" s="28" t="s">
        <v>488</v>
      </c>
      <c r="BR19" s="27" t="s">
        <v>20</v>
      </c>
      <c r="BS19" s="28" t="s">
        <v>92</v>
      </c>
      <c r="BT19" s="200"/>
      <c r="BU19" s="40"/>
      <c r="BV19" s="28"/>
      <c r="BW19" s="200"/>
      <c r="BX19" s="40"/>
      <c r="BY19" s="28">
        <v>3</v>
      </c>
      <c r="BZ19" s="197"/>
      <c r="CA19" s="41" t="s">
        <v>20</v>
      </c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</row>
    <row r="20" spans="1:97" ht="24.75" customHeight="1">
      <c r="A20" s="24">
        <v>8</v>
      </c>
      <c r="B20" s="25" t="s">
        <v>508</v>
      </c>
      <c r="C20" s="96" t="s">
        <v>509</v>
      </c>
      <c r="D20" s="96" t="s">
        <v>510</v>
      </c>
      <c r="E20" s="197"/>
      <c r="F20" s="27" t="s">
        <v>20</v>
      </c>
      <c r="G20" s="42" t="s">
        <v>338</v>
      </c>
      <c r="H20" s="27" t="s">
        <v>20</v>
      </c>
      <c r="I20" s="48" t="s">
        <v>338</v>
      </c>
      <c r="J20" s="29"/>
      <c r="K20" s="27" t="s">
        <v>64</v>
      </c>
      <c r="L20" s="30" t="s">
        <v>67</v>
      </c>
      <c r="M20" s="27" t="s">
        <v>20</v>
      </c>
      <c r="N20" s="31" t="s">
        <v>68</v>
      </c>
      <c r="O20" s="27" t="s">
        <v>64</v>
      </c>
      <c r="P20" s="30" t="s">
        <v>67</v>
      </c>
      <c r="Q20" s="29"/>
      <c r="R20" s="27" t="s">
        <v>64</v>
      </c>
      <c r="S20" s="35" t="s">
        <v>480</v>
      </c>
      <c r="T20" s="27" t="s">
        <v>102</v>
      </c>
      <c r="U20" s="50"/>
      <c r="V20" s="27" t="s">
        <v>64</v>
      </c>
      <c r="W20" s="50"/>
      <c r="X20" s="186"/>
      <c r="Y20" s="27" t="s">
        <v>64</v>
      </c>
      <c r="Z20" s="28" t="s">
        <v>97</v>
      </c>
      <c r="AA20" s="27" t="s">
        <v>102</v>
      </c>
      <c r="AB20" s="28" t="s">
        <v>169</v>
      </c>
      <c r="AC20" s="200"/>
      <c r="AD20" s="27" t="s">
        <v>72</v>
      </c>
      <c r="AE20" s="28" t="s">
        <v>326</v>
      </c>
      <c r="AF20" s="27" t="s">
        <v>72</v>
      </c>
      <c r="AG20" s="28" t="s">
        <v>326</v>
      </c>
      <c r="AH20" s="27" t="s">
        <v>72</v>
      </c>
      <c r="AI20" s="28" t="s">
        <v>326</v>
      </c>
      <c r="AJ20" s="200"/>
      <c r="AK20" s="27" t="s">
        <v>102</v>
      </c>
      <c r="AL20" s="28" t="s">
        <v>507</v>
      </c>
      <c r="AM20" s="27" t="s">
        <v>102</v>
      </c>
      <c r="AN20" s="28" t="s">
        <v>482</v>
      </c>
      <c r="AO20" s="27" t="s">
        <v>64</v>
      </c>
      <c r="AP20" s="28" t="s">
        <v>511</v>
      </c>
      <c r="AQ20" s="200"/>
      <c r="AR20" s="27" t="s">
        <v>64</v>
      </c>
      <c r="AS20" s="28" t="s">
        <v>512</v>
      </c>
      <c r="AT20" s="27" t="s">
        <v>64</v>
      </c>
      <c r="AU20" s="28" t="s">
        <v>484</v>
      </c>
      <c r="AV20" s="27" t="s">
        <v>64</v>
      </c>
      <c r="AW20" s="28" t="s">
        <v>485</v>
      </c>
      <c r="AX20" s="27" t="s">
        <v>64</v>
      </c>
      <c r="AY20" s="28" t="s">
        <v>486</v>
      </c>
      <c r="AZ20" s="200"/>
      <c r="BA20" s="27" t="s">
        <v>64</v>
      </c>
      <c r="BB20" s="28" t="s">
        <v>85</v>
      </c>
      <c r="BC20" s="27" t="s">
        <v>64</v>
      </c>
      <c r="BD20" s="28" t="s">
        <v>86</v>
      </c>
      <c r="BE20" s="27" t="s">
        <v>64</v>
      </c>
      <c r="BF20" s="28" t="s">
        <v>145</v>
      </c>
      <c r="BG20" s="186"/>
      <c r="BH20" s="27" t="s">
        <v>64</v>
      </c>
      <c r="BI20" s="35" t="s">
        <v>88</v>
      </c>
      <c r="BJ20" s="27" t="s">
        <v>64</v>
      </c>
      <c r="BK20" s="38" t="s">
        <v>89</v>
      </c>
      <c r="BL20" s="200"/>
      <c r="BM20" s="27" t="s">
        <v>64</v>
      </c>
      <c r="BN20" s="28" t="s">
        <v>513</v>
      </c>
      <c r="BO20" s="186"/>
      <c r="BP20" s="27" t="s">
        <v>20</v>
      </c>
      <c r="BQ20" s="28" t="s">
        <v>488</v>
      </c>
      <c r="BR20" s="27" t="s">
        <v>20</v>
      </c>
      <c r="BS20" s="28" t="s">
        <v>92</v>
      </c>
      <c r="BT20" s="200"/>
      <c r="BU20" s="40"/>
      <c r="BV20" s="28">
        <v>3</v>
      </c>
      <c r="BW20" s="200"/>
      <c r="BX20" s="40"/>
      <c r="BY20" s="28">
        <v>1</v>
      </c>
      <c r="BZ20" s="197"/>
      <c r="CA20" s="41" t="s">
        <v>20</v>
      </c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</row>
    <row r="21" spans="1:97" ht="24.75" customHeight="1">
      <c r="A21" s="24">
        <v>9</v>
      </c>
      <c r="B21" s="25" t="s">
        <v>514</v>
      </c>
      <c r="C21" s="25" t="s">
        <v>515</v>
      </c>
      <c r="D21" s="127" t="s">
        <v>516</v>
      </c>
      <c r="E21" s="197"/>
      <c r="F21" s="27" t="s">
        <v>64</v>
      </c>
      <c r="G21" s="42" t="s">
        <v>241</v>
      </c>
      <c r="H21" s="27" t="s">
        <v>102</v>
      </c>
      <c r="I21" s="42" t="s">
        <v>240</v>
      </c>
      <c r="J21" s="29"/>
      <c r="K21" s="27" t="s">
        <v>64</v>
      </c>
      <c r="L21" s="30" t="s">
        <v>67</v>
      </c>
      <c r="M21" s="27" t="s">
        <v>64</v>
      </c>
      <c r="N21" s="30" t="s">
        <v>67</v>
      </c>
      <c r="O21" s="27" t="s">
        <v>64</v>
      </c>
      <c r="P21" s="30" t="s">
        <v>67</v>
      </c>
      <c r="Q21" s="29"/>
      <c r="R21" s="27" t="s">
        <v>64</v>
      </c>
      <c r="S21" s="35" t="s">
        <v>504</v>
      </c>
      <c r="T21" s="27" t="s">
        <v>102</v>
      </c>
      <c r="U21" s="178" t="s">
        <v>657</v>
      </c>
      <c r="V21" s="27" t="s">
        <v>64</v>
      </c>
      <c r="W21" s="178" t="s">
        <v>116</v>
      </c>
      <c r="X21" s="186"/>
      <c r="Y21" s="27" t="s">
        <v>102</v>
      </c>
      <c r="Z21" s="28" t="s">
        <v>264</v>
      </c>
      <c r="AA21" s="27" t="s">
        <v>102</v>
      </c>
      <c r="AB21" s="28" t="s">
        <v>169</v>
      </c>
      <c r="AC21" s="200"/>
      <c r="AD21" s="27" t="s">
        <v>72</v>
      </c>
      <c r="AE21" s="28" t="s">
        <v>326</v>
      </c>
      <c r="AF21" s="27" t="s">
        <v>72</v>
      </c>
      <c r="AG21" s="28" t="s">
        <v>326</v>
      </c>
      <c r="AH21" s="27" t="s">
        <v>72</v>
      </c>
      <c r="AI21" s="28" t="s">
        <v>326</v>
      </c>
      <c r="AJ21" s="200"/>
      <c r="AK21" s="27" t="s">
        <v>102</v>
      </c>
      <c r="AL21" s="35" t="s">
        <v>507</v>
      </c>
      <c r="AM21" s="27" t="s">
        <v>64</v>
      </c>
      <c r="AN21" s="35" t="s">
        <v>470</v>
      </c>
      <c r="AO21" s="27" t="s">
        <v>102</v>
      </c>
      <c r="AP21" s="35" t="s">
        <v>482</v>
      </c>
      <c r="AQ21" s="200"/>
      <c r="AR21" s="27" t="s">
        <v>102</v>
      </c>
      <c r="AS21" s="28" t="s">
        <v>485</v>
      </c>
      <c r="AT21" s="27" t="s">
        <v>102</v>
      </c>
      <c r="AU21" s="28" t="s">
        <v>491</v>
      </c>
      <c r="AV21" s="27" t="s">
        <v>102</v>
      </c>
      <c r="AW21" s="28" t="s">
        <v>492</v>
      </c>
      <c r="AX21" s="27" t="s">
        <v>102</v>
      </c>
      <c r="AY21" s="28" t="s">
        <v>498</v>
      </c>
      <c r="AZ21" s="200"/>
      <c r="BA21" s="27" t="s">
        <v>64</v>
      </c>
      <c r="BB21" s="28" t="s">
        <v>85</v>
      </c>
      <c r="BC21" s="27" t="s">
        <v>64</v>
      </c>
      <c r="BD21" s="28" t="s">
        <v>86</v>
      </c>
      <c r="BE21" s="27" t="s">
        <v>102</v>
      </c>
      <c r="BF21" s="28" t="s">
        <v>107</v>
      </c>
      <c r="BG21" s="186"/>
      <c r="BH21" s="27" t="s">
        <v>64</v>
      </c>
      <c r="BI21" s="35" t="s">
        <v>88</v>
      </c>
      <c r="BJ21" s="27" t="s">
        <v>102</v>
      </c>
      <c r="BK21" s="38" t="s">
        <v>108</v>
      </c>
      <c r="BL21" s="200"/>
      <c r="BM21" s="27" t="s">
        <v>64</v>
      </c>
      <c r="BN21" s="28" t="s">
        <v>96</v>
      </c>
      <c r="BO21" s="186"/>
      <c r="BP21" s="27" t="s">
        <v>20</v>
      </c>
      <c r="BQ21" s="28" t="s">
        <v>488</v>
      </c>
      <c r="BR21" s="27" t="s">
        <v>20</v>
      </c>
      <c r="BS21" s="28" t="s">
        <v>92</v>
      </c>
      <c r="BT21" s="200"/>
      <c r="BU21" s="40"/>
      <c r="BV21" s="28">
        <v>3</v>
      </c>
      <c r="BW21" s="200"/>
      <c r="BX21" s="40"/>
      <c r="BY21" s="28">
        <v>2</v>
      </c>
      <c r="BZ21" s="197"/>
      <c r="CA21" s="41" t="s">
        <v>20</v>
      </c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</row>
    <row r="22" spans="1:97" ht="24.75" customHeight="1">
      <c r="A22" s="24">
        <v>10</v>
      </c>
      <c r="B22" s="128" t="s">
        <v>517</v>
      </c>
      <c r="C22" s="129" t="s">
        <v>202</v>
      </c>
      <c r="D22" s="130" t="s">
        <v>518</v>
      </c>
      <c r="E22" s="197"/>
      <c r="F22" s="27" t="s">
        <v>64</v>
      </c>
      <c r="G22" s="42" t="s">
        <v>241</v>
      </c>
      <c r="H22" s="27" t="s">
        <v>102</v>
      </c>
      <c r="I22" s="48" t="s">
        <v>240</v>
      </c>
      <c r="J22" s="29"/>
      <c r="K22" s="27" t="s">
        <v>64</v>
      </c>
      <c r="L22" s="30" t="s">
        <v>67</v>
      </c>
      <c r="M22" s="27" t="s">
        <v>20</v>
      </c>
      <c r="N22" s="31" t="s">
        <v>68</v>
      </c>
      <c r="O22" s="27" t="s">
        <v>64</v>
      </c>
      <c r="P22" s="30" t="s">
        <v>67</v>
      </c>
      <c r="Q22" s="29"/>
      <c r="R22" s="27" t="s">
        <v>64</v>
      </c>
      <c r="S22" s="35" t="s">
        <v>480</v>
      </c>
      <c r="T22" s="27" t="s">
        <v>64</v>
      </c>
      <c r="U22" s="32" t="s">
        <v>115</v>
      </c>
      <c r="V22" s="27" t="s">
        <v>64</v>
      </c>
      <c r="W22" s="50"/>
      <c r="X22" s="186"/>
      <c r="Y22" s="27" t="s">
        <v>20</v>
      </c>
      <c r="Z22" s="28" t="s">
        <v>73</v>
      </c>
      <c r="AA22" s="27" t="s">
        <v>20</v>
      </c>
      <c r="AB22" s="28" t="s">
        <v>74</v>
      </c>
      <c r="AC22" s="200"/>
      <c r="AD22" s="27" t="s">
        <v>72</v>
      </c>
      <c r="AE22" s="28" t="s">
        <v>326</v>
      </c>
      <c r="AF22" s="27" t="s">
        <v>72</v>
      </c>
      <c r="AG22" s="28" t="s">
        <v>326</v>
      </c>
      <c r="AH22" s="27" t="s">
        <v>72</v>
      </c>
      <c r="AI22" s="28" t="s">
        <v>326</v>
      </c>
      <c r="AJ22" s="200"/>
      <c r="AK22" s="27" t="s">
        <v>102</v>
      </c>
      <c r="AL22" s="28" t="s">
        <v>507</v>
      </c>
      <c r="AM22" s="27" t="s">
        <v>102</v>
      </c>
      <c r="AN22" s="28" t="s">
        <v>482</v>
      </c>
      <c r="AO22" s="27" t="s">
        <v>102</v>
      </c>
      <c r="AP22" s="28" t="s">
        <v>482</v>
      </c>
      <c r="AQ22" s="200"/>
      <c r="AR22" s="27" t="s">
        <v>64</v>
      </c>
      <c r="AS22" s="28" t="s">
        <v>519</v>
      </c>
      <c r="AT22" s="27" t="s">
        <v>64</v>
      </c>
      <c r="AU22" s="28" t="s">
        <v>484</v>
      </c>
      <c r="AV22" s="27" t="s">
        <v>64</v>
      </c>
      <c r="AW22" s="28" t="s">
        <v>485</v>
      </c>
      <c r="AX22" s="27" t="s">
        <v>64</v>
      </c>
      <c r="AY22" s="28" t="s">
        <v>486</v>
      </c>
      <c r="AZ22" s="200"/>
      <c r="BA22" s="27" t="s">
        <v>20</v>
      </c>
      <c r="BB22" s="28" t="s">
        <v>124</v>
      </c>
      <c r="BC22" s="27" t="s">
        <v>64</v>
      </c>
      <c r="BD22" s="28" t="s">
        <v>86</v>
      </c>
      <c r="BE22" s="27" t="s">
        <v>64</v>
      </c>
      <c r="BF22" s="28" t="s">
        <v>145</v>
      </c>
      <c r="BG22" s="186"/>
      <c r="BH22" s="27" t="s">
        <v>64</v>
      </c>
      <c r="BI22" s="35" t="s">
        <v>88</v>
      </c>
      <c r="BJ22" s="27" t="s">
        <v>102</v>
      </c>
      <c r="BK22" s="38" t="s">
        <v>108</v>
      </c>
      <c r="BL22" s="200"/>
      <c r="BM22" s="27" t="s">
        <v>20</v>
      </c>
      <c r="BN22" s="28" t="s">
        <v>476</v>
      </c>
      <c r="BO22" s="186"/>
      <c r="BP22" s="27" t="s">
        <v>20</v>
      </c>
      <c r="BQ22" s="28" t="s">
        <v>488</v>
      </c>
      <c r="BR22" s="27" t="s">
        <v>20</v>
      </c>
      <c r="BS22" s="28" t="s">
        <v>92</v>
      </c>
      <c r="BT22" s="200"/>
      <c r="BU22" s="40"/>
      <c r="BV22" s="28">
        <v>1</v>
      </c>
      <c r="BW22" s="200"/>
      <c r="BX22" s="40"/>
      <c r="BY22" s="40"/>
      <c r="BZ22" s="197"/>
      <c r="CA22" s="41" t="s">
        <v>20</v>
      </c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</row>
    <row r="23" spans="1:97" ht="24.75" customHeight="1">
      <c r="A23" s="24">
        <v>11</v>
      </c>
      <c r="B23" s="25" t="s">
        <v>520</v>
      </c>
      <c r="C23" s="25" t="s">
        <v>521</v>
      </c>
      <c r="D23" s="127" t="s">
        <v>522</v>
      </c>
      <c r="E23" s="197"/>
      <c r="F23" s="27" t="s">
        <v>102</v>
      </c>
      <c r="G23" s="42" t="s">
        <v>240</v>
      </c>
      <c r="H23" s="27" t="s">
        <v>64</v>
      </c>
      <c r="I23" s="42" t="s">
        <v>241</v>
      </c>
      <c r="J23" s="29"/>
      <c r="K23" s="27" t="s">
        <v>64</v>
      </c>
      <c r="L23" s="30" t="s">
        <v>67</v>
      </c>
      <c r="M23" s="27" t="s">
        <v>102</v>
      </c>
      <c r="N23" s="28" t="s">
        <v>103</v>
      </c>
      <c r="O23" s="27" t="s">
        <v>102</v>
      </c>
      <c r="P23" s="28" t="s">
        <v>103</v>
      </c>
      <c r="Q23" s="29"/>
      <c r="R23" s="27" t="s">
        <v>102</v>
      </c>
      <c r="S23" s="50"/>
      <c r="T23" s="27" t="s">
        <v>64</v>
      </c>
      <c r="U23" s="32" t="s">
        <v>115</v>
      </c>
      <c r="V23" s="27" t="s">
        <v>20</v>
      </c>
      <c r="W23" s="32" t="s">
        <v>71</v>
      </c>
      <c r="X23" s="186"/>
      <c r="Y23" s="27" t="s">
        <v>20</v>
      </c>
      <c r="Z23" s="28" t="s">
        <v>73</v>
      </c>
      <c r="AA23" s="27" t="s">
        <v>102</v>
      </c>
      <c r="AB23" s="28" t="s">
        <v>169</v>
      </c>
      <c r="AC23" s="200"/>
      <c r="AD23" s="27" t="s">
        <v>102</v>
      </c>
      <c r="AE23" s="28" t="s">
        <v>376</v>
      </c>
      <c r="AF23" s="27" t="s">
        <v>102</v>
      </c>
      <c r="AG23" s="28" t="s">
        <v>376</v>
      </c>
      <c r="AH23" s="27" t="s">
        <v>102</v>
      </c>
      <c r="AI23" s="28" t="s">
        <v>376</v>
      </c>
      <c r="AJ23" s="200"/>
      <c r="AK23" s="27" t="s">
        <v>102</v>
      </c>
      <c r="AL23" s="28" t="s">
        <v>507</v>
      </c>
      <c r="AM23" s="27" t="s">
        <v>102</v>
      </c>
      <c r="AN23" s="28" t="s">
        <v>482</v>
      </c>
      <c r="AO23" s="27" t="s">
        <v>102</v>
      </c>
      <c r="AP23" s="28" t="s">
        <v>482</v>
      </c>
      <c r="AQ23" s="200"/>
      <c r="AR23" s="27" t="s">
        <v>64</v>
      </c>
      <c r="AS23" s="28" t="s">
        <v>485</v>
      </c>
      <c r="AT23" s="27" t="s">
        <v>64</v>
      </c>
      <c r="AU23" s="28" t="s">
        <v>484</v>
      </c>
      <c r="AV23" s="27" t="s">
        <v>64</v>
      </c>
      <c r="AW23" s="28" t="s">
        <v>485</v>
      </c>
      <c r="AX23" s="27" t="s">
        <v>64</v>
      </c>
      <c r="AY23" s="28" t="s">
        <v>486</v>
      </c>
      <c r="AZ23" s="200"/>
      <c r="BA23" s="27" t="s">
        <v>102</v>
      </c>
      <c r="BB23" s="28" t="s">
        <v>106</v>
      </c>
      <c r="BC23" s="27" t="s">
        <v>64</v>
      </c>
      <c r="BD23" s="28" t="s">
        <v>86</v>
      </c>
      <c r="BE23" s="27" t="s">
        <v>102</v>
      </c>
      <c r="BF23" s="28" t="s">
        <v>107</v>
      </c>
      <c r="BG23" s="186"/>
      <c r="BH23" s="27" t="s">
        <v>64</v>
      </c>
      <c r="BI23" s="35" t="s">
        <v>88</v>
      </c>
      <c r="BJ23" s="27" t="s">
        <v>102</v>
      </c>
      <c r="BK23" s="38" t="s">
        <v>108</v>
      </c>
      <c r="BL23" s="200"/>
      <c r="BM23" s="27" t="s">
        <v>64</v>
      </c>
      <c r="BN23" s="28" t="s">
        <v>96</v>
      </c>
      <c r="BO23" s="186"/>
      <c r="BP23" s="27" t="s">
        <v>20</v>
      </c>
      <c r="BQ23" s="28" t="s">
        <v>488</v>
      </c>
      <c r="BR23" s="27" t="s">
        <v>20</v>
      </c>
      <c r="BS23" s="28" t="s">
        <v>92</v>
      </c>
      <c r="BT23" s="200"/>
      <c r="BU23" s="40"/>
      <c r="BV23" s="28">
        <v>4</v>
      </c>
      <c r="BW23" s="200"/>
      <c r="BX23" s="40"/>
      <c r="BY23" s="40"/>
      <c r="BZ23" s="197"/>
      <c r="CA23" s="41" t="s">
        <v>20</v>
      </c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</row>
    <row r="24" spans="1:97" ht="24.75" customHeight="1">
      <c r="A24" s="24">
        <v>12</v>
      </c>
      <c r="B24" s="51" t="s">
        <v>523</v>
      </c>
      <c r="C24" s="51" t="s">
        <v>202</v>
      </c>
      <c r="D24" s="89" t="s">
        <v>524</v>
      </c>
      <c r="E24" s="197"/>
      <c r="F24" s="27" t="s">
        <v>102</v>
      </c>
      <c r="G24" s="42" t="s">
        <v>240</v>
      </c>
      <c r="H24" s="27" t="s">
        <v>102</v>
      </c>
      <c r="I24" s="42" t="s">
        <v>240</v>
      </c>
      <c r="J24" s="29"/>
      <c r="K24" s="27" t="s">
        <v>102</v>
      </c>
      <c r="L24" s="28" t="s">
        <v>103</v>
      </c>
      <c r="M24" s="27" t="s">
        <v>102</v>
      </c>
      <c r="N24" s="28" t="s">
        <v>103</v>
      </c>
      <c r="O24" s="27" t="s">
        <v>102</v>
      </c>
      <c r="P24" s="28" t="s">
        <v>103</v>
      </c>
      <c r="Q24" s="29"/>
      <c r="R24" s="27" t="s">
        <v>64</v>
      </c>
      <c r="S24" s="28" t="s">
        <v>525</v>
      </c>
      <c r="T24" s="27" t="s">
        <v>64</v>
      </c>
      <c r="U24" s="32" t="s">
        <v>115</v>
      </c>
      <c r="V24" s="27" t="s">
        <v>20</v>
      </c>
      <c r="W24" s="32" t="s">
        <v>71</v>
      </c>
      <c r="X24" s="186"/>
      <c r="Y24" s="27" t="s">
        <v>102</v>
      </c>
      <c r="Z24" s="28" t="s">
        <v>264</v>
      </c>
      <c r="AA24" s="27" t="s">
        <v>102</v>
      </c>
      <c r="AB24" s="28" t="s">
        <v>169</v>
      </c>
      <c r="AC24" s="200"/>
      <c r="AD24" s="27" t="s">
        <v>64</v>
      </c>
      <c r="AE24" s="28" t="s">
        <v>526</v>
      </c>
      <c r="AF24" s="27" t="s">
        <v>64</v>
      </c>
      <c r="AG24" s="28" t="s">
        <v>526</v>
      </c>
      <c r="AH24" s="27" t="s">
        <v>64</v>
      </c>
      <c r="AI24" s="28" t="s">
        <v>526</v>
      </c>
      <c r="AJ24" s="200"/>
      <c r="AK24" s="27" t="s">
        <v>102</v>
      </c>
      <c r="AL24" s="35" t="s">
        <v>527</v>
      </c>
      <c r="AM24" s="27" t="s">
        <v>102</v>
      </c>
      <c r="AN24" s="35" t="s">
        <v>528</v>
      </c>
      <c r="AO24" s="27" t="s">
        <v>102</v>
      </c>
      <c r="AP24" s="35" t="s">
        <v>527</v>
      </c>
      <c r="AQ24" s="200"/>
      <c r="AR24" s="27" t="s">
        <v>102</v>
      </c>
      <c r="AS24" s="28" t="s">
        <v>485</v>
      </c>
      <c r="AT24" s="27" t="s">
        <v>102</v>
      </c>
      <c r="AU24" s="28" t="s">
        <v>491</v>
      </c>
      <c r="AV24" s="27" t="s">
        <v>102</v>
      </c>
      <c r="AW24" s="28" t="s">
        <v>492</v>
      </c>
      <c r="AX24" s="27" t="s">
        <v>64</v>
      </c>
      <c r="AY24" s="28" t="s">
        <v>486</v>
      </c>
      <c r="AZ24" s="200"/>
      <c r="BA24" s="27" t="s">
        <v>102</v>
      </c>
      <c r="BB24" s="28" t="s">
        <v>106</v>
      </c>
      <c r="BC24" s="27" t="s">
        <v>102</v>
      </c>
      <c r="BD24" s="28" t="s">
        <v>206</v>
      </c>
      <c r="BE24" s="27" t="s">
        <v>102</v>
      </c>
      <c r="BF24" s="28" t="s">
        <v>107</v>
      </c>
      <c r="BG24" s="186"/>
      <c r="BH24" s="27" t="s">
        <v>64</v>
      </c>
      <c r="BI24" s="35" t="s">
        <v>88</v>
      </c>
      <c r="BJ24" s="27" t="s">
        <v>102</v>
      </c>
      <c r="BK24" s="38" t="s">
        <v>108</v>
      </c>
      <c r="BL24" s="200"/>
      <c r="BM24" s="27" t="s">
        <v>102</v>
      </c>
      <c r="BN24" s="28" t="s">
        <v>529</v>
      </c>
      <c r="BO24" s="186"/>
      <c r="BP24" s="27" t="s">
        <v>64</v>
      </c>
      <c r="BQ24" s="118" t="s">
        <v>477</v>
      </c>
      <c r="BR24" s="27" t="s">
        <v>64</v>
      </c>
      <c r="BS24" s="28" t="s">
        <v>109</v>
      </c>
      <c r="BT24" s="200"/>
      <c r="BU24" s="40"/>
      <c r="BV24" s="28">
        <v>34</v>
      </c>
      <c r="BW24" s="200"/>
      <c r="BX24" s="40"/>
      <c r="BY24" s="40"/>
      <c r="BZ24" s="197"/>
      <c r="CA24" s="41" t="s">
        <v>102</v>
      </c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</row>
    <row r="25" spans="1:97" ht="24.75" customHeight="1">
      <c r="A25" s="24">
        <v>13</v>
      </c>
      <c r="B25" s="124" t="s">
        <v>530</v>
      </c>
      <c r="C25" s="91" t="s">
        <v>531</v>
      </c>
      <c r="D25" s="131" t="s">
        <v>532</v>
      </c>
      <c r="E25" s="197"/>
      <c r="F25" s="27" t="s">
        <v>64</v>
      </c>
      <c r="G25" s="42" t="s">
        <v>241</v>
      </c>
      <c r="H25" s="27" t="s">
        <v>102</v>
      </c>
      <c r="I25" s="42" t="s">
        <v>240</v>
      </c>
      <c r="J25" s="29"/>
      <c r="K25" s="27" t="s">
        <v>20</v>
      </c>
      <c r="L25" s="31" t="s">
        <v>68</v>
      </c>
      <c r="M25" s="27" t="s">
        <v>20</v>
      </c>
      <c r="N25" s="31" t="s">
        <v>68</v>
      </c>
      <c r="O25" s="27" t="s">
        <v>64</v>
      </c>
      <c r="P25" s="30" t="s">
        <v>67</v>
      </c>
      <c r="Q25" s="29"/>
      <c r="R25" s="27" t="s">
        <v>20</v>
      </c>
      <c r="S25" s="28" t="s">
        <v>533</v>
      </c>
      <c r="T25" s="27" t="s">
        <v>20</v>
      </c>
      <c r="U25" s="32" t="s">
        <v>70</v>
      </c>
      <c r="V25" s="27" t="s">
        <v>20</v>
      </c>
      <c r="W25" s="32" t="s">
        <v>71</v>
      </c>
      <c r="X25" s="186"/>
      <c r="Y25" s="27" t="s">
        <v>64</v>
      </c>
      <c r="Z25" s="28" t="s">
        <v>97</v>
      </c>
      <c r="AA25" s="27" t="s">
        <v>102</v>
      </c>
      <c r="AB25" s="28" t="s">
        <v>169</v>
      </c>
      <c r="AC25" s="200"/>
      <c r="AD25" s="27" t="s">
        <v>72</v>
      </c>
      <c r="AE25" s="28" t="s">
        <v>326</v>
      </c>
      <c r="AF25" s="27" t="s">
        <v>72</v>
      </c>
      <c r="AG25" s="28" t="s">
        <v>326</v>
      </c>
      <c r="AH25" s="27" t="s">
        <v>72</v>
      </c>
      <c r="AI25" s="28" t="s">
        <v>326</v>
      </c>
      <c r="AJ25" s="200"/>
      <c r="AK25" s="27" t="s">
        <v>102</v>
      </c>
      <c r="AL25" s="35" t="s">
        <v>527</v>
      </c>
      <c r="AM25" s="27" t="s">
        <v>64</v>
      </c>
      <c r="AN25" s="35" t="s">
        <v>534</v>
      </c>
      <c r="AO25" s="27" t="s">
        <v>64</v>
      </c>
      <c r="AP25" s="35" t="s">
        <v>535</v>
      </c>
      <c r="AQ25" s="200"/>
      <c r="AR25" s="27" t="s">
        <v>64</v>
      </c>
      <c r="AS25" s="28" t="s">
        <v>485</v>
      </c>
      <c r="AT25" s="27" t="s">
        <v>64</v>
      </c>
      <c r="AU25" s="28" t="s">
        <v>484</v>
      </c>
      <c r="AV25" s="27" t="s">
        <v>64</v>
      </c>
      <c r="AW25" s="28" t="s">
        <v>485</v>
      </c>
      <c r="AX25" s="27" t="s">
        <v>64</v>
      </c>
      <c r="AY25" s="28" t="s">
        <v>486</v>
      </c>
      <c r="AZ25" s="200"/>
      <c r="BA25" s="27" t="s">
        <v>20</v>
      </c>
      <c r="BB25" s="28" t="s">
        <v>124</v>
      </c>
      <c r="BC25" s="27" t="s">
        <v>20</v>
      </c>
      <c r="BD25" s="28" t="s">
        <v>125</v>
      </c>
      <c r="BE25" s="27" t="s">
        <v>20</v>
      </c>
      <c r="BF25" s="28" t="s">
        <v>87</v>
      </c>
      <c r="BG25" s="186"/>
      <c r="BH25" s="27" t="s">
        <v>20</v>
      </c>
      <c r="BI25" s="38" t="s">
        <v>140</v>
      </c>
      <c r="BJ25" s="27" t="s">
        <v>64</v>
      </c>
      <c r="BK25" s="38" t="s">
        <v>89</v>
      </c>
      <c r="BL25" s="200"/>
      <c r="BM25" s="27" t="s">
        <v>20</v>
      </c>
      <c r="BN25" s="28" t="s">
        <v>476</v>
      </c>
      <c r="BO25" s="186"/>
      <c r="BP25" s="27" t="s">
        <v>20</v>
      </c>
      <c r="BQ25" s="28" t="s">
        <v>488</v>
      </c>
      <c r="BR25" s="27" t="s">
        <v>20</v>
      </c>
      <c r="BS25" s="28" t="s">
        <v>92</v>
      </c>
      <c r="BT25" s="200"/>
      <c r="BU25" s="40"/>
      <c r="BV25" s="28">
        <v>1</v>
      </c>
      <c r="BW25" s="200"/>
      <c r="BX25" s="40"/>
      <c r="BY25" s="40"/>
      <c r="BZ25" s="197"/>
      <c r="CA25" s="41" t="s">
        <v>20</v>
      </c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</row>
    <row r="26" spans="1:97" ht="24.75" customHeight="1">
      <c r="A26" s="132">
        <v>14</v>
      </c>
      <c r="B26" s="133" t="s">
        <v>418</v>
      </c>
      <c r="C26" s="134" t="s">
        <v>536</v>
      </c>
      <c r="D26" s="135" t="s">
        <v>537</v>
      </c>
      <c r="E26" s="197"/>
      <c r="F26" s="27" t="s">
        <v>64</v>
      </c>
      <c r="G26" s="42" t="s">
        <v>241</v>
      </c>
      <c r="H26" s="27" t="s">
        <v>20</v>
      </c>
      <c r="I26" s="42" t="s">
        <v>338</v>
      </c>
      <c r="J26" s="29"/>
      <c r="K26" s="27" t="s">
        <v>64</v>
      </c>
      <c r="L26" s="136"/>
      <c r="M26" s="27" t="s">
        <v>64</v>
      </c>
      <c r="N26" s="136"/>
      <c r="O26" s="27" t="s">
        <v>64</v>
      </c>
      <c r="P26" s="30"/>
      <c r="Q26" s="29"/>
      <c r="R26" s="27" t="s">
        <v>20</v>
      </c>
      <c r="S26" s="35" t="s">
        <v>533</v>
      </c>
      <c r="T26" s="27" t="s">
        <v>20</v>
      </c>
      <c r="U26" s="32" t="s">
        <v>70</v>
      </c>
      <c r="V26" s="27" t="s">
        <v>20</v>
      </c>
      <c r="W26" s="32" t="s">
        <v>71</v>
      </c>
      <c r="X26" s="186"/>
      <c r="Y26" s="27" t="s">
        <v>64</v>
      </c>
      <c r="Z26" s="28" t="s">
        <v>97</v>
      </c>
      <c r="AA26" s="27" t="s">
        <v>64</v>
      </c>
      <c r="AB26" s="28" t="s">
        <v>97</v>
      </c>
      <c r="AC26" s="200"/>
      <c r="AD26" s="27" t="s">
        <v>20</v>
      </c>
      <c r="AE26" s="93" t="s">
        <v>327</v>
      </c>
      <c r="AF26" s="27" t="s">
        <v>20</v>
      </c>
      <c r="AG26" s="93" t="s">
        <v>327</v>
      </c>
      <c r="AH26" s="27" t="s">
        <v>20</v>
      </c>
      <c r="AI26" s="93" t="s">
        <v>327</v>
      </c>
      <c r="AJ26" s="200"/>
      <c r="AK26" s="27" t="s">
        <v>64</v>
      </c>
      <c r="AL26" s="28" t="s">
        <v>497</v>
      </c>
      <c r="AM26" s="27" t="s">
        <v>102</v>
      </c>
      <c r="AN26" s="28" t="s">
        <v>538</v>
      </c>
      <c r="AO26" s="27" t="s">
        <v>64</v>
      </c>
      <c r="AP26" s="28" t="s">
        <v>535</v>
      </c>
      <c r="AQ26" s="200"/>
      <c r="AR26" s="27" t="s">
        <v>102</v>
      </c>
      <c r="AS26" s="28" t="s">
        <v>485</v>
      </c>
      <c r="AT26" s="27" t="s">
        <v>102</v>
      </c>
      <c r="AU26" s="28" t="s">
        <v>491</v>
      </c>
      <c r="AV26" s="27" t="s">
        <v>102</v>
      </c>
      <c r="AW26" s="28" t="s">
        <v>492</v>
      </c>
      <c r="AX26" s="27" t="s">
        <v>102</v>
      </c>
      <c r="AY26" s="28" t="s">
        <v>493</v>
      </c>
      <c r="AZ26" s="200"/>
      <c r="BA26" s="27" t="s">
        <v>64</v>
      </c>
      <c r="BB26" s="28" t="s">
        <v>85</v>
      </c>
      <c r="BC26" s="27" t="s">
        <v>64</v>
      </c>
      <c r="BD26" s="28" t="s">
        <v>86</v>
      </c>
      <c r="BE26" s="27" t="s">
        <v>64</v>
      </c>
      <c r="BF26" s="28" t="s">
        <v>145</v>
      </c>
      <c r="BG26" s="186"/>
      <c r="BH26" s="27" t="s">
        <v>64</v>
      </c>
      <c r="BI26" s="35" t="s">
        <v>88</v>
      </c>
      <c r="BJ26" s="27" t="s">
        <v>64</v>
      </c>
      <c r="BK26" s="38" t="s">
        <v>89</v>
      </c>
      <c r="BL26" s="200"/>
      <c r="BM26" s="27" t="s">
        <v>20</v>
      </c>
      <c r="BN26" s="28" t="s">
        <v>476</v>
      </c>
      <c r="BO26" s="186"/>
      <c r="BP26" s="27" t="s">
        <v>20</v>
      </c>
      <c r="BQ26" s="28" t="s">
        <v>488</v>
      </c>
      <c r="BR26" s="27" t="s">
        <v>20</v>
      </c>
      <c r="BS26" s="28" t="s">
        <v>92</v>
      </c>
      <c r="BT26" s="200"/>
      <c r="BU26" s="40"/>
      <c r="BV26" s="28">
        <v>1</v>
      </c>
      <c r="BW26" s="200"/>
      <c r="BX26" s="40"/>
      <c r="BY26" s="40"/>
      <c r="BZ26" s="197"/>
      <c r="CA26" s="41" t="s">
        <v>20</v>
      </c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</row>
    <row r="27" spans="1:97" ht="24.75" customHeight="1">
      <c r="A27" s="132">
        <v>15</v>
      </c>
      <c r="B27" s="25" t="s">
        <v>539</v>
      </c>
      <c r="C27" s="124" t="s">
        <v>540</v>
      </c>
      <c r="D27" s="125" t="s">
        <v>541</v>
      </c>
      <c r="E27" s="197"/>
      <c r="F27" s="27" t="s">
        <v>64</v>
      </c>
      <c r="G27" s="42" t="s">
        <v>241</v>
      </c>
      <c r="H27" s="27" t="s">
        <v>102</v>
      </c>
      <c r="I27" s="42" t="s">
        <v>240</v>
      </c>
      <c r="J27" s="29"/>
      <c r="K27" s="27" t="s">
        <v>64</v>
      </c>
      <c r="L27" s="30" t="s">
        <v>67</v>
      </c>
      <c r="M27" s="27" t="s">
        <v>64</v>
      </c>
      <c r="N27" s="30" t="s">
        <v>67</v>
      </c>
      <c r="O27" s="27" t="s">
        <v>64</v>
      </c>
      <c r="P27" s="30" t="s">
        <v>67</v>
      </c>
      <c r="Q27" s="29"/>
      <c r="R27" s="27" t="s">
        <v>64</v>
      </c>
      <c r="S27" s="35" t="s">
        <v>114</v>
      </c>
      <c r="T27" s="27" t="s">
        <v>64</v>
      </c>
      <c r="U27" s="32" t="s">
        <v>115</v>
      </c>
      <c r="V27" s="27" t="s">
        <v>102</v>
      </c>
      <c r="W27" s="32" t="s">
        <v>71</v>
      </c>
      <c r="X27" s="186"/>
      <c r="Y27" s="27" t="s">
        <v>64</v>
      </c>
      <c r="Z27" s="28" t="s">
        <v>97</v>
      </c>
      <c r="AA27" s="27" t="s">
        <v>102</v>
      </c>
      <c r="AB27" s="28" t="s">
        <v>169</v>
      </c>
      <c r="AC27" s="200"/>
      <c r="AD27" s="27" t="s">
        <v>72</v>
      </c>
      <c r="AE27" s="28" t="s">
        <v>326</v>
      </c>
      <c r="AF27" s="27" t="s">
        <v>72</v>
      </c>
      <c r="AG27" s="28" t="s">
        <v>326</v>
      </c>
      <c r="AH27" s="27" t="s">
        <v>72</v>
      </c>
      <c r="AI27" s="28" t="s">
        <v>326</v>
      </c>
      <c r="AJ27" s="200"/>
      <c r="AK27" s="27" t="s">
        <v>64</v>
      </c>
      <c r="AL27" s="28" t="s">
        <v>497</v>
      </c>
      <c r="AM27" s="27" t="s">
        <v>64</v>
      </c>
      <c r="AN27" s="28" t="s">
        <v>534</v>
      </c>
      <c r="AO27" s="27" t="s">
        <v>102</v>
      </c>
      <c r="AP27" s="28" t="s">
        <v>527</v>
      </c>
      <c r="AQ27" s="200"/>
      <c r="AR27" s="27" t="s">
        <v>20</v>
      </c>
      <c r="AS27" s="28" t="s">
        <v>483</v>
      </c>
      <c r="AT27" s="27" t="s">
        <v>20</v>
      </c>
      <c r="AU27" s="28" t="s">
        <v>473</v>
      </c>
      <c r="AV27" s="27" t="s">
        <v>20</v>
      </c>
      <c r="AW27" s="28" t="s">
        <v>474</v>
      </c>
      <c r="AX27" s="27" t="s">
        <v>20</v>
      </c>
      <c r="AY27" s="28" t="s">
        <v>475</v>
      </c>
      <c r="AZ27" s="200"/>
      <c r="BA27" s="27" t="s">
        <v>102</v>
      </c>
      <c r="BB27" s="28" t="s">
        <v>106</v>
      </c>
      <c r="BC27" s="27" t="s">
        <v>64</v>
      </c>
      <c r="BD27" s="28" t="s">
        <v>86</v>
      </c>
      <c r="BE27" s="27" t="s">
        <v>102</v>
      </c>
      <c r="BF27" s="28" t="s">
        <v>107</v>
      </c>
      <c r="BG27" s="186"/>
      <c r="BH27" s="27" t="s">
        <v>64</v>
      </c>
      <c r="BI27" s="35" t="s">
        <v>88</v>
      </c>
      <c r="BJ27" s="27" t="s">
        <v>64</v>
      </c>
      <c r="BK27" s="38" t="s">
        <v>89</v>
      </c>
      <c r="BL27" s="200"/>
      <c r="BM27" s="27" t="s">
        <v>64</v>
      </c>
      <c r="BN27" s="28" t="s">
        <v>96</v>
      </c>
      <c r="BO27" s="186"/>
      <c r="BP27" s="27" t="s">
        <v>20</v>
      </c>
      <c r="BQ27" s="28" t="s">
        <v>488</v>
      </c>
      <c r="BR27" s="27" t="s">
        <v>20</v>
      </c>
      <c r="BS27" s="28" t="s">
        <v>92</v>
      </c>
      <c r="BT27" s="200"/>
      <c r="BU27" s="40"/>
      <c r="BV27" s="28">
        <v>1</v>
      </c>
      <c r="BW27" s="200"/>
      <c r="BX27" s="40"/>
      <c r="BY27" s="28">
        <v>8</v>
      </c>
      <c r="BZ27" s="197"/>
      <c r="CA27" s="41" t="s">
        <v>64</v>
      </c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</row>
    <row r="28" spans="1:97" ht="24.75" customHeight="1">
      <c r="A28" s="132">
        <v>16</v>
      </c>
      <c r="B28" s="25" t="s">
        <v>542</v>
      </c>
      <c r="C28" s="96" t="s">
        <v>499</v>
      </c>
      <c r="D28" s="123" t="s">
        <v>543</v>
      </c>
      <c r="E28" s="197"/>
      <c r="F28" s="27" t="s">
        <v>20</v>
      </c>
      <c r="G28" s="42" t="s">
        <v>338</v>
      </c>
      <c r="H28" s="27" t="s">
        <v>72</v>
      </c>
      <c r="I28" s="28" t="s">
        <v>544</v>
      </c>
      <c r="J28" s="29"/>
      <c r="K28" s="27" t="s">
        <v>20</v>
      </c>
      <c r="L28" s="31" t="s">
        <v>68</v>
      </c>
      <c r="M28" s="27" t="s">
        <v>20</v>
      </c>
      <c r="N28" s="31" t="s">
        <v>68</v>
      </c>
      <c r="O28" s="27" t="s">
        <v>20</v>
      </c>
      <c r="P28" s="31" t="s">
        <v>68</v>
      </c>
      <c r="Q28" s="29"/>
      <c r="R28" s="27" t="s">
        <v>64</v>
      </c>
      <c r="S28" s="35" t="s">
        <v>545</v>
      </c>
      <c r="T28" s="27" t="s">
        <v>64</v>
      </c>
      <c r="U28" s="32" t="s">
        <v>115</v>
      </c>
      <c r="V28" s="27" t="s">
        <v>64</v>
      </c>
      <c r="W28" s="50"/>
      <c r="X28" s="186"/>
      <c r="Y28" s="27" t="s">
        <v>72</v>
      </c>
      <c r="Z28" s="42" t="s">
        <v>546</v>
      </c>
      <c r="AA28" s="27" t="s">
        <v>72</v>
      </c>
      <c r="AB28" s="28" t="s">
        <v>74</v>
      </c>
      <c r="AC28" s="200"/>
      <c r="AD28" s="27" t="s">
        <v>72</v>
      </c>
      <c r="AE28" s="28" t="s">
        <v>326</v>
      </c>
      <c r="AF28" s="27" t="s">
        <v>72</v>
      </c>
      <c r="AG28" s="28" t="s">
        <v>326</v>
      </c>
      <c r="AH28" s="27" t="s">
        <v>72</v>
      </c>
      <c r="AI28" s="28" t="s">
        <v>326</v>
      </c>
      <c r="AJ28" s="200"/>
      <c r="AK28" s="27" t="s">
        <v>20</v>
      </c>
      <c r="AL28" s="28" t="s">
        <v>497</v>
      </c>
      <c r="AM28" s="27" t="s">
        <v>64</v>
      </c>
      <c r="AN28" s="28" t="s">
        <v>534</v>
      </c>
      <c r="AO28" s="27" t="s">
        <v>64</v>
      </c>
      <c r="AP28" s="28" t="s">
        <v>535</v>
      </c>
      <c r="AQ28" s="200"/>
      <c r="AR28" s="27" t="s">
        <v>72</v>
      </c>
      <c r="AS28" s="28" t="s">
        <v>547</v>
      </c>
      <c r="AT28" s="27" t="s">
        <v>72</v>
      </c>
      <c r="AU28" s="28" t="s">
        <v>548</v>
      </c>
      <c r="AV28" s="27" t="s">
        <v>72</v>
      </c>
      <c r="AW28" s="28" t="s">
        <v>549</v>
      </c>
      <c r="AX28" s="27" t="s">
        <v>72</v>
      </c>
      <c r="AY28" s="28" t="s">
        <v>550</v>
      </c>
      <c r="AZ28" s="200"/>
      <c r="BA28" s="27" t="s">
        <v>20</v>
      </c>
      <c r="BB28" s="28" t="s">
        <v>124</v>
      </c>
      <c r="BC28" s="27" t="s">
        <v>20</v>
      </c>
      <c r="BD28" s="28" t="s">
        <v>125</v>
      </c>
      <c r="BE28" s="27" t="s">
        <v>20</v>
      </c>
      <c r="BF28" s="28" t="s">
        <v>87</v>
      </c>
      <c r="BG28" s="186"/>
      <c r="BH28" s="27" t="s">
        <v>20</v>
      </c>
      <c r="BI28" s="38" t="s">
        <v>140</v>
      </c>
      <c r="BJ28" s="27" t="s">
        <v>64</v>
      </c>
      <c r="BK28" s="38" t="s">
        <v>89</v>
      </c>
      <c r="BL28" s="200"/>
      <c r="BM28" s="27" t="s">
        <v>20</v>
      </c>
      <c r="BN28" s="35" t="s">
        <v>487</v>
      </c>
      <c r="BO28" s="186"/>
      <c r="BP28" s="27" t="s">
        <v>20</v>
      </c>
      <c r="BQ28" s="28" t="s">
        <v>488</v>
      </c>
      <c r="BR28" s="27" t="s">
        <v>20</v>
      </c>
      <c r="BS28" s="28" t="s">
        <v>92</v>
      </c>
      <c r="BT28" s="200"/>
      <c r="BU28" s="40"/>
      <c r="BV28" s="40"/>
      <c r="BW28" s="200"/>
      <c r="BX28" s="40"/>
      <c r="BY28" s="28">
        <v>3</v>
      </c>
      <c r="BZ28" s="197"/>
      <c r="CA28" s="41" t="s">
        <v>20</v>
      </c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</row>
    <row r="29" spans="1:97" ht="24.75" customHeight="1">
      <c r="A29" s="132">
        <v>17</v>
      </c>
      <c r="B29" s="133" t="s">
        <v>551</v>
      </c>
      <c r="C29" s="137" t="s">
        <v>552</v>
      </c>
      <c r="D29" s="138" t="s">
        <v>553</v>
      </c>
      <c r="E29" s="197"/>
      <c r="F29" s="27" t="s">
        <v>64</v>
      </c>
      <c r="G29" s="42" t="s">
        <v>241</v>
      </c>
      <c r="H29" s="27" t="s">
        <v>102</v>
      </c>
      <c r="I29" s="42" t="s">
        <v>240</v>
      </c>
      <c r="J29" s="29"/>
      <c r="K29" s="49" t="s">
        <v>64</v>
      </c>
      <c r="L29" s="40"/>
      <c r="M29" s="49" t="s">
        <v>64</v>
      </c>
      <c r="N29" s="40"/>
      <c r="O29" s="49" t="s">
        <v>64</v>
      </c>
      <c r="P29" s="40"/>
      <c r="Q29" s="29"/>
      <c r="R29" s="27" t="s">
        <v>64</v>
      </c>
      <c r="S29" s="28" t="s">
        <v>114</v>
      </c>
      <c r="T29" s="27" t="s">
        <v>64</v>
      </c>
      <c r="U29" s="32" t="s">
        <v>115</v>
      </c>
      <c r="V29" s="27" t="s">
        <v>64</v>
      </c>
      <c r="W29" s="40"/>
      <c r="X29" s="186"/>
      <c r="Y29" s="27" t="s">
        <v>20</v>
      </c>
      <c r="Z29" s="42" t="s">
        <v>546</v>
      </c>
      <c r="AA29" s="27" t="s">
        <v>102</v>
      </c>
      <c r="AB29" s="28" t="s">
        <v>169</v>
      </c>
      <c r="AC29" s="200"/>
      <c r="AD29" s="27" t="s">
        <v>20</v>
      </c>
      <c r="AE29" s="93" t="s">
        <v>327</v>
      </c>
      <c r="AF29" s="27" t="s">
        <v>20</v>
      </c>
      <c r="AG29" s="93" t="s">
        <v>327</v>
      </c>
      <c r="AH29" s="27" t="s">
        <v>20</v>
      </c>
      <c r="AI29" s="93" t="s">
        <v>327</v>
      </c>
      <c r="AJ29" s="200"/>
      <c r="AK29" s="27" t="s">
        <v>102</v>
      </c>
      <c r="AL29" s="35" t="s">
        <v>527</v>
      </c>
      <c r="AM29" s="27" t="s">
        <v>102</v>
      </c>
      <c r="AN29" s="28" t="s">
        <v>538</v>
      </c>
      <c r="AO29" s="27" t="s">
        <v>102</v>
      </c>
      <c r="AP29" s="112" t="s">
        <v>527</v>
      </c>
      <c r="AQ29" s="200"/>
      <c r="AR29" s="27" t="s">
        <v>102</v>
      </c>
      <c r="AS29" s="28" t="s">
        <v>485</v>
      </c>
      <c r="AT29" s="27" t="s">
        <v>102</v>
      </c>
      <c r="AU29" s="28" t="s">
        <v>491</v>
      </c>
      <c r="AV29" s="27" t="s">
        <v>102</v>
      </c>
      <c r="AW29" s="28" t="s">
        <v>554</v>
      </c>
      <c r="AX29" s="27" t="s">
        <v>102</v>
      </c>
      <c r="AY29" s="28" t="s">
        <v>493</v>
      </c>
      <c r="AZ29" s="200"/>
      <c r="BA29" s="27" t="s">
        <v>64</v>
      </c>
      <c r="BB29" s="28" t="s">
        <v>85</v>
      </c>
      <c r="BC29" s="27" t="s">
        <v>64</v>
      </c>
      <c r="BD29" s="28" t="s">
        <v>86</v>
      </c>
      <c r="BE29" s="27" t="s">
        <v>20</v>
      </c>
      <c r="BF29" s="28" t="s">
        <v>87</v>
      </c>
      <c r="BG29" s="186"/>
      <c r="BH29" s="27" t="s">
        <v>102</v>
      </c>
      <c r="BI29" s="38" t="s">
        <v>108</v>
      </c>
      <c r="BJ29" s="27" t="s">
        <v>64</v>
      </c>
      <c r="BK29" s="38" t="s">
        <v>89</v>
      </c>
      <c r="BL29" s="200"/>
      <c r="BM29" s="27" t="s">
        <v>64</v>
      </c>
      <c r="BN29" s="28" t="s">
        <v>513</v>
      </c>
      <c r="BO29" s="186"/>
      <c r="BP29" s="27" t="s">
        <v>20</v>
      </c>
      <c r="BQ29" s="28" t="s">
        <v>488</v>
      </c>
      <c r="BR29" s="27" t="s">
        <v>20</v>
      </c>
      <c r="BS29" s="28" t="s">
        <v>92</v>
      </c>
      <c r="BT29" s="200"/>
      <c r="BU29" s="40"/>
      <c r="BV29" s="28"/>
      <c r="BW29" s="200"/>
      <c r="BX29" s="40"/>
      <c r="BY29" s="28">
        <v>3</v>
      </c>
      <c r="BZ29" s="197"/>
      <c r="CA29" s="41" t="s">
        <v>20</v>
      </c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</row>
    <row r="30" spans="1:97" ht="24.75" customHeight="1">
      <c r="A30" s="132">
        <v>18</v>
      </c>
      <c r="B30" s="25" t="s">
        <v>159</v>
      </c>
      <c r="C30" s="96" t="s">
        <v>555</v>
      </c>
      <c r="D30" s="123" t="s">
        <v>556</v>
      </c>
      <c r="E30" s="197"/>
      <c r="F30" s="27" t="s">
        <v>64</v>
      </c>
      <c r="G30" s="42" t="s">
        <v>241</v>
      </c>
      <c r="H30" s="27" t="s">
        <v>64</v>
      </c>
      <c r="I30" s="48" t="s">
        <v>241</v>
      </c>
      <c r="J30" s="29"/>
      <c r="K30" s="27" t="s">
        <v>20</v>
      </c>
      <c r="L30" s="31" t="s">
        <v>68</v>
      </c>
      <c r="M30" s="27" t="s">
        <v>64</v>
      </c>
      <c r="N30" s="30" t="s">
        <v>67</v>
      </c>
      <c r="O30" s="27" t="s">
        <v>20</v>
      </c>
      <c r="P30" s="31" t="s">
        <v>68</v>
      </c>
      <c r="Q30" s="29"/>
      <c r="R30" s="27" t="s">
        <v>20</v>
      </c>
      <c r="S30" s="28" t="s">
        <v>325</v>
      </c>
      <c r="T30" s="27" t="s">
        <v>20</v>
      </c>
      <c r="U30" s="32" t="s">
        <v>70</v>
      </c>
      <c r="V30" s="27" t="s">
        <v>20</v>
      </c>
      <c r="W30" s="32" t="s">
        <v>71</v>
      </c>
      <c r="X30" s="186"/>
      <c r="Y30" s="27" t="s">
        <v>20</v>
      </c>
      <c r="Z30" s="28" t="s">
        <v>73</v>
      </c>
      <c r="AA30" s="27" t="s">
        <v>64</v>
      </c>
      <c r="AB30" s="28" t="s">
        <v>97</v>
      </c>
      <c r="AC30" s="200"/>
      <c r="AD30" s="27" t="s">
        <v>72</v>
      </c>
      <c r="AE30" s="28" t="s">
        <v>326</v>
      </c>
      <c r="AF30" s="27" t="s">
        <v>72</v>
      </c>
      <c r="AG30" s="28" t="s">
        <v>326</v>
      </c>
      <c r="AH30" s="27" t="s">
        <v>72</v>
      </c>
      <c r="AI30" s="28" t="s">
        <v>326</v>
      </c>
      <c r="AJ30" s="200"/>
      <c r="AK30" s="27" t="s">
        <v>64</v>
      </c>
      <c r="AL30" s="35" t="s">
        <v>497</v>
      </c>
      <c r="AM30" s="27" t="s">
        <v>64</v>
      </c>
      <c r="AN30" s="35" t="s">
        <v>534</v>
      </c>
      <c r="AO30" s="27" t="s">
        <v>102</v>
      </c>
      <c r="AP30" s="35" t="s">
        <v>527</v>
      </c>
      <c r="AQ30" s="200"/>
      <c r="AR30" s="27" t="s">
        <v>64</v>
      </c>
      <c r="AS30" s="28" t="s">
        <v>485</v>
      </c>
      <c r="AT30" s="27" t="s">
        <v>64</v>
      </c>
      <c r="AU30" s="28" t="s">
        <v>484</v>
      </c>
      <c r="AV30" s="27" t="s">
        <v>64</v>
      </c>
      <c r="AW30" s="28" t="s">
        <v>485</v>
      </c>
      <c r="AX30" s="27" t="s">
        <v>64</v>
      </c>
      <c r="AY30" s="28" t="s">
        <v>486</v>
      </c>
      <c r="AZ30" s="200"/>
      <c r="BA30" s="27" t="s">
        <v>64</v>
      </c>
      <c r="BB30" s="28" t="s">
        <v>85</v>
      </c>
      <c r="BC30" s="27" t="s">
        <v>64</v>
      </c>
      <c r="BD30" s="28" t="s">
        <v>86</v>
      </c>
      <c r="BE30" s="27" t="s">
        <v>64</v>
      </c>
      <c r="BF30" s="28" t="s">
        <v>145</v>
      </c>
      <c r="BG30" s="186"/>
      <c r="BH30" s="27" t="s">
        <v>64</v>
      </c>
      <c r="BI30" s="35" t="s">
        <v>88</v>
      </c>
      <c r="BJ30" s="27" t="s">
        <v>102</v>
      </c>
      <c r="BK30" s="38" t="s">
        <v>108</v>
      </c>
      <c r="BL30" s="200"/>
      <c r="BM30" s="27" t="s">
        <v>64</v>
      </c>
      <c r="BN30" s="28" t="s">
        <v>513</v>
      </c>
      <c r="BO30" s="186"/>
      <c r="BP30" s="27" t="s">
        <v>20</v>
      </c>
      <c r="BQ30" s="28" t="s">
        <v>488</v>
      </c>
      <c r="BR30" s="27" t="s">
        <v>20</v>
      </c>
      <c r="BS30" s="28" t="s">
        <v>92</v>
      </c>
      <c r="BT30" s="200"/>
      <c r="BU30" s="40"/>
      <c r="BV30" s="28">
        <v>1</v>
      </c>
      <c r="BW30" s="200"/>
      <c r="BX30" s="40"/>
      <c r="BY30" s="40"/>
      <c r="BZ30" s="197"/>
      <c r="CA30" s="41" t="s">
        <v>20</v>
      </c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</row>
    <row r="31" spans="1:97" ht="24.75" customHeight="1">
      <c r="A31" s="132">
        <v>19</v>
      </c>
      <c r="B31" s="51" t="s">
        <v>557</v>
      </c>
      <c r="C31" s="90" t="s">
        <v>558</v>
      </c>
      <c r="D31" s="139" t="s">
        <v>559</v>
      </c>
      <c r="E31" s="197"/>
      <c r="F31" s="27" t="s">
        <v>102</v>
      </c>
      <c r="G31" s="42" t="s">
        <v>240</v>
      </c>
      <c r="H31" s="27" t="s">
        <v>102</v>
      </c>
      <c r="I31" s="48" t="s">
        <v>240</v>
      </c>
      <c r="J31" s="29"/>
      <c r="K31" s="27" t="s">
        <v>64</v>
      </c>
      <c r="L31" s="30" t="s">
        <v>67</v>
      </c>
      <c r="M31" s="27" t="s">
        <v>64</v>
      </c>
      <c r="N31" s="30" t="s">
        <v>67</v>
      </c>
      <c r="O31" s="27" t="s">
        <v>64</v>
      </c>
      <c r="P31" s="30" t="s">
        <v>67</v>
      </c>
      <c r="Q31" s="29"/>
      <c r="R31" s="27" t="s">
        <v>20</v>
      </c>
      <c r="S31" s="35" t="s">
        <v>325</v>
      </c>
      <c r="T31" s="27" t="s">
        <v>20</v>
      </c>
      <c r="U31" s="32" t="s">
        <v>70</v>
      </c>
      <c r="V31" s="27" t="s">
        <v>20</v>
      </c>
      <c r="W31" s="32" t="s">
        <v>71</v>
      </c>
      <c r="X31" s="186"/>
      <c r="Y31" s="27" t="s">
        <v>20</v>
      </c>
      <c r="Z31" s="42" t="s">
        <v>546</v>
      </c>
      <c r="AA31" s="27" t="s">
        <v>20</v>
      </c>
      <c r="AB31" s="28" t="s">
        <v>74</v>
      </c>
      <c r="AC31" s="200"/>
      <c r="AD31" s="27" t="s">
        <v>20</v>
      </c>
      <c r="AE31" s="93" t="s">
        <v>327</v>
      </c>
      <c r="AF31" s="27" t="s">
        <v>20</v>
      </c>
      <c r="AG31" s="93" t="s">
        <v>327</v>
      </c>
      <c r="AH31" s="27" t="s">
        <v>20</v>
      </c>
      <c r="AI31" s="93" t="s">
        <v>327</v>
      </c>
      <c r="AJ31" s="200"/>
      <c r="AK31" s="27" t="s">
        <v>102</v>
      </c>
      <c r="AL31" s="28" t="s">
        <v>527</v>
      </c>
      <c r="AM31" s="27" t="s">
        <v>102</v>
      </c>
      <c r="AN31" s="28" t="s">
        <v>528</v>
      </c>
      <c r="AO31" s="27" t="s">
        <v>102</v>
      </c>
      <c r="AP31" s="28" t="s">
        <v>527</v>
      </c>
      <c r="AQ31" s="200"/>
      <c r="AR31" s="27" t="s">
        <v>102</v>
      </c>
      <c r="AS31" s="28" t="s">
        <v>485</v>
      </c>
      <c r="AT31" s="27" t="s">
        <v>102</v>
      </c>
      <c r="AU31" s="28" t="s">
        <v>491</v>
      </c>
      <c r="AV31" s="27" t="s">
        <v>102</v>
      </c>
      <c r="AW31" s="28" t="s">
        <v>492</v>
      </c>
      <c r="AX31" s="27" t="s">
        <v>102</v>
      </c>
      <c r="AY31" s="28" t="s">
        <v>493</v>
      </c>
      <c r="AZ31" s="200"/>
      <c r="BA31" s="27" t="s">
        <v>64</v>
      </c>
      <c r="BB31" s="28" t="s">
        <v>85</v>
      </c>
      <c r="BC31" s="27" t="s">
        <v>64</v>
      </c>
      <c r="BD31" s="28" t="s">
        <v>86</v>
      </c>
      <c r="BE31" s="27" t="s">
        <v>64</v>
      </c>
      <c r="BF31" s="28" t="s">
        <v>145</v>
      </c>
      <c r="BG31" s="186"/>
      <c r="BH31" s="27" t="s">
        <v>20</v>
      </c>
      <c r="BI31" s="38" t="s">
        <v>140</v>
      </c>
      <c r="BJ31" s="27" t="s">
        <v>102</v>
      </c>
      <c r="BK31" s="38" t="s">
        <v>108</v>
      </c>
      <c r="BL31" s="200"/>
      <c r="BM31" s="27" t="s">
        <v>64</v>
      </c>
      <c r="BN31" s="28" t="s">
        <v>513</v>
      </c>
      <c r="BO31" s="186"/>
      <c r="BP31" s="27" t="s">
        <v>64</v>
      </c>
      <c r="BQ31" s="118" t="s">
        <v>477</v>
      </c>
      <c r="BR31" s="27" t="s">
        <v>64</v>
      </c>
      <c r="BS31" s="28" t="s">
        <v>109</v>
      </c>
      <c r="BT31" s="200"/>
      <c r="BU31" s="40"/>
      <c r="BV31" s="28">
        <v>2</v>
      </c>
      <c r="BW31" s="200"/>
      <c r="BX31" s="40"/>
      <c r="BY31" s="40"/>
      <c r="BZ31" s="197"/>
      <c r="CA31" s="41" t="s">
        <v>20</v>
      </c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</row>
    <row r="32" spans="1:97" ht="24.75" customHeight="1">
      <c r="A32" s="132">
        <v>20</v>
      </c>
      <c r="B32" s="25" t="s">
        <v>560</v>
      </c>
      <c r="C32" s="25" t="s">
        <v>561</v>
      </c>
      <c r="D32" s="127" t="s">
        <v>562</v>
      </c>
      <c r="E32" s="197"/>
      <c r="F32" s="27" t="s">
        <v>64</v>
      </c>
      <c r="G32" s="42" t="s">
        <v>241</v>
      </c>
      <c r="H32" s="27" t="s">
        <v>102</v>
      </c>
      <c r="I32" s="42" t="s">
        <v>240</v>
      </c>
      <c r="J32" s="29"/>
      <c r="K32" s="27" t="s">
        <v>64</v>
      </c>
      <c r="L32" s="30" t="s">
        <v>67</v>
      </c>
      <c r="M32" s="27" t="s">
        <v>64</v>
      </c>
      <c r="N32" s="30" t="s">
        <v>67</v>
      </c>
      <c r="O32" s="27" t="s">
        <v>64</v>
      </c>
      <c r="P32" s="40"/>
      <c r="Q32" s="29"/>
      <c r="R32" s="27" t="s">
        <v>64</v>
      </c>
      <c r="S32" s="28" t="s">
        <v>157</v>
      </c>
      <c r="T32" s="27" t="s">
        <v>64</v>
      </c>
      <c r="U32" s="32" t="s">
        <v>115</v>
      </c>
      <c r="V32" s="27" t="s">
        <v>64</v>
      </c>
      <c r="W32" s="40"/>
      <c r="X32" s="186"/>
      <c r="Y32" s="27" t="s">
        <v>64</v>
      </c>
      <c r="Z32" s="28" t="s">
        <v>97</v>
      </c>
      <c r="AA32" s="27" t="s">
        <v>102</v>
      </c>
      <c r="AB32" s="28" t="s">
        <v>169</v>
      </c>
      <c r="AC32" s="200"/>
      <c r="AD32" s="27" t="s">
        <v>64</v>
      </c>
      <c r="AE32" s="93" t="s">
        <v>526</v>
      </c>
      <c r="AF32" s="27" t="s">
        <v>64</v>
      </c>
      <c r="AG32" s="93" t="s">
        <v>526</v>
      </c>
      <c r="AH32" s="27" t="s">
        <v>20</v>
      </c>
      <c r="AI32" s="93" t="s">
        <v>327</v>
      </c>
      <c r="AJ32" s="200"/>
      <c r="AK32" s="27" t="s">
        <v>102</v>
      </c>
      <c r="AL32" s="35" t="s">
        <v>527</v>
      </c>
      <c r="AM32" s="27" t="s">
        <v>102</v>
      </c>
      <c r="AN32" s="35" t="s">
        <v>528</v>
      </c>
      <c r="AO32" s="27" t="s">
        <v>102</v>
      </c>
      <c r="AP32" s="35" t="s">
        <v>563</v>
      </c>
      <c r="AQ32" s="200"/>
      <c r="AR32" s="27" t="s">
        <v>102</v>
      </c>
      <c r="AS32" s="28" t="s">
        <v>485</v>
      </c>
      <c r="AT32" s="27" t="s">
        <v>102</v>
      </c>
      <c r="AU32" s="28" t="s">
        <v>491</v>
      </c>
      <c r="AV32" s="27" t="s">
        <v>102</v>
      </c>
      <c r="AW32" s="28" t="s">
        <v>492</v>
      </c>
      <c r="AX32" s="27" t="s">
        <v>102</v>
      </c>
      <c r="AY32" s="28" t="s">
        <v>493</v>
      </c>
      <c r="AZ32" s="200"/>
      <c r="BA32" s="27" t="s">
        <v>64</v>
      </c>
      <c r="BB32" s="28" t="s">
        <v>85</v>
      </c>
      <c r="BC32" s="27" t="s">
        <v>102</v>
      </c>
      <c r="BD32" s="28" t="s">
        <v>206</v>
      </c>
      <c r="BE32" s="27" t="s">
        <v>102</v>
      </c>
      <c r="BF32" s="28" t="s">
        <v>107</v>
      </c>
      <c r="BG32" s="186"/>
      <c r="BH32" s="27" t="s">
        <v>64</v>
      </c>
      <c r="BI32" s="35" t="s">
        <v>88</v>
      </c>
      <c r="BJ32" s="27" t="s">
        <v>102</v>
      </c>
      <c r="BK32" s="38" t="s">
        <v>108</v>
      </c>
      <c r="BL32" s="200"/>
      <c r="BM32" s="27" t="s">
        <v>64</v>
      </c>
      <c r="BN32" s="28" t="s">
        <v>513</v>
      </c>
      <c r="BO32" s="186"/>
      <c r="BP32" s="27" t="s">
        <v>64</v>
      </c>
      <c r="BQ32" s="118" t="s">
        <v>477</v>
      </c>
      <c r="BR32" s="27" t="s">
        <v>64</v>
      </c>
      <c r="BS32" s="28" t="s">
        <v>109</v>
      </c>
      <c r="BT32" s="200"/>
      <c r="BU32" s="40"/>
      <c r="BV32" s="28">
        <v>3</v>
      </c>
      <c r="BW32" s="200"/>
      <c r="BX32" s="40"/>
      <c r="BY32" s="28">
        <v>4</v>
      </c>
      <c r="BZ32" s="197"/>
      <c r="CA32" s="41" t="s">
        <v>20</v>
      </c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</row>
    <row r="33" spans="1:97" ht="24.75" customHeight="1">
      <c r="A33" s="132">
        <v>21</v>
      </c>
      <c r="B33" s="25" t="s">
        <v>560</v>
      </c>
      <c r="C33" s="96" t="s">
        <v>281</v>
      </c>
      <c r="D33" s="123" t="s">
        <v>564</v>
      </c>
      <c r="E33" s="197"/>
      <c r="F33" s="27" t="s">
        <v>102</v>
      </c>
      <c r="G33" s="42" t="s">
        <v>240</v>
      </c>
      <c r="H33" s="27" t="s">
        <v>102</v>
      </c>
      <c r="I33" s="42" t="s">
        <v>240</v>
      </c>
      <c r="J33" s="29"/>
      <c r="K33" s="27" t="s">
        <v>102</v>
      </c>
      <c r="L33" s="28" t="s">
        <v>103</v>
      </c>
      <c r="M33" s="27" t="s">
        <v>102</v>
      </c>
      <c r="N33" s="28" t="s">
        <v>103</v>
      </c>
      <c r="O33" s="27" t="s">
        <v>102</v>
      </c>
      <c r="P33" s="28" t="s">
        <v>103</v>
      </c>
      <c r="Q33" s="29"/>
      <c r="R33" s="27" t="s">
        <v>64</v>
      </c>
      <c r="S33" s="28" t="s">
        <v>114</v>
      </c>
      <c r="T33" s="27" t="s">
        <v>64</v>
      </c>
      <c r="U33" s="32" t="s">
        <v>115</v>
      </c>
      <c r="V33" s="27" t="s">
        <v>64</v>
      </c>
      <c r="W33" s="40"/>
      <c r="X33" s="186"/>
      <c r="Y33" s="27" t="s">
        <v>102</v>
      </c>
      <c r="Z33" s="28" t="s">
        <v>264</v>
      </c>
      <c r="AA33" s="27" t="s">
        <v>102</v>
      </c>
      <c r="AB33" s="28" t="s">
        <v>169</v>
      </c>
      <c r="AC33" s="200"/>
      <c r="AD33" s="27" t="s">
        <v>20</v>
      </c>
      <c r="AE33" s="93" t="s">
        <v>327</v>
      </c>
      <c r="AF33" s="27" t="s">
        <v>20</v>
      </c>
      <c r="AG33" s="93" t="s">
        <v>327</v>
      </c>
      <c r="AH33" s="27" t="s">
        <v>20</v>
      </c>
      <c r="AI33" s="93" t="s">
        <v>327</v>
      </c>
      <c r="AJ33" s="200"/>
      <c r="AK33" s="27" t="s">
        <v>102</v>
      </c>
      <c r="AL33" s="35" t="s">
        <v>565</v>
      </c>
      <c r="AM33" s="27" t="s">
        <v>64</v>
      </c>
      <c r="AN33" s="35" t="s">
        <v>566</v>
      </c>
      <c r="AO33" s="27" t="s">
        <v>64</v>
      </c>
      <c r="AP33" s="35" t="s">
        <v>535</v>
      </c>
      <c r="AQ33" s="200"/>
      <c r="AR33" s="27" t="s">
        <v>102</v>
      </c>
      <c r="AS33" s="28" t="s">
        <v>485</v>
      </c>
      <c r="AT33" s="27" t="s">
        <v>102</v>
      </c>
      <c r="AU33" s="28" t="s">
        <v>491</v>
      </c>
      <c r="AV33" s="27" t="s">
        <v>102</v>
      </c>
      <c r="AW33" s="28" t="s">
        <v>554</v>
      </c>
      <c r="AX33" s="27" t="s">
        <v>102</v>
      </c>
      <c r="AY33" s="28" t="s">
        <v>493</v>
      </c>
      <c r="AZ33" s="200"/>
      <c r="BA33" s="27" t="s">
        <v>102</v>
      </c>
      <c r="BB33" s="28" t="s">
        <v>106</v>
      </c>
      <c r="BC33" s="27" t="s">
        <v>64</v>
      </c>
      <c r="BD33" s="28" t="s">
        <v>86</v>
      </c>
      <c r="BE33" s="27" t="s">
        <v>102</v>
      </c>
      <c r="BF33" s="28" t="s">
        <v>107</v>
      </c>
      <c r="BG33" s="186"/>
      <c r="BH33" s="27" t="s">
        <v>102</v>
      </c>
      <c r="BI33" s="38" t="s">
        <v>108</v>
      </c>
      <c r="BJ33" s="27" t="s">
        <v>64</v>
      </c>
      <c r="BK33" s="38" t="s">
        <v>89</v>
      </c>
      <c r="BL33" s="200"/>
      <c r="BM33" s="27" t="s">
        <v>64</v>
      </c>
      <c r="BN33" s="28" t="s">
        <v>513</v>
      </c>
      <c r="BO33" s="186"/>
      <c r="BP33" s="27" t="s">
        <v>20</v>
      </c>
      <c r="BQ33" s="28" t="s">
        <v>488</v>
      </c>
      <c r="BR33" s="27" t="s">
        <v>20</v>
      </c>
      <c r="BS33" s="28" t="s">
        <v>92</v>
      </c>
      <c r="BT33" s="200"/>
      <c r="BU33" s="40"/>
      <c r="BV33" s="28">
        <v>5</v>
      </c>
      <c r="BW33" s="200"/>
      <c r="BX33" s="40"/>
      <c r="BY33" s="28">
        <v>3</v>
      </c>
      <c r="BZ33" s="197"/>
      <c r="CA33" s="41" t="s">
        <v>20</v>
      </c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</row>
    <row r="34" spans="1:97" ht="24.75" customHeight="1">
      <c r="A34" s="132">
        <v>22</v>
      </c>
      <c r="B34" s="25" t="s">
        <v>567</v>
      </c>
      <c r="C34" s="25" t="s">
        <v>568</v>
      </c>
      <c r="D34" s="25" t="s">
        <v>569</v>
      </c>
      <c r="E34" s="197"/>
      <c r="F34" s="27" t="s">
        <v>102</v>
      </c>
      <c r="G34" s="42" t="s">
        <v>240</v>
      </c>
      <c r="H34" s="27" t="s">
        <v>102</v>
      </c>
      <c r="I34" s="42" t="s">
        <v>240</v>
      </c>
      <c r="J34" s="29"/>
      <c r="K34" s="27" t="s">
        <v>102</v>
      </c>
      <c r="L34" s="28" t="s">
        <v>103</v>
      </c>
      <c r="M34" s="27" t="s">
        <v>64</v>
      </c>
      <c r="N34" s="30" t="s">
        <v>67</v>
      </c>
      <c r="O34" s="27" t="s">
        <v>64</v>
      </c>
      <c r="P34" s="30" t="s">
        <v>67</v>
      </c>
      <c r="Q34" s="29"/>
      <c r="R34" s="27" t="s">
        <v>64</v>
      </c>
      <c r="S34" s="35" t="s">
        <v>157</v>
      </c>
      <c r="T34" s="27" t="s">
        <v>64</v>
      </c>
      <c r="U34" s="32" t="s">
        <v>115</v>
      </c>
      <c r="V34" s="27" t="s">
        <v>64</v>
      </c>
      <c r="W34" s="140"/>
      <c r="X34" s="186"/>
      <c r="Y34" s="27" t="s">
        <v>64</v>
      </c>
      <c r="Z34" s="28" t="s">
        <v>97</v>
      </c>
      <c r="AA34" s="27" t="s">
        <v>102</v>
      </c>
      <c r="AB34" s="28" t="s">
        <v>169</v>
      </c>
      <c r="AC34" s="200"/>
      <c r="AD34" s="27" t="s">
        <v>20</v>
      </c>
      <c r="AE34" s="93" t="s">
        <v>327</v>
      </c>
      <c r="AF34" s="27" t="s">
        <v>20</v>
      </c>
      <c r="AG34" s="93" t="s">
        <v>327</v>
      </c>
      <c r="AH34" s="27" t="s">
        <v>20</v>
      </c>
      <c r="AI34" s="93" t="s">
        <v>327</v>
      </c>
      <c r="AJ34" s="200"/>
      <c r="AK34" s="27" t="s">
        <v>102</v>
      </c>
      <c r="AL34" s="35" t="s">
        <v>527</v>
      </c>
      <c r="AM34" s="27" t="s">
        <v>102</v>
      </c>
      <c r="AN34" s="35" t="s">
        <v>528</v>
      </c>
      <c r="AO34" s="27" t="s">
        <v>102</v>
      </c>
      <c r="AP34" s="35" t="s">
        <v>570</v>
      </c>
      <c r="AQ34" s="200"/>
      <c r="AR34" s="27" t="s">
        <v>102</v>
      </c>
      <c r="AS34" s="28" t="s">
        <v>485</v>
      </c>
      <c r="AT34" s="27" t="s">
        <v>102</v>
      </c>
      <c r="AU34" s="28" t="s">
        <v>491</v>
      </c>
      <c r="AV34" s="27" t="s">
        <v>102</v>
      </c>
      <c r="AW34" s="28" t="s">
        <v>492</v>
      </c>
      <c r="AX34" s="27" t="s">
        <v>102</v>
      </c>
      <c r="AY34" s="28" t="s">
        <v>493</v>
      </c>
      <c r="AZ34" s="200"/>
      <c r="BA34" s="27" t="s">
        <v>64</v>
      </c>
      <c r="BB34" s="28" t="s">
        <v>85</v>
      </c>
      <c r="BC34" s="27" t="s">
        <v>64</v>
      </c>
      <c r="BD34" s="28" t="s">
        <v>86</v>
      </c>
      <c r="BE34" s="27" t="s">
        <v>64</v>
      </c>
      <c r="BF34" s="28" t="s">
        <v>145</v>
      </c>
      <c r="BG34" s="186"/>
      <c r="BH34" s="27" t="s">
        <v>102</v>
      </c>
      <c r="BI34" s="38" t="s">
        <v>108</v>
      </c>
      <c r="BJ34" s="27" t="s">
        <v>102</v>
      </c>
      <c r="BK34" s="38" t="s">
        <v>108</v>
      </c>
      <c r="BL34" s="200"/>
      <c r="BM34" s="27" t="s">
        <v>64</v>
      </c>
      <c r="BN34" s="28" t="s">
        <v>96</v>
      </c>
      <c r="BO34" s="186"/>
      <c r="BP34" s="27" t="s">
        <v>20</v>
      </c>
      <c r="BQ34" s="28" t="s">
        <v>488</v>
      </c>
      <c r="BR34" s="27" t="s">
        <v>20</v>
      </c>
      <c r="BS34" s="28" t="s">
        <v>92</v>
      </c>
      <c r="BT34" s="200"/>
      <c r="BU34" s="40"/>
      <c r="BV34" s="40"/>
      <c r="BW34" s="200"/>
      <c r="BX34" s="40"/>
      <c r="BY34" s="28">
        <v>3</v>
      </c>
      <c r="BZ34" s="197"/>
      <c r="CA34" s="41" t="s">
        <v>20</v>
      </c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</row>
    <row r="35" spans="1:97" ht="24.75" customHeight="1">
      <c r="A35" s="24">
        <v>23</v>
      </c>
      <c r="B35" s="25" t="s">
        <v>571</v>
      </c>
      <c r="C35" s="96" t="s">
        <v>572</v>
      </c>
      <c r="D35" s="123" t="s">
        <v>573</v>
      </c>
      <c r="E35" s="197"/>
      <c r="F35" s="27" t="s">
        <v>64</v>
      </c>
      <c r="G35" s="42" t="s">
        <v>241</v>
      </c>
      <c r="H35" s="27" t="s">
        <v>102</v>
      </c>
      <c r="I35" s="42" t="s">
        <v>240</v>
      </c>
      <c r="J35" s="29"/>
      <c r="K35" s="27" t="s">
        <v>64</v>
      </c>
      <c r="L35" s="30" t="s">
        <v>67</v>
      </c>
      <c r="M35" s="27" t="s">
        <v>20</v>
      </c>
      <c r="N35" s="31" t="s">
        <v>68</v>
      </c>
      <c r="O35" s="27" t="s">
        <v>64</v>
      </c>
      <c r="P35" s="30" t="s">
        <v>67</v>
      </c>
      <c r="Q35" s="29"/>
      <c r="R35" s="27" t="s">
        <v>20</v>
      </c>
      <c r="S35" s="28" t="s">
        <v>325</v>
      </c>
      <c r="T35" s="27" t="s">
        <v>20</v>
      </c>
      <c r="U35" s="32" t="s">
        <v>70</v>
      </c>
      <c r="V35" s="27" t="s">
        <v>20</v>
      </c>
      <c r="W35" s="32" t="s">
        <v>71</v>
      </c>
      <c r="X35" s="186"/>
      <c r="Y35" s="27" t="s">
        <v>20</v>
      </c>
      <c r="Z35" s="28" t="s">
        <v>73</v>
      </c>
      <c r="AA35" s="27" t="s">
        <v>102</v>
      </c>
      <c r="AB35" s="28" t="s">
        <v>169</v>
      </c>
      <c r="AC35" s="200"/>
      <c r="AD35" s="27" t="s">
        <v>72</v>
      </c>
      <c r="AE35" s="28" t="s">
        <v>326</v>
      </c>
      <c r="AF35" s="27" t="s">
        <v>72</v>
      </c>
      <c r="AG35" s="28" t="s">
        <v>326</v>
      </c>
      <c r="AH35" s="27" t="s">
        <v>72</v>
      </c>
      <c r="AI35" s="28" t="s">
        <v>326</v>
      </c>
      <c r="AJ35" s="200"/>
      <c r="AK35" s="27" t="s">
        <v>64</v>
      </c>
      <c r="AL35" s="28" t="s">
        <v>497</v>
      </c>
      <c r="AM35" s="27" t="s">
        <v>64</v>
      </c>
      <c r="AN35" s="28" t="s">
        <v>566</v>
      </c>
      <c r="AO35" s="27" t="s">
        <v>102</v>
      </c>
      <c r="AP35" s="28" t="s">
        <v>527</v>
      </c>
      <c r="AQ35" s="200"/>
      <c r="AR35" s="27" t="s">
        <v>64</v>
      </c>
      <c r="AS35" s="28" t="s">
        <v>485</v>
      </c>
      <c r="AT35" s="27" t="s">
        <v>64</v>
      </c>
      <c r="AU35" s="28" t="s">
        <v>484</v>
      </c>
      <c r="AV35" s="27" t="s">
        <v>64</v>
      </c>
      <c r="AW35" s="28" t="s">
        <v>484</v>
      </c>
      <c r="AX35" s="27" t="s">
        <v>64</v>
      </c>
      <c r="AY35" s="28" t="s">
        <v>486</v>
      </c>
      <c r="AZ35" s="200"/>
      <c r="BA35" s="27" t="s">
        <v>64</v>
      </c>
      <c r="BB35" s="28" t="s">
        <v>85</v>
      </c>
      <c r="BC35" s="27" t="s">
        <v>64</v>
      </c>
      <c r="BD35" s="28" t="s">
        <v>86</v>
      </c>
      <c r="BE35" s="27" t="s">
        <v>64</v>
      </c>
      <c r="BF35" s="28" t="s">
        <v>145</v>
      </c>
      <c r="BG35" s="186"/>
      <c r="BH35" s="27" t="s">
        <v>20</v>
      </c>
      <c r="BI35" s="38" t="s">
        <v>140</v>
      </c>
      <c r="BJ35" s="27" t="s">
        <v>102</v>
      </c>
      <c r="BK35" s="38" t="s">
        <v>108</v>
      </c>
      <c r="BL35" s="200"/>
      <c r="BM35" s="27" t="s">
        <v>20</v>
      </c>
      <c r="BN35" s="35" t="s">
        <v>487</v>
      </c>
      <c r="BO35" s="186"/>
      <c r="BP35" s="27" t="s">
        <v>20</v>
      </c>
      <c r="BQ35" s="28" t="s">
        <v>488</v>
      </c>
      <c r="BR35" s="27" t="s">
        <v>20</v>
      </c>
      <c r="BS35" s="28" t="s">
        <v>92</v>
      </c>
      <c r="BT35" s="200"/>
      <c r="BU35" s="40"/>
      <c r="BV35" s="40"/>
      <c r="BW35" s="200"/>
      <c r="BX35" s="40"/>
      <c r="BY35" s="28">
        <v>3</v>
      </c>
      <c r="BZ35" s="197"/>
      <c r="CA35" s="41" t="s">
        <v>20</v>
      </c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</row>
    <row r="36" spans="1:97" ht="24.75" customHeight="1">
      <c r="A36" s="24">
        <v>24</v>
      </c>
      <c r="B36" s="141" t="s">
        <v>186</v>
      </c>
      <c r="C36" s="141" t="s">
        <v>574</v>
      </c>
      <c r="D36" s="142" t="s">
        <v>575</v>
      </c>
      <c r="E36" s="197"/>
      <c r="F36" s="27" t="s">
        <v>221</v>
      </c>
      <c r="G36" s="40"/>
      <c r="H36" s="49" t="s">
        <v>221</v>
      </c>
      <c r="I36" s="40"/>
      <c r="J36" s="29"/>
      <c r="K36" s="49" t="s">
        <v>221</v>
      </c>
      <c r="L36" s="40"/>
      <c r="M36" s="49" t="s">
        <v>221</v>
      </c>
      <c r="N36" s="40"/>
      <c r="O36" s="49" t="s">
        <v>221</v>
      </c>
      <c r="P36" s="40"/>
      <c r="Q36" s="29"/>
      <c r="R36" s="27" t="s">
        <v>221</v>
      </c>
      <c r="S36" s="40"/>
      <c r="T36" s="27" t="s">
        <v>221</v>
      </c>
      <c r="U36" s="40"/>
      <c r="V36" s="27" t="s">
        <v>221</v>
      </c>
      <c r="W36" s="40"/>
      <c r="X36" s="186"/>
      <c r="Y36" s="27" t="s">
        <v>102</v>
      </c>
      <c r="Z36" s="28" t="s">
        <v>264</v>
      </c>
      <c r="AA36" s="27" t="s">
        <v>102</v>
      </c>
      <c r="AB36" s="28" t="s">
        <v>169</v>
      </c>
      <c r="AC36" s="200"/>
      <c r="AD36" s="27" t="s">
        <v>102</v>
      </c>
      <c r="AE36" s="28" t="s">
        <v>376</v>
      </c>
      <c r="AF36" s="27" t="s">
        <v>102</v>
      </c>
      <c r="AG36" s="28" t="s">
        <v>376</v>
      </c>
      <c r="AH36" s="27" t="s">
        <v>102</v>
      </c>
      <c r="AI36" s="28" t="s">
        <v>376</v>
      </c>
      <c r="AJ36" s="200"/>
      <c r="AK36" s="27" t="s">
        <v>102</v>
      </c>
      <c r="AL36" s="28" t="s">
        <v>527</v>
      </c>
      <c r="AM36" s="27" t="s">
        <v>102</v>
      </c>
      <c r="AN36" s="28" t="s">
        <v>563</v>
      </c>
      <c r="AO36" s="27" t="s">
        <v>102</v>
      </c>
      <c r="AP36" s="28" t="s">
        <v>527</v>
      </c>
      <c r="AQ36" s="200"/>
      <c r="AR36" s="27"/>
      <c r="AS36" s="28"/>
      <c r="AT36" s="27"/>
      <c r="AU36" s="40"/>
      <c r="AV36" s="27"/>
      <c r="AW36" s="40"/>
      <c r="AX36" s="27" t="s">
        <v>221</v>
      </c>
      <c r="AY36" s="40"/>
      <c r="AZ36" s="200"/>
      <c r="BA36" s="49"/>
      <c r="BB36" s="40"/>
      <c r="BC36" s="49"/>
      <c r="BD36" s="40"/>
      <c r="BE36" s="49" t="s">
        <v>221</v>
      </c>
      <c r="BF36" s="40"/>
      <c r="BG36" s="186"/>
      <c r="BH36" s="27" t="s">
        <v>220</v>
      </c>
      <c r="BI36" s="40"/>
      <c r="BJ36" s="27" t="s">
        <v>221</v>
      </c>
      <c r="BK36" s="40"/>
      <c r="BL36" s="200"/>
      <c r="BM36" s="49" t="s">
        <v>221</v>
      </c>
      <c r="BN36" s="40"/>
      <c r="BO36" s="186"/>
      <c r="BP36" s="49" t="s">
        <v>221</v>
      </c>
      <c r="BQ36" s="40"/>
      <c r="BR36" s="49" t="s">
        <v>221</v>
      </c>
      <c r="BS36" s="40"/>
      <c r="BT36" s="200"/>
      <c r="BU36" s="40"/>
      <c r="BV36" s="40"/>
      <c r="BW36" s="200"/>
      <c r="BX36" s="40"/>
      <c r="BY36" s="40"/>
      <c r="BZ36" s="197"/>
      <c r="CA36" s="41" t="s">
        <v>221</v>
      </c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</row>
    <row r="37" spans="1:97" ht="24.75" customHeight="1">
      <c r="A37" s="24">
        <v>25</v>
      </c>
      <c r="B37" s="25" t="s">
        <v>576</v>
      </c>
      <c r="C37" s="124" t="s">
        <v>137</v>
      </c>
      <c r="D37" s="125" t="s">
        <v>577</v>
      </c>
      <c r="E37" s="197"/>
      <c r="F37" s="27" t="s">
        <v>64</v>
      </c>
      <c r="G37" s="42" t="s">
        <v>241</v>
      </c>
      <c r="H37" s="27" t="s">
        <v>20</v>
      </c>
      <c r="I37" s="48" t="s">
        <v>338</v>
      </c>
      <c r="J37" s="29"/>
      <c r="K37" s="27" t="s">
        <v>64</v>
      </c>
      <c r="L37" s="30" t="s">
        <v>67</v>
      </c>
      <c r="M37" s="27" t="s">
        <v>64</v>
      </c>
      <c r="N37" s="30" t="s">
        <v>67</v>
      </c>
      <c r="O37" s="27" t="s">
        <v>20</v>
      </c>
      <c r="P37" s="31" t="s">
        <v>68</v>
      </c>
      <c r="Q37" s="29"/>
      <c r="R37" s="27" t="s">
        <v>20</v>
      </c>
      <c r="S37" s="28" t="s">
        <v>578</v>
      </c>
      <c r="T37" s="27" t="s">
        <v>20</v>
      </c>
      <c r="U37" s="32" t="s">
        <v>70</v>
      </c>
      <c r="V37" s="27" t="s">
        <v>20</v>
      </c>
      <c r="W37" s="32" t="s">
        <v>71</v>
      </c>
      <c r="X37" s="186"/>
      <c r="Y37" s="27" t="s">
        <v>20</v>
      </c>
      <c r="Z37" s="28" t="s">
        <v>73</v>
      </c>
      <c r="AA37" s="27" t="s">
        <v>20</v>
      </c>
      <c r="AB37" s="28" t="s">
        <v>74</v>
      </c>
      <c r="AC37" s="200"/>
      <c r="AD37" s="27" t="s">
        <v>72</v>
      </c>
      <c r="AE37" s="28" t="s">
        <v>326</v>
      </c>
      <c r="AF37" s="27" t="s">
        <v>72</v>
      </c>
      <c r="AG37" s="28" t="s">
        <v>326</v>
      </c>
      <c r="AH37" s="27" t="s">
        <v>72</v>
      </c>
      <c r="AI37" s="28" t="s">
        <v>326</v>
      </c>
      <c r="AJ37" s="200"/>
      <c r="AK37" s="27" t="s">
        <v>102</v>
      </c>
      <c r="AL37" s="28" t="s">
        <v>527</v>
      </c>
      <c r="AM37" s="27" t="s">
        <v>64</v>
      </c>
      <c r="AN37" s="28" t="s">
        <v>566</v>
      </c>
      <c r="AO37" s="27" t="s">
        <v>64</v>
      </c>
      <c r="AP37" s="28" t="s">
        <v>579</v>
      </c>
      <c r="AQ37" s="200"/>
      <c r="AR37" s="27" t="s">
        <v>102</v>
      </c>
      <c r="AS37" s="28" t="s">
        <v>485</v>
      </c>
      <c r="AT37" s="27" t="s">
        <v>102</v>
      </c>
      <c r="AU37" s="28" t="s">
        <v>491</v>
      </c>
      <c r="AV37" s="27" t="s">
        <v>102</v>
      </c>
      <c r="AW37" s="28" t="s">
        <v>554</v>
      </c>
      <c r="AX37" s="27" t="s">
        <v>102</v>
      </c>
      <c r="AY37" s="28" t="s">
        <v>493</v>
      </c>
      <c r="AZ37" s="200"/>
      <c r="BA37" s="27" t="s">
        <v>20</v>
      </c>
      <c r="BB37" s="28" t="s">
        <v>124</v>
      </c>
      <c r="BC37" s="27" t="s">
        <v>20</v>
      </c>
      <c r="BD37" s="28" t="s">
        <v>125</v>
      </c>
      <c r="BE37" s="27" t="s">
        <v>20</v>
      </c>
      <c r="BF37" s="28" t="s">
        <v>87</v>
      </c>
      <c r="BG37" s="186"/>
      <c r="BH37" s="27" t="s">
        <v>20</v>
      </c>
      <c r="BI37" s="38" t="s">
        <v>140</v>
      </c>
      <c r="BJ37" s="27" t="s">
        <v>64</v>
      </c>
      <c r="BK37" s="38" t="s">
        <v>89</v>
      </c>
      <c r="BL37" s="200"/>
      <c r="BM37" s="27" t="s">
        <v>20</v>
      </c>
      <c r="BN37" s="35" t="s">
        <v>487</v>
      </c>
      <c r="BO37" s="186"/>
      <c r="BP37" s="27" t="s">
        <v>20</v>
      </c>
      <c r="BQ37" s="28" t="s">
        <v>488</v>
      </c>
      <c r="BR37" s="27" t="s">
        <v>20</v>
      </c>
      <c r="BS37" s="28" t="s">
        <v>92</v>
      </c>
      <c r="BT37" s="200"/>
      <c r="BU37" s="40"/>
      <c r="BV37" s="40"/>
      <c r="BW37" s="200"/>
      <c r="BX37" s="40"/>
      <c r="BY37" s="28">
        <v>1</v>
      </c>
      <c r="BZ37" s="197"/>
      <c r="CA37" s="41" t="s">
        <v>20</v>
      </c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</row>
    <row r="38" spans="1:97" ht="24.75" customHeight="1">
      <c r="A38" s="24">
        <v>26</v>
      </c>
      <c r="B38" s="124" t="s">
        <v>580</v>
      </c>
      <c r="C38" s="96" t="s">
        <v>281</v>
      </c>
      <c r="D38" s="123" t="s">
        <v>581</v>
      </c>
      <c r="E38" s="197"/>
      <c r="F38" s="27" t="s">
        <v>20</v>
      </c>
      <c r="G38" s="42" t="s">
        <v>338</v>
      </c>
      <c r="H38" s="27" t="s">
        <v>20</v>
      </c>
      <c r="I38" s="42" t="s">
        <v>338</v>
      </c>
      <c r="J38" s="29"/>
      <c r="K38" s="27" t="s">
        <v>20</v>
      </c>
      <c r="L38" s="31" t="s">
        <v>68</v>
      </c>
      <c r="M38" s="27" t="s">
        <v>20</v>
      </c>
      <c r="N38" s="31" t="s">
        <v>68</v>
      </c>
      <c r="O38" s="27" t="s">
        <v>20</v>
      </c>
      <c r="P38" s="31" t="s">
        <v>68</v>
      </c>
      <c r="Q38" s="29"/>
      <c r="R38" s="27" t="s">
        <v>64</v>
      </c>
      <c r="S38" s="28" t="s">
        <v>582</v>
      </c>
      <c r="T38" s="27" t="s">
        <v>102</v>
      </c>
      <c r="U38" s="40"/>
      <c r="V38" s="27" t="s">
        <v>64</v>
      </c>
      <c r="W38" s="40"/>
      <c r="X38" s="186"/>
      <c r="Y38" s="27" t="s">
        <v>20</v>
      </c>
      <c r="Z38" s="42" t="s">
        <v>546</v>
      </c>
      <c r="AA38" s="27" t="s">
        <v>20</v>
      </c>
      <c r="AB38" s="28" t="s">
        <v>74</v>
      </c>
      <c r="AC38" s="200"/>
      <c r="AD38" s="27" t="s">
        <v>20</v>
      </c>
      <c r="AE38" s="93" t="s">
        <v>327</v>
      </c>
      <c r="AF38" s="27" t="s">
        <v>20</v>
      </c>
      <c r="AG38" s="93" t="s">
        <v>327</v>
      </c>
      <c r="AH38" s="27" t="s">
        <v>20</v>
      </c>
      <c r="AI38" s="93" t="s">
        <v>327</v>
      </c>
      <c r="AJ38" s="200"/>
      <c r="AK38" s="27" t="s">
        <v>102</v>
      </c>
      <c r="AL38" s="28" t="s">
        <v>583</v>
      </c>
      <c r="AM38" s="27" t="s">
        <v>102</v>
      </c>
      <c r="AN38" s="28" t="s">
        <v>584</v>
      </c>
      <c r="AO38" s="27" t="s">
        <v>64</v>
      </c>
      <c r="AP38" s="28" t="s">
        <v>579</v>
      </c>
      <c r="AQ38" s="200"/>
      <c r="AR38" s="27" t="s">
        <v>20</v>
      </c>
      <c r="AS38" s="28" t="s">
        <v>485</v>
      </c>
      <c r="AT38" s="27" t="s">
        <v>20</v>
      </c>
      <c r="AU38" s="28" t="s">
        <v>473</v>
      </c>
      <c r="AV38" s="27" t="s">
        <v>20</v>
      </c>
      <c r="AW38" s="28" t="s">
        <v>585</v>
      </c>
      <c r="AX38" s="27" t="s">
        <v>20</v>
      </c>
      <c r="AY38" s="28" t="s">
        <v>586</v>
      </c>
      <c r="AZ38" s="200"/>
      <c r="BA38" s="27" t="s">
        <v>64</v>
      </c>
      <c r="BB38" s="28" t="s">
        <v>85</v>
      </c>
      <c r="BC38" s="27" t="s">
        <v>64</v>
      </c>
      <c r="BD38" s="28" t="s">
        <v>86</v>
      </c>
      <c r="BE38" s="27" t="s">
        <v>64</v>
      </c>
      <c r="BF38" s="28" t="s">
        <v>145</v>
      </c>
      <c r="BG38" s="186"/>
      <c r="BH38" s="27" t="s">
        <v>20</v>
      </c>
      <c r="BI38" s="38" t="s">
        <v>140</v>
      </c>
      <c r="BJ38" s="27" t="s">
        <v>64</v>
      </c>
      <c r="BK38" s="38" t="s">
        <v>89</v>
      </c>
      <c r="BL38" s="200"/>
      <c r="BM38" s="27" t="s">
        <v>20</v>
      </c>
      <c r="BN38" s="35" t="s">
        <v>487</v>
      </c>
      <c r="BO38" s="186"/>
      <c r="BP38" s="27" t="s">
        <v>20</v>
      </c>
      <c r="BQ38" s="28" t="s">
        <v>488</v>
      </c>
      <c r="BR38" s="27" t="s">
        <v>20</v>
      </c>
      <c r="BS38" s="28" t="s">
        <v>92</v>
      </c>
      <c r="BT38" s="200"/>
      <c r="BU38" s="40"/>
      <c r="BV38" s="28">
        <v>7</v>
      </c>
      <c r="BW38" s="200"/>
      <c r="BX38" s="40"/>
      <c r="BY38" s="40"/>
      <c r="BZ38" s="197"/>
      <c r="CA38" s="41" t="s">
        <v>20</v>
      </c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</row>
    <row r="39" spans="1:97" ht="24.75" customHeight="1">
      <c r="A39" s="24">
        <v>27</v>
      </c>
      <c r="B39" s="124" t="s">
        <v>580</v>
      </c>
      <c r="C39" s="96" t="s">
        <v>281</v>
      </c>
      <c r="D39" s="123" t="s">
        <v>587</v>
      </c>
      <c r="E39" s="198"/>
      <c r="F39" s="27" t="s">
        <v>20</v>
      </c>
      <c r="G39" s="48" t="s">
        <v>588</v>
      </c>
      <c r="H39" s="27" t="s">
        <v>64</v>
      </c>
      <c r="I39" s="42" t="s">
        <v>241</v>
      </c>
      <c r="J39" s="29"/>
      <c r="K39" s="27" t="s">
        <v>20</v>
      </c>
      <c r="L39" s="31" t="s">
        <v>68</v>
      </c>
      <c r="M39" s="27" t="s">
        <v>20</v>
      </c>
      <c r="N39" s="31" t="s">
        <v>68</v>
      </c>
      <c r="O39" s="27" t="s">
        <v>20</v>
      </c>
      <c r="P39" s="31" t="s">
        <v>68</v>
      </c>
      <c r="Q39" s="29"/>
      <c r="R39" s="27" t="s">
        <v>64</v>
      </c>
      <c r="S39" s="28" t="s">
        <v>582</v>
      </c>
      <c r="T39" s="27" t="s">
        <v>20</v>
      </c>
      <c r="U39" s="32" t="s">
        <v>70</v>
      </c>
      <c r="V39" s="27" t="s">
        <v>64</v>
      </c>
      <c r="W39" s="40"/>
      <c r="X39" s="213"/>
      <c r="Y39" s="27" t="s">
        <v>20</v>
      </c>
      <c r="Z39" s="42" t="s">
        <v>546</v>
      </c>
      <c r="AA39" s="27" t="s">
        <v>102</v>
      </c>
      <c r="AB39" s="28" t="s">
        <v>169</v>
      </c>
      <c r="AC39" s="201"/>
      <c r="AD39" s="27" t="s">
        <v>20</v>
      </c>
      <c r="AE39" s="93" t="s">
        <v>327</v>
      </c>
      <c r="AF39" s="27" t="s">
        <v>20</v>
      </c>
      <c r="AG39" s="93" t="s">
        <v>327</v>
      </c>
      <c r="AH39" s="27" t="s">
        <v>20</v>
      </c>
      <c r="AI39" s="93" t="s">
        <v>327</v>
      </c>
      <c r="AJ39" s="201"/>
      <c r="AK39" s="27" t="s">
        <v>102</v>
      </c>
      <c r="AL39" s="28" t="s">
        <v>583</v>
      </c>
      <c r="AM39" s="27" t="s">
        <v>102</v>
      </c>
      <c r="AN39" s="28" t="s">
        <v>584</v>
      </c>
      <c r="AO39" s="27" t="s">
        <v>102</v>
      </c>
      <c r="AP39" s="28" t="s">
        <v>589</v>
      </c>
      <c r="AQ39" s="201"/>
      <c r="AR39" s="27" t="s">
        <v>20</v>
      </c>
      <c r="AS39" s="28" t="s">
        <v>485</v>
      </c>
      <c r="AT39" s="27" t="s">
        <v>20</v>
      </c>
      <c r="AU39" s="28" t="s">
        <v>473</v>
      </c>
      <c r="AV39" s="27" t="s">
        <v>20</v>
      </c>
      <c r="AW39" s="28" t="s">
        <v>585</v>
      </c>
      <c r="AX39" s="27" t="s">
        <v>20</v>
      </c>
      <c r="AY39" s="28" t="s">
        <v>475</v>
      </c>
      <c r="AZ39" s="201"/>
      <c r="BA39" s="27" t="s">
        <v>64</v>
      </c>
      <c r="BB39" s="28" t="s">
        <v>85</v>
      </c>
      <c r="BC39" s="27" t="s">
        <v>64</v>
      </c>
      <c r="BD39" s="28" t="s">
        <v>86</v>
      </c>
      <c r="BE39" s="27" t="s">
        <v>64</v>
      </c>
      <c r="BF39" s="28" t="s">
        <v>145</v>
      </c>
      <c r="BG39" s="213"/>
      <c r="BH39" s="27" t="s">
        <v>20</v>
      </c>
      <c r="BI39" s="38" t="s">
        <v>140</v>
      </c>
      <c r="BJ39" s="27" t="s">
        <v>64</v>
      </c>
      <c r="BK39" s="38" t="s">
        <v>89</v>
      </c>
      <c r="BL39" s="201"/>
      <c r="BM39" s="27" t="s">
        <v>20</v>
      </c>
      <c r="BN39" s="35" t="s">
        <v>487</v>
      </c>
      <c r="BO39" s="213"/>
      <c r="BP39" s="27" t="s">
        <v>20</v>
      </c>
      <c r="BQ39" s="28" t="s">
        <v>488</v>
      </c>
      <c r="BR39" s="27" t="s">
        <v>20</v>
      </c>
      <c r="BS39" s="28" t="s">
        <v>92</v>
      </c>
      <c r="BT39" s="201"/>
      <c r="BU39" s="40"/>
      <c r="BV39" s="28">
        <v>7</v>
      </c>
      <c r="BW39" s="201"/>
      <c r="BX39" s="40"/>
      <c r="BY39" s="40"/>
      <c r="BZ39" s="198"/>
      <c r="CA39" s="41" t="s">
        <v>20</v>
      </c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</row>
    <row r="40" spans="1:97" ht="19.5" customHeight="1">
      <c r="A40" s="62"/>
      <c r="B40" s="62"/>
      <c r="C40" s="62"/>
      <c r="D40" s="62"/>
      <c r="E40" s="62"/>
      <c r="F40" s="62"/>
      <c r="G40" s="60"/>
      <c r="H40" s="60"/>
      <c r="I40" s="61"/>
      <c r="J40" s="62"/>
      <c r="K40" s="62"/>
      <c r="L40" s="62"/>
      <c r="M40" s="62"/>
      <c r="N40" s="60"/>
      <c r="O40" s="60"/>
      <c r="P40" s="62"/>
      <c r="Q40" s="62"/>
      <c r="R40" s="62"/>
      <c r="S40" s="62"/>
      <c r="T40" s="62"/>
      <c r="U40" s="60"/>
      <c r="V40" s="60"/>
      <c r="W40" s="62"/>
      <c r="X40" s="62"/>
      <c r="Y40" s="62"/>
      <c r="Z40" s="60"/>
      <c r="AA40" s="60"/>
      <c r="AB40" s="62"/>
      <c r="AC40" s="62"/>
      <c r="AD40" s="62"/>
      <c r="AE40" s="62"/>
      <c r="AF40" s="62"/>
      <c r="AG40" s="60"/>
      <c r="AH40" s="60"/>
      <c r="AI40" s="62"/>
      <c r="AJ40" s="62"/>
      <c r="AK40" s="62"/>
      <c r="AL40" s="62"/>
      <c r="AM40" s="62"/>
      <c r="AN40" s="60"/>
      <c r="AO40" s="60"/>
      <c r="AP40" s="62"/>
      <c r="AQ40" s="62"/>
      <c r="AR40" s="62"/>
      <c r="AS40" s="62"/>
      <c r="AT40" s="62"/>
      <c r="AU40" s="62"/>
      <c r="AV40" s="62"/>
      <c r="AW40" s="60"/>
      <c r="AX40" s="60"/>
      <c r="AY40" s="62"/>
      <c r="AZ40" s="62"/>
      <c r="BA40" s="62"/>
      <c r="BB40" s="62"/>
      <c r="BC40" s="62"/>
      <c r="BD40" s="60"/>
      <c r="BE40" s="60"/>
      <c r="BF40" s="62"/>
      <c r="BG40" s="62"/>
      <c r="BH40" s="62"/>
      <c r="BI40" s="60"/>
      <c r="BJ40" s="60"/>
      <c r="BK40" s="62"/>
      <c r="BL40" s="62"/>
      <c r="BM40" s="60"/>
      <c r="BN40" s="60"/>
      <c r="BO40" s="62"/>
      <c r="BP40" s="60"/>
      <c r="BQ40" s="60"/>
      <c r="BR40" s="60"/>
      <c r="BS40" s="60"/>
      <c r="BT40" s="62"/>
      <c r="BU40" s="62"/>
      <c r="BV40" s="62"/>
      <c r="BW40" s="62"/>
      <c r="BX40" s="62"/>
      <c r="BY40" s="62"/>
      <c r="BZ40" s="62"/>
      <c r="CA40" s="60"/>
      <c r="CB40" s="60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</row>
    <row r="41" spans="1:97" ht="19.5" customHeight="1">
      <c r="A41" s="62"/>
      <c r="B41" s="62"/>
      <c r="C41" s="62"/>
      <c r="D41" s="62"/>
      <c r="E41" s="62"/>
      <c r="F41" s="62"/>
      <c r="G41" s="60"/>
      <c r="H41" s="60"/>
      <c r="I41" s="61"/>
      <c r="J41" s="62"/>
      <c r="K41" s="62"/>
      <c r="L41" s="62"/>
      <c r="M41" s="62"/>
      <c r="N41" s="60"/>
      <c r="O41" s="60"/>
      <c r="P41" s="62"/>
      <c r="Q41" s="62"/>
      <c r="R41" s="62"/>
      <c r="S41" s="62"/>
      <c r="T41" s="62"/>
      <c r="U41" s="60"/>
      <c r="V41" s="60"/>
      <c r="W41" s="62"/>
      <c r="X41" s="62"/>
      <c r="Y41" s="62"/>
      <c r="Z41" s="60"/>
      <c r="AA41" s="60"/>
      <c r="AB41" s="62"/>
      <c r="AC41" s="62"/>
      <c r="AD41" s="62"/>
      <c r="AE41" s="62"/>
      <c r="AF41" s="62"/>
      <c r="AG41" s="60"/>
      <c r="AH41" s="60"/>
      <c r="AI41" s="62"/>
      <c r="AJ41" s="62"/>
      <c r="AK41" s="62"/>
      <c r="AL41" s="62"/>
      <c r="AM41" s="62"/>
      <c r="AN41" s="60"/>
      <c r="AO41" s="60"/>
      <c r="AP41" s="62"/>
      <c r="AQ41" s="62"/>
      <c r="AR41" s="62"/>
      <c r="AS41" s="62"/>
      <c r="AT41" s="62"/>
      <c r="AU41" s="62"/>
      <c r="AV41" s="62"/>
      <c r="AW41" s="60"/>
      <c r="AX41" s="60"/>
      <c r="AY41" s="62"/>
      <c r="AZ41" s="62"/>
      <c r="BA41" s="62"/>
      <c r="BB41" s="62"/>
      <c r="BC41" s="62"/>
      <c r="BD41" s="60"/>
      <c r="BE41" s="60"/>
      <c r="BF41" s="62"/>
      <c r="BG41" s="62"/>
      <c r="BH41" s="62"/>
      <c r="BI41" s="60"/>
      <c r="BJ41" s="60"/>
      <c r="BK41" s="62"/>
      <c r="BL41" s="62"/>
      <c r="BM41" s="60"/>
      <c r="BN41" s="60"/>
      <c r="BO41" s="62"/>
      <c r="BP41" s="60"/>
      <c r="BQ41" s="60"/>
      <c r="BR41" s="60"/>
      <c r="BS41" s="60"/>
      <c r="BT41" s="62"/>
      <c r="BU41" s="62"/>
      <c r="BV41" s="62"/>
      <c r="BW41" s="62"/>
      <c r="BX41" s="62"/>
      <c r="BY41" s="62"/>
      <c r="BZ41" s="62"/>
      <c r="CA41" s="60"/>
      <c r="CB41" s="60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</row>
    <row r="42" spans="1:97" ht="19.5" customHeight="1">
      <c r="A42" s="62"/>
      <c r="B42" s="62"/>
      <c r="C42" s="62"/>
      <c r="D42" s="62"/>
      <c r="E42" s="62"/>
      <c r="F42" s="62"/>
      <c r="G42" s="60"/>
      <c r="H42" s="60"/>
      <c r="I42" s="61"/>
      <c r="J42" s="62"/>
      <c r="K42" s="62"/>
      <c r="L42" s="62"/>
      <c r="M42" s="62"/>
      <c r="N42" s="60"/>
      <c r="O42" s="60"/>
      <c r="P42" s="62"/>
      <c r="Q42" s="62"/>
      <c r="R42" s="62"/>
      <c r="S42" s="62"/>
      <c r="T42" s="62"/>
      <c r="U42" s="60"/>
      <c r="V42" s="60"/>
      <c r="W42" s="62"/>
      <c r="X42" s="62"/>
      <c r="Y42" s="62"/>
      <c r="Z42" s="60"/>
      <c r="AA42" s="60"/>
      <c r="AB42" s="62"/>
      <c r="AC42" s="62"/>
      <c r="AD42" s="62"/>
      <c r="AE42" s="62"/>
      <c r="AF42" s="62"/>
      <c r="AG42" s="60"/>
      <c r="AH42" s="60"/>
      <c r="AI42" s="62"/>
      <c r="AJ42" s="62"/>
      <c r="AK42" s="62"/>
      <c r="AL42" s="62"/>
      <c r="AM42" s="62"/>
      <c r="AN42" s="60"/>
      <c r="AO42" s="60"/>
      <c r="AP42" s="62"/>
      <c r="AQ42" s="62"/>
      <c r="AR42" s="62"/>
      <c r="AS42" s="62"/>
      <c r="AT42" s="62"/>
      <c r="AU42" s="62"/>
      <c r="AV42" s="62"/>
      <c r="AW42" s="60"/>
      <c r="AX42" s="60"/>
      <c r="AY42" s="62"/>
      <c r="AZ42" s="62"/>
      <c r="BA42" s="62"/>
      <c r="BB42" s="62"/>
      <c r="BC42" s="62"/>
      <c r="BD42" s="60"/>
      <c r="BE42" s="60"/>
      <c r="BF42" s="62"/>
      <c r="BG42" s="62"/>
      <c r="BH42" s="62"/>
      <c r="BI42" s="60"/>
      <c r="BJ42" s="60"/>
      <c r="BK42" s="62"/>
      <c r="BL42" s="62"/>
      <c r="BM42" s="60"/>
      <c r="BN42" s="60"/>
      <c r="BO42" s="62"/>
      <c r="BP42" s="60"/>
      <c r="BQ42" s="60"/>
      <c r="BR42" s="60"/>
      <c r="BS42" s="60"/>
      <c r="BT42" s="62"/>
      <c r="BU42" s="62"/>
      <c r="BV42" s="62"/>
      <c r="BW42" s="62"/>
      <c r="BX42" s="62"/>
      <c r="BY42" s="62"/>
      <c r="BZ42" s="62"/>
      <c r="CA42" s="60"/>
      <c r="CB42" s="60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</row>
    <row r="43" spans="1:97" ht="19.5" customHeight="1">
      <c r="A43" s="62"/>
      <c r="B43" s="62"/>
      <c r="C43" s="62"/>
      <c r="D43" s="62"/>
      <c r="E43" s="62"/>
      <c r="F43" s="62"/>
      <c r="G43" s="60"/>
      <c r="H43" s="60"/>
      <c r="I43" s="61"/>
      <c r="J43" s="62"/>
      <c r="K43" s="62"/>
      <c r="L43" s="62"/>
      <c r="M43" s="62"/>
      <c r="N43" s="60"/>
      <c r="O43" s="60"/>
      <c r="P43" s="62"/>
      <c r="Q43" s="62"/>
      <c r="R43" s="62"/>
      <c r="S43" s="62"/>
      <c r="T43" s="62"/>
      <c r="U43" s="60"/>
      <c r="V43" s="60"/>
      <c r="W43" s="62"/>
      <c r="X43" s="62"/>
      <c r="Y43" s="62"/>
      <c r="Z43" s="60"/>
      <c r="AA43" s="60"/>
      <c r="AB43" s="62"/>
      <c r="AC43" s="62"/>
      <c r="AD43" s="62"/>
      <c r="AE43" s="62"/>
      <c r="AF43" s="62"/>
      <c r="AG43" s="60"/>
      <c r="AH43" s="60"/>
      <c r="AI43" s="62"/>
      <c r="AJ43" s="62"/>
      <c r="AK43" s="62"/>
      <c r="AL43" s="62"/>
      <c r="AM43" s="62"/>
      <c r="AN43" s="60"/>
      <c r="AO43" s="60"/>
      <c r="AP43" s="62"/>
      <c r="AQ43" s="62"/>
      <c r="AR43" s="62"/>
      <c r="AS43" s="62"/>
      <c r="AT43" s="62"/>
      <c r="AU43" s="62"/>
      <c r="AV43" s="62"/>
      <c r="AW43" s="60"/>
      <c r="AX43" s="60"/>
      <c r="AY43" s="62"/>
      <c r="AZ43" s="62"/>
      <c r="BA43" s="62"/>
      <c r="BB43" s="62"/>
      <c r="BC43" s="62"/>
      <c r="BD43" s="60"/>
      <c r="BE43" s="60"/>
      <c r="BF43" s="62"/>
      <c r="BG43" s="62"/>
      <c r="BH43" s="62"/>
      <c r="BI43" s="60"/>
      <c r="BJ43" s="60"/>
      <c r="BK43" s="62"/>
      <c r="BL43" s="62"/>
      <c r="BM43" s="60"/>
      <c r="BN43" s="60"/>
      <c r="BO43" s="62"/>
      <c r="BP43" s="60"/>
      <c r="BQ43" s="60"/>
      <c r="BR43" s="60"/>
      <c r="BS43" s="60"/>
      <c r="BT43" s="62"/>
      <c r="BU43" s="62"/>
      <c r="BV43" s="62"/>
      <c r="BW43" s="62"/>
      <c r="BX43" s="62"/>
      <c r="BY43" s="62"/>
      <c r="BZ43" s="62"/>
      <c r="CA43" s="60"/>
      <c r="CB43" s="60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</row>
    <row r="44" spans="1:97" ht="19.5" customHeight="1">
      <c r="A44" s="62"/>
      <c r="B44" s="62"/>
      <c r="C44" s="62"/>
      <c r="D44" s="62"/>
      <c r="E44" s="62"/>
      <c r="F44" s="62"/>
      <c r="G44" s="60"/>
      <c r="H44" s="60"/>
      <c r="I44" s="61"/>
      <c r="J44" s="62"/>
      <c r="K44" s="62"/>
      <c r="L44" s="62"/>
      <c r="M44" s="62"/>
      <c r="N44" s="60"/>
      <c r="O44" s="60"/>
      <c r="P44" s="62"/>
      <c r="Q44" s="62"/>
      <c r="R44" s="62"/>
      <c r="S44" s="62"/>
      <c r="T44" s="62"/>
      <c r="U44" s="60"/>
      <c r="V44" s="60"/>
      <c r="W44" s="62"/>
      <c r="X44" s="62"/>
      <c r="Y44" s="62"/>
      <c r="Z44" s="60"/>
      <c r="AA44" s="60"/>
      <c r="AB44" s="62"/>
      <c r="AC44" s="62"/>
      <c r="AD44" s="62"/>
      <c r="AE44" s="62"/>
      <c r="AF44" s="62"/>
      <c r="AG44" s="60"/>
      <c r="AH44" s="60"/>
      <c r="AI44" s="62"/>
      <c r="AJ44" s="62"/>
      <c r="AK44" s="62"/>
      <c r="AL44" s="62"/>
      <c r="AM44" s="62"/>
      <c r="AN44" s="60"/>
      <c r="AO44" s="60"/>
      <c r="AP44" s="62"/>
      <c r="AQ44" s="62"/>
      <c r="AR44" s="62"/>
      <c r="AS44" s="62"/>
      <c r="AT44" s="62"/>
      <c r="AU44" s="62"/>
      <c r="AV44" s="62"/>
      <c r="AW44" s="60"/>
      <c r="AX44" s="60"/>
      <c r="AY44" s="62"/>
      <c r="AZ44" s="62"/>
      <c r="BA44" s="62"/>
      <c r="BB44" s="62"/>
      <c r="BC44" s="62"/>
      <c r="BD44" s="60"/>
      <c r="BE44" s="60"/>
      <c r="BF44" s="62"/>
      <c r="BG44" s="62"/>
      <c r="BH44" s="62"/>
      <c r="BI44" s="60"/>
      <c r="BJ44" s="60"/>
      <c r="BK44" s="62"/>
      <c r="BL44" s="62"/>
      <c r="BM44" s="60"/>
      <c r="BN44" s="60"/>
      <c r="BO44" s="62"/>
      <c r="BP44" s="60"/>
      <c r="BQ44" s="60"/>
      <c r="BR44" s="60"/>
      <c r="BS44" s="60"/>
      <c r="BT44" s="62"/>
      <c r="BU44" s="62"/>
      <c r="BV44" s="62"/>
      <c r="BW44" s="62"/>
      <c r="BX44" s="62"/>
      <c r="BY44" s="62"/>
      <c r="BZ44" s="62"/>
      <c r="CA44" s="60"/>
      <c r="CB44" s="60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</row>
    <row r="45" spans="1:97" ht="19.5" customHeight="1">
      <c r="A45" s="62"/>
      <c r="B45" s="62"/>
      <c r="C45" s="62"/>
      <c r="D45" s="62"/>
      <c r="E45" s="62"/>
      <c r="F45" s="62"/>
      <c r="G45" s="60"/>
      <c r="H45" s="60"/>
      <c r="I45" s="61"/>
      <c r="J45" s="62"/>
      <c r="K45" s="62"/>
      <c r="L45" s="62"/>
      <c r="M45" s="62"/>
      <c r="N45" s="60"/>
      <c r="O45" s="60"/>
      <c r="P45" s="62"/>
      <c r="Q45" s="62"/>
      <c r="R45" s="62"/>
      <c r="S45" s="62"/>
      <c r="T45" s="62"/>
      <c r="U45" s="60"/>
      <c r="V45" s="60"/>
      <c r="W45" s="62"/>
      <c r="X45" s="62"/>
      <c r="Y45" s="62"/>
      <c r="Z45" s="60"/>
      <c r="AA45" s="60"/>
      <c r="AB45" s="62"/>
      <c r="AC45" s="62"/>
      <c r="AD45" s="62"/>
      <c r="AE45" s="62"/>
      <c r="AF45" s="62"/>
      <c r="AG45" s="60"/>
      <c r="AH45" s="60"/>
      <c r="AI45" s="62"/>
      <c r="AJ45" s="62"/>
      <c r="AK45" s="62"/>
      <c r="AL45" s="62"/>
      <c r="AM45" s="62"/>
      <c r="AN45" s="60"/>
      <c r="AO45" s="60"/>
      <c r="AP45" s="62"/>
      <c r="AQ45" s="62"/>
      <c r="AR45" s="62"/>
      <c r="AS45" s="62"/>
      <c r="AT45" s="62"/>
      <c r="AU45" s="62"/>
      <c r="AV45" s="62"/>
      <c r="AW45" s="60"/>
      <c r="AX45" s="60"/>
      <c r="AY45" s="62"/>
      <c r="AZ45" s="62"/>
      <c r="BA45" s="62"/>
      <c r="BB45" s="62"/>
      <c r="BC45" s="62"/>
      <c r="BD45" s="60"/>
      <c r="BE45" s="60"/>
      <c r="BF45" s="62"/>
      <c r="BG45" s="62"/>
      <c r="BH45" s="62"/>
      <c r="BI45" s="60"/>
      <c r="BJ45" s="60"/>
      <c r="BK45" s="62"/>
      <c r="BL45" s="62"/>
      <c r="BM45" s="60"/>
      <c r="BN45" s="60"/>
      <c r="BO45" s="62"/>
      <c r="BP45" s="60"/>
      <c r="BQ45" s="60"/>
      <c r="BR45" s="60"/>
      <c r="BS45" s="60"/>
      <c r="BT45" s="62"/>
      <c r="BU45" s="62"/>
      <c r="BV45" s="62"/>
      <c r="BW45" s="62"/>
      <c r="BX45" s="62"/>
      <c r="BY45" s="62"/>
      <c r="BZ45" s="62"/>
      <c r="CA45" s="60"/>
      <c r="CB45" s="60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</row>
    <row r="46" spans="1:97" ht="19.5" customHeight="1">
      <c r="A46" s="62"/>
      <c r="B46" s="62"/>
      <c r="C46" s="62"/>
      <c r="D46" s="62"/>
      <c r="E46" s="62"/>
      <c r="F46" s="62"/>
      <c r="G46" s="59"/>
      <c r="H46" s="60"/>
      <c r="I46" s="61"/>
      <c r="J46" s="62"/>
      <c r="K46" s="62"/>
      <c r="L46" s="62"/>
      <c r="M46" s="62"/>
      <c r="N46" s="59"/>
      <c r="O46" s="60"/>
      <c r="P46" s="62"/>
      <c r="Q46" s="62"/>
      <c r="R46" s="62"/>
      <c r="S46" s="62"/>
      <c r="T46" s="62"/>
      <c r="U46" s="59"/>
      <c r="V46" s="60"/>
      <c r="W46" s="62"/>
      <c r="X46" s="62"/>
      <c r="Y46" s="62"/>
      <c r="Z46" s="59"/>
      <c r="AA46" s="60"/>
      <c r="AB46" s="62"/>
      <c r="AC46" s="62"/>
      <c r="AD46" s="62"/>
      <c r="AE46" s="62"/>
      <c r="AF46" s="62"/>
      <c r="AG46" s="59"/>
      <c r="AH46" s="60"/>
      <c r="AI46" s="62"/>
      <c r="AJ46" s="62"/>
      <c r="AK46" s="62"/>
      <c r="AL46" s="62"/>
      <c r="AM46" s="62"/>
      <c r="AN46" s="59"/>
      <c r="AO46" s="60"/>
      <c r="AP46" s="62"/>
      <c r="AQ46" s="62"/>
      <c r="AR46" s="62"/>
      <c r="AS46" s="62"/>
      <c r="AT46" s="62"/>
      <c r="AU46" s="62"/>
      <c r="AV46" s="62"/>
      <c r="AW46" s="59"/>
      <c r="AX46" s="60"/>
      <c r="AY46" s="62"/>
      <c r="AZ46" s="62"/>
      <c r="BA46" s="62"/>
      <c r="BB46" s="62"/>
      <c r="BC46" s="62"/>
      <c r="BD46" s="59"/>
      <c r="BE46" s="60"/>
      <c r="BF46" s="62"/>
      <c r="BG46" s="62"/>
      <c r="BH46" s="62"/>
      <c r="BI46" s="59"/>
      <c r="BJ46" s="60"/>
      <c r="BK46" s="62"/>
      <c r="BL46" s="62"/>
      <c r="BM46" s="60"/>
      <c r="BN46" s="59"/>
      <c r="BO46" s="62"/>
      <c r="BP46" s="60"/>
      <c r="BQ46" s="59"/>
      <c r="BR46" s="60"/>
      <c r="BS46" s="59"/>
      <c r="BT46" s="62"/>
      <c r="BU46" s="62"/>
      <c r="BV46" s="62"/>
      <c r="BW46" s="62"/>
      <c r="BX46" s="62"/>
      <c r="BY46" s="62"/>
      <c r="BZ46" s="62"/>
      <c r="CA46" s="60"/>
      <c r="CB46" s="59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</row>
    <row r="47" spans="1:97" ht="19.5" customHeight="1">
      <c r="A47" s="62"/>
      <c r="B47" s="62"/>
      <c r="C47" s="62"/>
      <c r="D47" s="62"/>
      <c r="E47" s="62"/>
      <c r="F47" s="62"/>
      <c r="G47" s="59"/>
      <c r="H47" s="60"/>
      <c r="I47" s="61"/>
      <c r="J47" s="62"/>
      <c r="K47" s="62"/>
      <c r="L47" s="62"/>
      <c r="M47" s="62"/>
      <c r="N47" s="59"/>
      <c r="O47" s="60"/>
      <c r="P47" s="62"/>
      <c r="Q47" s="62"/>
      <c r="R47" s="62"/>
      <c r="S47" s="62"/>
      <c r="T47" s="62"/>
      <c r="U47" s="59"/>
      <c r="V47" s="60"/>
      <c r="W47" s="62"/>
      <c r="X47" s="62"/>
      <c r="Y47" s="62"/>
      <c r="Z47" s="59"/>
      <c r="AA47" s="60"/>
      <c r="AB47" s="62"/>
      <c r="AC47" s="62"/>
      <c r="AD47" s="62"/>
      <c r="AE47" s="62"/>
      <c r="AF47" s="62"/>
      <c r="AG47" s="59"/>
      <c r="AH47" s="60"/>
      <c r="AI47" s="62"/>
      <c r="AJ47" s="62"/>
      <c r="AK47" s="62"/>
      <c r="AL47" s="62"/>
      <c r="AM47" s="62"/>
      <c r="AN47" s="59"/>
      <c r="AO47" s="60"/>
      <c r="AP47" s="62"/>
      <c r="AQ47" s="62"/>
      <c r="AR47" s="62"/>
      <c r="AS47" s="62"/>
      <c r="AT47" s="62"/>
      <c r="AU47" s="62"/>
      <c r="AV47" s="62"/>
      <c r="AW47" s="59"/>
      <c r="AX47" s="60"/>
      <c r="AY47" s="62"/>
      <c r="AZ47" s="62"/>
      <c r="BA47" s="62"/>
      <c r="BB47" s="62"/>
      <c r="BC47" s="62"/>
      <c r="BD47" s="59"/>
      <c r="BE47" s="60"/>
      <c r="BF47" s="62"/>
      <c r="BG47" s="62"/>
      <c r="BH47" s="62"/>
      <c r="BI47" s="59"/>
      <c r="BJ47" s="60"/>
      <c r="BK47" s="62"/>
      <c r="BL47" s="62"/>
      <c r="BM47" s="60"/>
      <c r="BN47" s="59"/>
      <c r="BO47" s="62"/>
      <c r="BP47" s="60"/>
      <c r="BQ47" s="59"/>
      <c r="BR47" s="60"/>
      <c r="BS47" s="59"/>
      <c r="BT47" s="62"/>
      <c r="BU47" s="62"/>
      <c r="BV47" s="62"/>
      <c r="BW47" s="62"/>
      <c r="BX47" s="62"/>
      <c r="BY47" s="62"/>
      <c r="BZ47" s="62"/>
      <c r="CA47" s="60"/>
      <c r="CB47" s="59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</row>
    <row r="48" spans="1:97" ht="19.5" customHeight="1">
      <c r="A48" s="62"/>
      <c r="B48" s="62"/>
      <c r="C48" s="62"/>
      <c r="D48" s="62"/>
      <c r="E48" s="62"/>
      <c r="F48" s="62"/>
      <c r="G48" s="61"/>
      <c r="H48" s="62"/>
      <c r="I48" s="61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</row>
    <row r="49" spans="1:97" ht="19.5" customHeight="1">
      <c r="A49" s="62"/>
      <c r="B49" s="62"/>
      <c r="C49" s="62"/>
      <c r="D49" s="62"/>
      <c r="E49" s="62"/>
      <c r="F49" s="62"/>
      <c r="G49" s="61"/>
      <c r="H49" s="62"/>
      <c r="I49" s="61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</row>
    <row r="50" spans="1:97" ht="19.5" customHeight="1">
      <c r="A50" s="62"/>
      <c r="B50" s="62"/>
      <c r="C50" s="62"/>
      <c r="D50" s="62"/>
      <c r="E50" s="62"/>
      <c r="F50" s="62"/>
      <c r="G50" s="61"/>
      <c r="H50" s="62"/>
      <c r="I50" s="61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</row>
    <row r="51" spans="1:97" ht="19.5" customHeight="1">
      <c r="A51" s="62"/>
      <c r="B51" s="62"/>
      <c r="C51" s="62"/>
      <c r="D51" s="62"/>
      <c r="E51" s="62"/>
      <c r="F51" s="62"/>
      <c r="G51" s="61"/>
      <c r="H51" s="62"/>
      <c r="I51" s="61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</row>
    <row r="52" spans="1:97" ht="19.5" customHeight="1">
      <c r="A52" s="62"/>
      <c r="B52" s="62"/>
      <c r="C52" s="62"/>
      <c r="D52" s="62"/>
      <c r="E52" s="62"/>
      <c r="F52" s="62"/>
      <c r="G52" s="61"/>
      <c r="H52" s="62"/>
      <c r="I52" s="61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</row>
    <row r="53" spans="1:97" ht="19.5" customHeight="1">
      <c r="A53" s="62"/>
      <c r="B53" s="62"/>
      <c r="C53" s="62"/>
      <c r="D53" s="62"/>
      <c r="E53" s="62"/>
      <c r="F53" s="62"/>
      <c r="G53" s="61"/>
      <c r="H53" s="62"/>
      <c r="I53" s="61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</row>
    <row r="54" spans="1:97" ht="19.5" customHeight="1">
      <c r="A54" s="62"/>
      <c r="B54" s="62"/>
      <c r="C54" s="62"/>
      <c r="D54" s="62"/>
      <c r="E54" s="62"/>
      <c r="F54" s="62"/>
      <c r="G54" s="61"/>
      <c r="H54" s="62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</row>
    <row r="55" spans="1:97" ht="19.5" customHeight="1">
      <c r="A55" s="62"/>
      <c r="B55" s="62"/>
      <c r="C55" s="62"/>
      <c r="D55" s="62"/>
      <c r="E55" s="62"/>
      <c r="F55" s="62"/>
      <c r="G55" s="61"/>
      <c r="H55" s="62"/>
      <c r="I55" s="61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</row>
    <row r="56" spans="1:97" ht="19.5" customHeight="1">
      <c r="A56" s="62"/>
      <c r="B56" s="62"/>
      <c r="C56" s="62"/>
      <c r="D56" s="62"/>
      <c r="E56" s="62"/>
      <c r="F56" s="62"/>
      <c r="G56" s="61"/>
      <c r="H56" s="62"/>
      <c r="I56" s="61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</row>
    <row r="57" spans="1:97" ht="19.5" customHeight="1">
      <c r="A57" s="62"/>
      <c r="B57" s="62"/>
      <c r="C57" s="62"/>
      <c r="D57" s="62"/>
      <c r="E57" s="62"/>
      <c r="F57" s="62"/>
      <c r="G57" s="61"/>
      <c r="H57" s="62"/>
      <c r="I57" s="61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</row>
    <row r="58" spans="1:97" ht="19.5" customHeight="1">
      <c r="A58" s="62"/>
      <c r="B58" s="62"/>
      <c r="C58" s="62"/>
      <c r="D58" s="62"/>
      <c r="E58" s="62"/>
      <c r="F58" s="62"/>
      <c r="G58" s="61"/>
      <c r="H58" s="62"/>
      <c r="I58" s="61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</row>
    <row r="59" spans="1:97" ht="19.5" customHeight="1">
      <c r="A59" s="62"/>
      <c r="B59" s="62"/>
      <c r="C59" s="62"/>
      <c r="D59" s="62"/>
      <c r="E59" s="62"/>
      <c r="F59" s="62"/>
      <c r="G59" s="61"/>
      <c r="H59" s="62"/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</row>
    <row r="60" spans="1:97" ht="19.5" customHeight="1">
      <c r="A60" s="62"/>
      <c r="B60" s="62"/>
      <c r="C60" s="62"/>
      <c r="D60" s="62"/>
      <c r="E60" s="62"/>
      <c r="F60" s="62"/>
      <c r="G60" s="61"/>
      <c r="H60" s="62"/>
      <c r="I60" s="61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</row>
    <row r="61" spans="1:97" ht="19.5" customHeight="1">
      <c r="A61" s="62"/>
      <c r="B61" s="62"/>
      <c r="C61" s="62"/>
      <c r="D61" s="62"/>
      <c r="E61" s="62"/>
      <c r="F61" s="62"/>
      <c r="G61" s="61"/>
      <c r="H61" s="62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</row>
    <row r="62" spans="1:97" ht="19.5" customHeight="1">
      <c r="A62" s="62"/>
      <c r="B62" s="62"/>
      <c r="C62" s="62"/>
      <c r="D62" s="62"/>
      <c r="E62" s="62"/>
      <c r="F62" s="62"/>
      <c r="G62" s="61"/>
      <c r="H62" s="62"/>
      <c r="I62" s="61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</row>
    <row r="63" spans="1:97" ht="19.5" customHeight="1">
      <c r="A63" s="62"/>
      <c r="B63" s="62"/>
      <c r="C63" s="62"/>
      <c r="D63" s="62"/>
      <c r="E63" s="62"/>
      <c r="F63" s="62"/>
      <c r="G63" s="61"/>
      <c r="H63" s="62"/>
      <c r="I63" s="6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</row>
    <row r="64" spans="1:97" ht="19.5" customHeight="1">
      <c r="A64" s="62"/>
      <c r="B64" s="62"/>
      <c r="C64" s="62"/>
      <c r="D64" s="62"/>
      <c r="E64" s="62"/>
      <c r="F64" s="62"/>
      <c r="G64" s="61"/>
      <c r="H64" s="62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</row>
    <row r="65" spans="1:97" ht="19.5" customHeight="1">
      <c r="A65" s="62"/>
      <c r="B65" s="62"/>
      <c r="C65" s="62"/>
      <c r="D65" s="62"/>
      <c r="E65" s="62"/>
      <c r="F65" s="62"/>
      <c r="G65" s="61"/>
      <c r="H65" s="62"/>
      <c r="I65" s="61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</row>
    <row r="66" spans="1:97" ht="19.5" customHeight="1">
      <c r="A66" s="62"/>
      <c r="B66" s="62"/>
      <c r="C66" s="62"/>
      <c r="D66" s="62"/>
      <c r="E66" s="62"/>
      <c r="F66" s="62"/>
      <c r="G66" s="61"/>
      <c r="H66" s="62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</row>
    <row r="67" spans="1:97" ht="19.5" customHeight="1">
      <c r="A67" s="62"/>
      <c r="B67" s="62"/>
      <c r="C67" s="62"/>
      <c r="D67" s="62"/>
      <c r="E67" s="62"/>
      <c r="F67" s="62"/>
      <c r="G67" s="61"/>
      <c r="H67" s="62"/>
      <c r="I67" s="61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</row>
    <row r="68" spans="1:97" ht="19.5" customHeight="1">
      <c r="A68" s="62"/>
      <c r="B68" s="62"/>
      <c r="C68" s="62"/>
      <c r="D68" s="62"/>
      <c r="E68" s="62"/>
      <c r="F68" s="62"/>
      <c r="G68" s="61"/>
      <c r="H68" s="62"/>
      <c r="I68" s="61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</row>
    <row r="69" spans="1:97" ht="19.5" customHeight="1">
      <c r="A69" s="62"/>
      <c r="B69" s="62"/>
      <c r="C69" s="62"/>
      <c r="D69" s="62"/>
      <c r="E69" s="62"/>
      <c r="F69" s="62"/>
      <c r="G69" s="61"/>
      <c r="H69" s="62"/>
      <c r="I69" s="61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</row>
    <row r="70" spans="1:97" ht="19.5" customHeight="1">
      <c r="A70" s="62"/>
      <c r="B70" s="62"/>
      <c r="C70" s="62"/>
      <c r="D70" s="62"/>
      <c r="E70" s="62"/>
      <c r="F70" s="62"/>
      <c r="G70" s="61"/>
      <c r="H70" s="62"/>
      <c r="I70" s="61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</row>
    <row r="71" spans="1:97" ht="19.5" customHeight="1">
      <c r="A71" s="62"/>
      <c r="B71" s="62"/>
      <c r="C71" s="62"/>
      <c r="D71" s="62"/>
      <c r="E71" s="62"/>
      <c r="F71" s="62"/>
      <c r="G71" s="61"/>
      <c r="H71" s="62"/>
      <c r="I71" s="61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</row>
    <row r="72" spans="1:97" ht="19.5" customHeight="1">
      <c r="A72" s="62"/>
      <c r="B72" s="62"/>
      <c r="C72" s="62"/>
      <c r="D72" s="62"/>
      <c r="E72" s="62"/>
      <c r="F72" s="62"/>
      <c r="G72" s="61"/>
      <c r="H72" s="62"/>
      <c r="I72" s="61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</row>
    <row r="73" spans="1:97" ht="19.5" customHeight="1">
      <c r="A73" s="62"/>
      <c r="B73" s="62"/>
      <c r="C73" s="62"/>
      <c r="D73" s="62"/>
      <c r="E73" s="62"/>
      <c r="F73" s="62"/>
      <c r="G73" s="61"/>
      <c r="H73" s="62"/>
      <c r="I73" s="61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</row>
    <row r="74" spans="1:97" ht="19.5" customHeight="1">
      <c r="A74" s="62"/>
      <c r="B74" s="62"/>
      <c r="C74" s="62"/>
      <c r="D74" s="62"/>
      <c r="E74" s="62"/>
      <c r="F74" s="62"/>
      <c r="G74" s="61"/>
      <c r="H74" s="62"/>
      <c r="I74" s="61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</row>
    <row r="75" spans="1:97" ht="19.5" customHeight="1">
      <c r="A75" s="62"/>
      <c r="B75" s="62"/>
      <c r="C75" s="62"/>
      <c r="D75" s="62"/>
      <c r="E75" s="62"/>
      <c r="F75" s="62"/>
      <c r="G75" s="61"/>
      <c r="H75" s="62"/>
      <c r="I75" s="61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</row>
    <row r="76" spans="1:97" ht="19.5" customHeight="1">
      <c r="A76" s="62"/>
      <c r="B76" s="62"/>
      <c r="C76" s="62"/>
      <c r="D76" s="62"/>
      <c r="E76" s="62"/>
      <c r="F76" s="62"/>
      <c r="G76" s="61"/>
      <c r="H76" s="62"/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</row>
    <row r="77" spans="1:97" ht="19.5" customHeight="1">
      <c r="A77" s="62"/>
      <c r="B77" s="62"/>
      <c r="C77" s="62"/>
      <c r="D77" s="62"/>
      <c r="E77" s="62"/>
      <c r="F77" s="62"/>
      <c r="G77" s="61"/>
      <c r="H77" s="62"/>
      <c r="I77" s="61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</row>
    <row r="78" spans="1:97" ht="19.5" customHeight="1">
      <c r="A78" s="62"/>
      <c r="B78" s="62"/>
      <c r="C78" s="62"/>
      <c r="D78" s="62"/>
      <c r="E78" s="62"/>
      <c r="F78" s="62"/>
      <c r="G78" s="61"/>
      <c r="H78" s="62"/>
      <c r="I78" s="61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</row>
    <row r="79" spans="1:97" ht="19.5" customHeight="1">
      <c r="A79" s="62"/>
      <c r="B79" s="62"/>
      <c r="C79" s="62"/>
      <c r="D79" s="62"/>
      <c r="E79" s="62"/>
      <c r="F79" s="62"/>
      <c r="G79" s="61"/>
      <c r="H79" s="62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</row>
    <row r="80" spans="1:97" ht="19.5" customHeight="1">
      <c r="A80" s="62"/>
      <c r="B80" s="62"/>
      <c r="C80" s="62"/>
      <c r="D80" s="62"/>
      <c r="E80" s="62"/>
      <c r="F80" s="62"/>
      <c r="G80" s="61"/>
      <c r="H80" s="62"/>
      <c r="I80" s="61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</row>
    <row r="81" spans="1:97" ht="19.5" customHeight="1">
      <c r="A81" s="62"/>
      <c r="B81" s="62"/>
      <c r="C81" s="62"/>
      <c r="D81" s="62"/>
      <c r="E81" s="62"/>
      <c r="F81" s="62"/>
      <c r="G81" s="61"/>
      <c r="H81" s="62"/>
      <c r="I81" s="61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</row>
    <row r="82" spans="1:97" ht="19.5" customHeight="1">
      <c r="A82" s="62"/>
      <c r="B82" s="62"/>
      <c r="C82" s="62"/>
      <c r="D82" s="62"/>
      <c r="E82" s="62"/>
      <c r="F82" s="62"/>
      <c r="G82" s="61"/>
      <c r="H82" s="62"/>
      <c r="I82" s="61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</row>
    <row r="83" spans="1:97" ht="19.5" customHeight="1">
      <c r="A83" s="62"/>
      <c r="B83" s="62"/>
      <c r="C83" s="62"/>
      <c r="D83" s="62"/>
      <c r="E83" s="62"/>
      <c r="F83" s="62"/>
      <c r="G83" s="61"/>
      <c r="H83" s="62"/>
      <c r="I83" s="61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</row>
    <row r="84" spans="1:97" ht="19.5" customHeight="1">
      <c r="A84" s="62"/>
      <c r="B84" s="62"/>
      <c r="C84" s="62"/>
      <c r="D84" s="62"/>
      <c r="E84" s="62"/>
      <c r="F84" s="62"/>
      <c r="G84" s="61"/>
      <c r="H84" s="62"/>
      <c r="I84" s="61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</row>
    <row r="85" spans="1:97" ht="19.5" customHeight="1">
      <c r="A85" s="62"/>
      <c r="B85" s="62"/>
      <c r="C85" s="62"/>
      <c r="D85" s="62"/>
      <c r="E85" s="62"/>
      <c r="F85" s="62"/>
      <c r="G85" s="61"/>
      <c r="H85" s="62"/>
      <c r="I85" s="61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</row>
    <row r="86" spans="1:97" ht="19.5" customHeight="1">
      <c r="A86" s="62"/>
      <c r="B86" s="62"/>
      <c r="C86" s="62"/>
      <c r="D86" s="62"/>
      <c r="E86" s="62"/>
      <c r="F86" s="62"/>
      <c r="G86" s="61"/>
      <c r="H86" s="62"/>
      <c r="I86" s="61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</row>
    <row r="87" spans="1:97" ht="19.5" customHeight="1">
      <c r="A87" s="62"/>
      <c r="B87" s="62"/>
      <c r="C87" s="62"/>
      <c r="D87" s="62"/>
      <c r="E87" s="62"/>
      <c r="F87" s="62"/>
      <c r="G87" s="61"/>
      <c r="H87" s="62"/>
      <c r="I87" s="61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</row>
    <row r="88" spans="1:97" ht="19.5" customHeight="1">
      <c r="A88" s="62"/>
      <c r="B88" s="62"/>
      <c r="C88" s="62"/>
      <c r="D88" s="62"/>
      <c r="E88" s="62"/>
      <c r="F88" s="62"/>
      <c r="G88" s="61"/>
      <c r="H88" s="62"/>
      <c r="I88" s="61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</row>
    <row r="89" spans="1:97" ht="19.5" customHeight="1">
      <c r="A89" s="62"/>
      <c r="B89" s="62"/>
      <c r="C89" s="62"/>
      <c r="D89" s="62"/>
      <c r="E89" s="62"/>
      <c r="F89" s="62"/>
      <c r="G89" s="61"/>
      <c r="H89" s="62"/>
      <c r="I89" s="61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</row>
    <row r="90" spans="1:97" ht="19.5" customHeight="1">
      <c r="A90" s="62"/>
      <c r="B90" s="62"/>
      <c r="C90" s="62"/>
      <c r="D90" s="62"/>
      <c r="E90" s="62"/>
      <c r="F90" s="62"/>
      <c r="G90" s="61"/>
      <c r="H90" s="62"/>
      <c r="I90" s="61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</row>
    <row r="91" spans="1:97" ht="19.5" customHeight="1">
      <c r="A91" s="62"/>
      <c r="B91" s="62"/>
      <c r="C91" s="62"/>
      <c r="D91" s="62"/>
      <c r="E91" s="62"/>
      <c r="F91" s="62"/>
      <c r="G91" s="61"/>
      <c r="H91" s="62"/>
      <c r="I91" s="61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</row>
    <row r="92" spans="1:97" ht="19.5" customHeight="1">
      <c r="A92" s="62"/>
      <c r="B92" s="62"/>
      <c r="C92" s="62"/>
      <c r="D92" s="62"/>
      <c r="E92" s="62"/>
      <c r="F92" s="62"/>
      <c r="G92" s="61"/>
      <c r="H92" s="62"/>
      <c r="I92" s="61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</row>
    <row r="93" spans="1:97" ht="19.5" customHeight="1">
      <c r="A93" s="62"/>
      <c r="B93" s="62"/>
      <c r="C93" s="62"/>
      <c r="D93" s="62"/>
      <c r="E93" s="62"/>
      <c r="F93" s="62"/>
      <c r="G93" s="61"/>
      <c r="H93" s="62"/>
      <c r="I93" s="61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</row>
    <row r="94" spans="1:97" ht="19.5" customHeight="1">
      <c r="A94" s="62"/>
      <c r="B94" s="62"/>
      <c r="C94" s="62"/>
      <c r="D94" s="62"/>
      <c r="E94" s="62"/>
      <c r="F94" s="62"/>
      <c r="G94" s="61"/>
      <c r="H94" s="62"/>
      <c r="I94" s="61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</row>
    <row r="95" spans="1:97" ht="19.5" customHeight="1">
      <c r="A95" s="62"/>
      <c r="B95" s="62"/>
      <c r="C95" s="62"/>
      <c r="D95" s="62"/>
      <c r="E95" s="62"/>
      <c r="F95" s="62"/>
      <c r="G95" s="61"/>
      <c r="H95" s="62"/>
      <c r="I95" s="61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</row>
    <row r="96" spans="1:97" ht="19.5" customHeight="1">
      <c r="A96" s="62"/>
      <c r="B96" s="62"/>
      <c r="C96" s="62"/>
      <c r="D96" s="62"/>
      <c r="E96" s="62"/>
      <c r="F96" s="62"/>
      <c r="G96" s="61"/>
      <c r="H96" s="62"/>
      <c r="I96" s="61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</row>
    <row r="97" spans="1:97" ht="19.5" customHeight="1">
      <c r="A97" s="62"/>
      <c r="B97" s="62"/>
      <c r="C97" s="62"/>
      <c r="D97" s="62"/>
      <c r="E97" s="62"/>
      <c r="F97" s="62"/>
      <c r="G97" s="61"/>
      <c r="H97" s="62"/>
      <c r="I97" s="61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</row>
    <row r="98" spans="1:97" ht="19.5" customHeight="1">
      <c r="A98" s="62"/>
      <c r="B98" s="62"/>
      <c r="C98" s="62"/>
      <c r="D98" s="62"/>
      <c r="E98" s="62"/>
      <c r="F98" s="62"/>
      <c r="G98" s="61"/>
      <c r="H98" s="62"/>
      <c r="I98" s="61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</row>
    <row r="99" spans="1:97" ht="19.5" customHeight="1">
      <c r="A99" s="62"/>
      <c r="B99" s="62"/>
      <c r="C99" s="62"/>
      <c r="D99" s="62"/>
      <c r="E99" s="62"/>
      <c r="F99" s="62"/>
      <c r="G99" s="61"/>
      <c r="H99" s="62"/>
      <c r="I99" s="61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</row>
    <row r="100" spans="1:97" ht="19.5" customHeight="1">
      <c r="A100" s="62"/>
      <c r="B100" s="62"/>
      <c r="C100" s="62"/>
      <c r="D100" s="62"/>
      <c r="E100" s="62"/>
      <c r="F100" s="62"/>
      <c r="G100" s="61"/>
      <c r="H100" s="62"/>
      <c r="I100" s="61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</row>
    <row r="101" spans="1:97" ht="19.5" customHeight="1">
      <c r="A101" s="62"/>
      <c r="B101" s="62"/>
      <c r="C101" s="62"/>
      <c r="D101" s="62"/>
      <c r="E101" s="62"/>
      <c r="F101" s="62"/>
      <c r="G101" s="61"/>
      <c r="H101" s="62"/>
      <c r="I101" s="61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</row>
    <row r="102" spans="1:97" ht="19.5" customHeight="1">
      <c r="A102" s="62"/>
      <c r="B102" s="62"/>
      <c r="C102" s="62"/>
      <c r="D102" s="62"/>
      <c r="E102" s="62"/>
      <c r="F102" s="62"/>
      <c r="G102" s="61"/>
      <c r="H102" s="62"/>
      <c r="I102" s="61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</row>
    <row r="103" spans="1:97" ht="19.5" customHeight="1">
      <c r="A103" s="62"/>
      <c r="B103" s="62"/>
      <c r="C103" s="62"/>
      <c r="D103" s="62"/>
      <c r="E103" s="62"/>
      <c r="F103" s="62"/>
      <c r="G103" s="61"/>
      <c r="H103" s="62"/>
      <c r="I103" s="61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</row>
    <row r="104" spans="1:97" ht="19.5" customHeight="1">
      <c r="A104" s="62"/>
      <c r="B104" s="62"/>
      <c r="C104" s="62"/>
      <c r="D104" s="62"/>
      <c r="E104" s="62"/>
      <c r="F104" s="62"/>
      <c r="G104" s="61"/>
      <c r="H104" s="62"/>
      <c r="I104" s="61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</row>
    <row r="105" spans="1:97" ht="19.5" customHeight="1">
      <c r="A105" s="62"/>
      <c r="B105" s="62"/>
      <c r="C105" s="62"/>
      <c r="D105" s="62"/>
      <c r="E105" s="62"/>
      <c r="F105" s="62"/>
      <c r="G105" s="61"/>
      <c r="H105" s="62"/>
      <c r="I105" s="61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</row>
    <row r="106" spans="1:97" ht="19.5" customHeight="1">
      <c r="A106" s="62"/>
      <c r="B106" s="62"/>
      <c r="C106" s="62"/>
      <c r="D106" s="62"/>
      <c r="E106" s="62"/>
      <c r="F106" s="62"/>
      <c r="G106" s="61"/>
      <c r="H106" s="62"/>
      <c r="I106" s="61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</row>
    <row r="107" spans="1:97" ht="19.5" customHeight="1">
      <c r="A107" s="62"/>
      <c r="B107" s="62"/>
      <c r="C107" s="62"/>
      <c r="D107" s="62"/>
      <c r="E107" s="62"/>
      <c r="F107" s="62"/>
      <c r="G107" s="61"/>
      <c r="H107" s="62"/>
      <c r="I107" s="61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</row>
    <row r="108" spans="1:97" ht="19.5" customHeight="1">
      <c r="A108" s="62"/>
      <c r="B108" s="62"/>
      <c r="C108" s="62"/>
      <c r="D108" s="62"/>
      <c r="E108" s="62"/>
      <c r="F108" s="62"/>
      <c r="G108" s="61"/>
      <c r="H108" s="62"/>
      <c r="I108" s="61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</row>
    <row r="109" spans="1:97" ht="19.5" customHeight="1">
      <c r="A109" s="62"/>
      <c r="B109" s="62"/>
      <c r="C109" s="62"/>
      <c r="D109" s="62"/>
      <c r="E109" s="62"/>
      <c r="F109" s="62"/>
      <c r="G109" s="61"/>
      <c r="H109" s="62"/>
      <c r="I109" s="61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</row>
    <row r="110" spans="1:97" ht="19.5" customHeight="1">
      <c r="A110" s="62"/>
      <c r="B110" s="62"/>
      <c r="C110" s="62"/>
      <c r="D110" s="62"/>
      <c r="E110" s="62"/>
      <c r="F110" s="62"/>
      <c r="G110" s="61"/>
      <c r="H110" s="62"/>
      <c r="I110" s="61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</row>
    <row r="111" spans="1:97" ht="19.5" customHeight="1">
      <c r="A111" s="62"/>
      <c r="B111" s="62"/>
      <c r="C111" s="62"/>
      <c r="D111" s="62"/>
      <c r="E111" s="62"/>
      <c r="F111" s="62"/>
      <c r="G111" s="61"/>
      <c r="H111" s="62"/>
      <c r="I111" s="61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</row>
    <row r="112" spans="1:97" ht="19.5" customHeight="1">
      <c r="A112" s="62"/>
      <c r="B112" s="62"/>
      <c r="C112" s="62"/>
      <c r="D112" s="62"/>
      <c r="E112" s="62"/>
      <c r="F112" s="62"/>
      <c r="G112" s="61"/>
      <c r="H112" s="62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</row>
    <row r="113" spans="1:97" ht="19.5" customHeight="1">
      <c r="A113" s="62"/>
      <c r="B113" s="62"/>
      <c r="C113" s="62"/>
      <c r="D113" s="62"/>
      <c r="E113" s="62"/>
      <c r="F113" s="62"/>
      <c r="G113" s="61"/>
      <c r="H113" s="62"/>
      <c r="I113" s="61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</row>
    <row r="114" spans="1:97" ht="19.5" customHeight="1">
      <c r="A114" s="62"/>
      <c r="B114" s="62"/>
      <c r="C114" s="62"/>
      <c r="D114" s="62"/>
      <c r="E114" s="62"/>
      <c r="F114" s="62"/>
      <c r="G114" s="61"/>
      <c r="H114" s="62"/>
      <c r="I114" s="61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</row>
    <row r="115" spans="1:97" ht="19.5" customHeight="1">
      <c r="A115" s="62"/>
      <c r="B115" s="62"/>
      <c r="C115" s="62"/>
      <c r="D115" s="62"/>
      <c r="E115" s="62"/>
      <c r="F115" s="62"/>
      <c r="G115" s="61"/>
      <c r="H115" s="62"/>
      <c r="I115" s="61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</row>
    <row r="116" spans="1:97" ht="19.5" customHeight="1">
      <c r="A116" s="62"/>
      <c r="B116" s="62"/>
      <c r="C116" s="62"/>
      <c r="D116" s="62"/>
      <c r="E116" s="62"/>
      <c r="F116" s="62"/>
      <c r="G116" s="61"/>
      <c r="H116" s="62"/>
      <c r="I116" s="61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</row>
    <row r="117" spans="1:97" ht="19.5" customHeight="1">
      <c r="A117" s="62"/>
      <c r="B117" s="62"/>
      <c r="C117" s="62"/>
      <c r="D117" s="62"/>
      <c r="E117" s="62"/>
      <c r="F117" s="62"/>
      <c r="G117" s="61"/>
      <c r="H117" s="62"/>
      <c r="I117" s="61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</row>
    <row r="118" spans="1:97" ht="19.5" customHeight="1">
      <c r="A118" s="62"/>
      <c r="B118" s="62"/>
      <c r="C118" s="62"/>
      <c r="D118" s="62"/>
      <c r="E118" s="62"/>
      <c r="F118" s="62"/>
      <c r="G118" s="61"/>
      <c r="H118" s="62"/>
      <c r="I118" s="61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</row>
    <row r="119" spans="1:97" ht="19.5" customHeight="1">
      <c r="A119" s="62"/>
      <c r="B119" s="62"/>
      <c r="C119" s="62"/>
      <c r="D119" s="62"/>
      <c r="E119" s="62"/>
      <c r="F119" s="62"/>
      <c r="G119" s="61"/>
      <c r="H119" s="62"/>
      <c r="I119" s="61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</row>
    <row r="120" spans="1:97" ht="19.5" customHeight="1">
      <c r="A120" s="62"/>
      <c r="B120" s="62"/>
      <c r="C120" s="62"/>
      <c r="D120" s="62"/>
      <c r="E120" s="62"/>
      <c r="F120" s="62"/>
      <c r="G120" s="61"/>
      <c r="H120" s="62"/>
      <c r="I120" s="61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</row>
    <row r="121" spans="1:97" ht="19.5" customHeight="1">
      <c r="A121" s="62"/>
      <c r="B121" s="62"/>
      <c r="C121" s="62"/>
      <c r="D121" s="62"/>
      <c r="E121" s="62"/>
      <c r="F121" s="62"/>
      <c r="G121" s="61"/>
      <c r="H121" s="62"/>
      <c r="I121" s="61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</row>
    <row r="122" spans="1:97" ht="19.5" customHeight="1">
      <c r="A122" s="62"/>
      <c r="B122" s="62"/>
      <c r="C122" s="62"/>
      <c r="D122" s="62"/>
      <c r="E122" s="62"/>
      <c r="F122" s="62"/>
      <c r="G122" s="61"/>
      <c r="H122" s="62"/>
      <c r="I122" s="61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</row>
    <row r="123" spans="1:97" ht="19.5" customHeight="1">
      <c r="A123" s="62"/>
      <c r="B123" s="62"/>
      <c r="C123" s="62"/>
      <c r="D123" s="62"/>
      <c r="E123" s="62"/>
      <c r="F123" s="62"/>
      <c r="G123" s="61"/>
      <c r="H123" s="62"/>
      <c r="I123" s="61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</row>
    <row r="124" spans="1:97" ht="19.5" customHeight="1">
      <c r="A124" s="62"/>
      <c r="B124" s="62"/>
      <c r="C124" s="62"/>
      <c r="D124" s="62"/>
      <c r="E124" s="62"/>
      <c r="F124" s="62"/>
      <c r="G124" s="61"/>
      <c r="H124" s="62"/>
      <c r="I124" s="61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</row>
    <row r="125" spans="1:97" ht="19.5" customHeight="1">
      <c r="A125" s="62"/>
      <c r="B125" s="62"/>
      <c r="C125" s="62"/>
      <c r="D125" s="62"/>
      <c r="E125" s="62"/>
      <c r="F125" s="62"/>
      <c r="G125" s="61"/>
      <c r="H125" s="62"/>
      <c r="I125" s="61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</row>
    <row r="126" spans="1:97" ht="19.5" customHeight="1">
      <c r="A126" s="62"/>
      <c r="B126" s="62"/>
      <c r="C126" s="62"/>
      <c r="D126" s="62"/>
      <c r="E126" s="62"/>
      <c r="F126" s="62"/>
      <c r="G126" s="61"/>
      <c r="H126" s="62"/>
      <c r="I126" s="61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</row>
    <row r="127" spans="1:97" ht="19.5" customHeight="1">
      <c r="A127" s="62"/>
      <c r="B127" s="62"/>
      <c r="C127" s="62"/>
      <c r="D127" s="62"/>
      <c r="E127" s="62"/>
      <c r="F127" s="62"/>
      <c r="G127" s="61"/>
      <c r="H127" s="62"/>
      <c r="I127" s="61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</row>
    <row r="128" spans="1:97" ht="19.5" customHeight="1">
      <c r="A128" s="62"/>
      <c r="B128" s="62"/>
      <c r="C128" s="62"/>
      <c r="D128" s="62"/>
      <c r="E128" s="62"/>
      <c r="F128" s="62"/>
      <c r="G128" s="61"/>
      <c r="H128" s="62"/>
      <c r="I128" s="61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</row>
    <row r="129" spans="1:97" ht="19.5" customHeight="1">
      <c r="A129" s="62"/>
      <c r="B129" s="62"/>
      <c r="C129" s="62"/>
      <c r="D129" s="62"/>
      <c r="E129" s="62"/>
      <c r="F129" s="62"/>
      <c r="G129" s="61"/>
      <c r="H129" s="62"/>
      <c r="I129" s="61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</row>
    <row r="130" spans="1:97" ht="19.5" customHeight="1">
      <c r="A130" s="62"/>
      <c r="B130" s="62"/>
      <c r="C130" s="62"/>
      <c r="D130" s="62"/>
      <c r="E130" s="62"/>
      <c r="F130" s="62"/>
      <c r="G130" s="61"/>
      <c r="H130" s="62"/>
      <c r="I130" s="61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</row>
    <row r="131" spans="1:97" ht="19.5" customHeight="1">
      <c r="A131" s="62"/>
      <c r="B131" s="62"/>
      <c r="C131" s="62"/>
      <c r="D131" s="62"/>
      <c r="E131" s="62"/>
      <c r="F131" s="62"/>
      <c r="G131" s="61"/>
      <c r="H131" s="62"/>
      <c r="I131" s="61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</row>
    <row r="132" spans="1:97" ht="19.5" customHeight="1">
      <c r="A132" s="62"/>
      <c r="B132" s="62"/>
      <c r="C132" s="62"/>
      <c r="D132" s="62"/>
      <c r="E132" s="62"/>
      <c r="F132" s="62"/>
      <c r="G132" s="61"/>
      <c r="H132" s="62"/>
      <c r="I132" s="61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</row>
    <row r="133" spans="1:97" ht="19.5" customHeight="1">
      <c r="A133" s="62"/>
      <c r="B133" s="62"/>
      <c r="C133" s="62"/>
      <c r="D133" s="62"/>
      <c r="E133" s="62"/>
      <c r="F133" s="62"/>
      <c r="G133" s="61"/>
      <c r="H133" s="62"/>
      <c r="I133" s="61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</row>
    <row r="134" spans="1:97" ht="19.5" customHeight="1">
      <c r="A134" s="62"/>
      <c r="B134" s="62"/>
      <c r="C134" s="62"/>
      <c r="D134" s="62"/>
      <c r="E134" s="62"/>
      <c r="F134" s="62"/>
      <c r="G134" s="61"/>
      <c r="H134" s="62"/>
      <c r="I134" s="61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</row>
    <row r="135" spans="1:97" ht="19.5" customHeight="1">
      <c r="A135" s="62"/>
      <c r="B135" s="62"/>
      <c r="C135" s="62"/>
      <c r="D135" s="62"/>
      <c r="E135" s="62"/>
      <c r="F135" s="62"/>
      <c r="G135" s="61"/>
      <c r="H135" s="62"/>
      <c r="I135" s="61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</row>
    <row r="136" spans="1:97" ht="19.5" customHeight="1">
      <c r="A136" s="62"/>
      <c r="B136" s="62"/>
      <c r="C136" s="62"/>
      <c r="D136" s="62"/>
      <c r="E136" s="62"/>
      <c r="F136" s="62"/>
      <c r="G136" s="61"/>
      <c r="H136" s="62"/>
      <c r="I136" s="61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</row>
    <row r="137" spans="1:97" ht="19.5" customHeight="1">
      <c r="A137" s="62"/>
      <c r="B137" s="62"/>
      <c r="C137" s="62"/>
      <c r="D137" s="62"/>
      <c r="E137" s="62"/>
      <c r="F137" s="62"/>
      <c r="G137" s="61"/>
      <c r="H137" s="62"/>
      <c r="I137" s="61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</row>
    <row r="138" spans="1:97" ht="19.5" customHeight="1">
      <c r="A138" s="62"/>
      <c r="B138" s="62"/>
      <c r="C138" s="62"/>
      <c r="D138" s="62"/>
      <c r="E138" s="62"/>
      <c r="F138" s="62"/>
      <c r="G138" s="61"/>
      <c r="H138" s="62"/>
      <c r="I138" s="61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</row>
    <row r="139" spans="1:97" ht="19.5" customHeight="1">
      <c r="A139" s="62"/>
      <c r="B139" s="62"/>
      <c r="C139" s="62"/>
      <c r="D139" s="62"/>
      <c r="E139" s="62"/>
      <c r="F139" s="62"/>
      <c r="G139" s="61"/>
      <c r="H139" s="62"/>
      <c r="I139" s="61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</row>
    <row r="140" spans="1:97" ht="19.5" customHeight="1">
      <c r="A140" s="62"/>
      <c r="B140" s="62"/>
      <c r="C140" s="62"/>
      <c r="D140" s="62"/>
      <c r="E140" s="62"/>
      <c r="F140" s="62"/>
      <c r="G140" s="61"/>
      <c r="H140" s="62"/>
      <c r="I140" s="61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</row>
    <row r="141" spans="1:97" ht="19.5" customHeight="1">
      <c r="A141" s="62"/>
      <c r="B141" s="62"/>
      <c r="C141" s="62"/>
      <c r="D141" s="62"/>
      <c r="E141" s="62"/>
      <c r="F141" s="62"/>
      <c r="G141" s="61"/>
      <c r="H141" s="62"/>
      <c r="I141" s="61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</row>
    <row r="142" spans="1:97" ht="19.5" customHeight="1">
      <c r="A142" s="62"/>
      <c r="B142" s="62"/>
      <c r="C142" s="62"/>
      <c r="D142" s="62"/>
      <c r="E142" s="62"/>
      <c r="F142" s="62"/>
      <c r="G142" s="61"/>
      <c r="H142" s="62"/>
      <c r="I142" s="61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</row>
    <row r="143" spans="1:97" ht="19.5" customHeight="1">
      <c r="A143" s="62"/>
      <c r="B143" s="62"/>
      <c r="C143" s="62"/>
      <c r="D143" s="62"/>
      <c r="E143" s="62"/>
      <c r="F143" s="62"/>
      <c r="G143" s="61"/>
      <c r="H143" s="62"/>
      <c r="I143" s="61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</row>
    <row r="144" spans="1:97" ht="19.5" customHeight="1">
      <c r="A144" s="62"/>
      <c r="B144" s="62"/>
      <c r="C144" s="62"/>
      <c r="D144" s="62"/>
      <c r="E144" s="62"/>
      <c r="F144" s="62"/>
      <c r="G144" s="61"/>
      <c r="H144" s="62"/>
      <c r="I144" s="61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</row>
    <row r="145" spans="1:97" ht="19.5" customHeight="1">
      <c r="A145" s="62"/>
      <c r="B145" s="62"/>
      <c r="C145" s="62"/>
      <c r="D145" s="62"/>
      <c r="E145" s="62"/>
      <c r="F145" s="62"/>
      <c r="G145" s="61"/>
      <c r="H145" s="62"/>
      <c r="I145" s="61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</row>
    <row r="146" spans="1:97" ht="19.5" customHeight="1">
      <c r="A146" s="62"/>
      <c r="B146" s="62"/>
      <c r="C146" s="62"/>
      <c r="D146" s="62"/>
      <c r="E146" s="62"/>
      <c r="F146" s="62"/>
      <c r="G146" s="61"/>
      <c r="H146" s="62"/>
      <c r="I146" s="61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</row>
    <row r="147" spans="1:97" ht="19.5" customHeight="1">
      <c r="A147" s="62"/>
      <c r="B147" s="62"/>
      <c r="C147" s="62"/>
      <c r="D147" s="62"/>
      <c r="E147" s="62"/>
      <c r="F147" s="62"/>
      <c r="G147" s="61"/>
      <c r="H147" s="62"/>
      <c r="I147" s="61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</row>
    <row r="148" spans="1:97" ht="19.5" customHeight="1">
      <c r="A148" s="62"/>
      <c r="B148" s="62"/>
      <c r="C148" s="62"/>
      <c r="D148" s="62"/>
      <c r="E148" s="62"/>
      <c r="F148" s="62"/>
      <c r="G148" s="61"/>
      <c r="H148" s="62"/>
      <c r="I148" s="61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</row>
    <row r="149" spans="1:97" ht="19.5" customHeight="1">
      <c r="A149" s="62"/>
      <c r="B149" s="62"/>
      <c r="C149" s="62"/>
      <c r="D149" s="62"/>
      <c r="E149" s="62"/>
      <c r="F149" s="62"/>
      <c r="G149" s="61"/>
      <c r="H149" s="62"/>
      <c r="I149" s="61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</row>
    <row r="150" spans="1:97" ht="19.5" customHeight="1">
      <c r="A150" s="62"/>
      <c r="B150" s="62"/>
      <c r="C150" s="62"/>
      <c r="D150" s="62"/>
      <c r="E150" s="62"/>
      <c r="F150" s="62"/>
      <c r="G150" s="61"/>
      <c r="H150" s="62"/>
      <c r="I150" s="61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</row>
    <row r="151" spans="1:97" ht="19.5" customHeight="1">
      <c r="A151" s="62"/>
      <c r="B151" s="62"/>
      <c r="C151" s="62"/>
      <c r="D151" s="62"/>
      <c r="E151" s="62"/>
      <c r="F151" s="62"/>
      <c r="G151" s="61"/>
      <c r="H151" s="62"/>
      <c r="I151" s="61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</row>
    <row r="152" spans="1:97" ht="19.5" customHeight="1">
      <c r="A152" s="62"/>
      <c r="B152" s="62"/>
      <c r="C152" s="62"/>
      <c r="D152" s="62"/>
      <c r="E152" s="62"/>
      <c r="F152" s="62"/>
      <c r="G152" s="61"/>
      <c r="H152" s="62"/>
      <c r="I152" s="61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</row>
    <row r="153" spans="1:97" ht="19.5" customHeight="1">
      <c r="A153" s="62"/>
      <c r="B153" s="62"/>
      <c r="C153" s="62"/>
      <c r="D153" s="62"/>
      <c r="E153" s="62"/>
      <c r="F153" s="62"/>
      <c r="G153" s="61"/>
      <c r="H153" s="62"/>
      <c r="I153" s="61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</row>
    <row r="154" spans="1:97" ht="19.5" customHeight="1">
      <c r="A154" s="62"/>
      <c r="B154" s="62"/>
      <c r="C154" s="62"/>
      <c r="D154" s="62"/>
      <c r="E154" s="62"/>
      <c r="F154" s="62"/>
      <c r="G154" s="61"/>
      <c r="H154" s="62"/>
      <c r="I154" s="61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</row>
    <row r="155" spans="1:97" ht="19.5" customHeight="1">
      <c r="A155" s="62"/>
      <c r="B155" s="62"/>
      <c r="C155" s="62"/>
      <c r="D155" s="62"/>
      <c r="E155" s="62"/>
      <c r="F155" s="62"/>
      <c r="G155" s="61"/>
      <c r="H155" s="62"/>
      <c r="I155" s="61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</row>
    <row r="156" spans="1:97" ht="19.5" customHeight="1">
      <c r="A156" s="62"/>
      <c r="B156" s="62"/>
      <c r="C156" s="62"/>
      <c r="D156" s="62"/>
      <c r="E156" s="62"/>
      <c r="F156" s="62"/>
      <c r="G156" s="61"/>
      <c r="H156" s="62"/>
      <c r="I156" s="61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</row>
    <row r="157" spans="1:97" ht="19.5" customHeight="1">
      <c r="A157" s="62"/>
      <c r="B157" s="62"/>
      <c r="C157" s="62"/>
      <c r="D157" s="62"/>
      <c r="E157" s="62"/>
      <c r="F157" s="62"/>
      <c r="G157" s="61"/>
      <c r="H157" s="62"/>
      <c r="I157" s="61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</row>
    <row r="158" spans="1:97" ht="19.5" customHeight="1">
      <c r="A158" s="62"/>
      <c r="B158" s="62"/>
      <c r="C158" s="62"/>
      <c r="D158" s="62"/>
      <c r="E158" s="62"/>
      <c r="F158" s="62"/>
      <c r="G158" s="61"/>
      <c r="H158" s="62"/>
      <c r="I158" s="61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</row>
    <row r="159" spans="1:97" ht="19.5" customHeight="1">
      <c r="A159" s="62"/>
      <c r="B159" s="62"/>
      <c r="C159" s="62"/>
      <c r="D159" s="62"/>
      <c r="E159" s="62"/>
      <c r="F159" s="62"/>
      <c r="G159" s="61"/>
      <c r="H159" s="62"/>
      <c r="I159" s="61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</row>
    <row r="160" spans="1:97" ht="19.5" customHeight="1">
      <c r="A160" s="62"/>
      <c r="B160" s="62"/>
      <c r="C160" s="62"/>
      <c r="D160" s="62"/>
      <c r="E160" s="62"/>
      <c r="F160" s="62"/>
      <c r="G160" s="61"/>
      <c r="H160" s="62"/>
      <c r="I160" s="61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</row>
    <row r="161" spans="1:97" ht="19.5" customHeight="1">
      <c r="A161" s="62"/>
      <c r="B161" s="62"/>
      <c r="C161" s="62"/>
      <c r="D161" s="62"/>
      <c r="E161" s="62"/>
      <c r="F161" s="62"/>
      <c r="G161" s="61"/>
      <c r="H161" s="62"/>
      <c r="I161" s="61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</row>
    <row r="162" spans="1:97" ht="19.5" customHeight="1">
      <c r="A162" s="62"/>
      <c r="B162" s="62"/>
      <c r="C162" s="62"/>
      <c r="D162" s="62"/>
      <c r="E162" s="62"/>
      <c r="F162" s="62"/>
      <c r="G162" s="61"/>
      <c r="H162" s="62"/>
      <c r="I162" s="61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</row>
    <row r="163" spans="1:97" ht="19.5" customHeight="1">
      <c r="A163" s="62"/>
      <c r="B163" s="62"/>
      <c r="C163" s="62"/>
      <c r="D163" s="62"/>
      <c r="E163" s="62"/>
      <c r="F163" s="62"/>
      <c r="G163" s="61"/>
      <c r="H163" s="62"/>
      <c r="I163" s="61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</row>
    <row r="164" spans="1:97" ht="19.5" customHeight="1">
      <c r="A164" s="62"/>
      <c r="B164" s="62"/>
      <c r="C164" s="62"/>
      <c r="D164" s="62"/>
      <c r="E164" s="62"/>
      <c r="F164" s="62"/>
      <c r="G164" s="61"/>
      <c r="H164" s="62"/>
      <c r="I164" s="61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</row>
    <row r="165" spans="1:97" ht="19.5" customHeight="1">
      <c r="A165" s="62"/>
      <c r="B165" s="62"/>
      <c r="C165" s="62"/>
      <c r="D165" s="62"/>
      <c r="E165" s="62"/>
      <c r="F165" s="62"/>
      <c r="G165" s="61"/>
      <c r="H165" s="62"/>
      <c r="I165" s="61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</row>
    <row r="166" spans="1:97" ht="19.5" customHeight="1">
      <c r="A166" s="62"/>
      <c r="B166" s="62"/>
      <c r="C166" s="62"/>
      <c r="D166" s="62"/>
      <c r="E166" s="62"/>
      <c r="F166" s="62"/>
      <c r="G166" s="61"/>
      <c r="H166" s="62"/>
      <c r="I166" s="61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</row>
    <row r="167" spans="1:97" ht="19.5" customHeight="1">
      <c r="A167" s="62"/>
      <c r="B167" s="62"/>
      <c r="C167" s="62"/>
      <c r="D167" s="62"/>
      <c r="E167" s="62"/>
      <c r="F167" s="62"/>
      <c r="G167" s="61"/>
      <c r="H167" s="62"/>
      <c r="I167" s="61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</row>
    <row r="168" spans="1:97" ht="19.5" customHeight="1">
      <c r="A168" s="62"/>
      <c r="B168" s="62"/>
      <c r="C168" s="62"/>
      <c r="D168" s="62"/>
      <c r="E168" s="62"/>
      <c r="F168" s="62"/>
      <c r="G168" s="61"/>
      <c r="H168" s="62"/>
      <c r="I168" s="61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</row>
    <row r="169" spans="1:97" ht="19.5" customHeight="1">
      <c r="A169" s="62"/>
      <c r="B169" s="62"/>
      <c r="C169" s="62"/>
      <c r="D169" s="62"/>
      <c r="E169" s="62"/>
      <c r="F169" s="62"/>
      <c r="G169" s="61"/>
      <c r="H169" s="62"/>
      <c r="I169" s="61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</row>
    <row r="170" spans="1:97" ht="19.5" customHeight="1">
      <c r="A170" s="62"/>
      <c r="B170" s="62"/>
      <c r="C170" s="62"/>
      <c r="D170" s="62"/>
      <c r="E170" s="62"/>
      <c r="F170" s="62"/>
      <c r="G170" s="61"/>
      <c r="H170" s="62"/>
      <c r="I170" s="61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</row>
    <row r="171" spans="1:97" ht="19.5" customHeight="1">
      <c r="A171" s="62"/>
      <c r="B171" s="62"/>
      <c r="C171" s="62"/>
      <c r="D171" s="62"/>
      <c r="E171" s="62"/>
      <c r="F171" s="62"/>
      <c r="G171" s="61"/>
      <c r="H171" s="62"/>
      <c r="I171" s="61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</row>
    <row r="172" spans="1:97" ht="19.5" customHeight="1">
      <c r="A172" s="62"/>
      <c r="B172" s="62"/>
      <c r="C172" s="62"/>
      <c r="D172" s="62"/>
      <c r="E172" s="62"/>
      <c r="F172" s="62"/>
      <c r="G172" s="61"/>
      <c r="H172" s="62"/>
      <c r="I172" s="61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</row>
    <row r="173" spans="1:97" ht="19.5" customHeight="1">
      <c r="A173" s="62"/>
      <c r="B173" s="62"/>
      <c r="C173" s="62"/>
      <c r="D173" s="62"/>
      <c r="E173" s="62"/>
      <c r="F173" s="62"/>
      <c r="G173" s="61"/>
      <c r="H173" s="62"/>
      <c r="I173" s="61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</row>
    <row r="174" spans="1:97" ht="19.5" customHeight="1">
      <c r="A174" s="62"/>
      <c r="B174" s="62"/>
      <c r="C174" s="62"/>
      <c r="D174" s="62"/>
      <c r="E174" s="62"/>
      <c r="F174" s="62"/>
      <c r="G174" s="61"/>
      <c r="H174" s="62"/>
      <c r="I174" s="61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</row>
    <row r="175" spans="1:97" ht="19.5" customHeight="1">
      <c r="A175" s="62"/>
      <c r="B175" s="62"/>
      <c r="C175" s="62"/>
      <c r="D175" s="62"/>
      <c r="E175" s="62"/>
      <c r="F175" s="62"/>
      <c r="G175" s="61"/>
      <c r="H175" s="62"/>
      <c r="I175" s="61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</row>
    <row r="176" spans="1:97" ht="19.5" customHeight="1">
      <c r="A176" s="62"/>
      <c r="B176" s="62"/>
      <c r="C176" s="62"/>
      <c r="D176" s="62"/>
      <c r="E176" s="62"/>
      <c r="F176" s="62"/>
      <c r="G176" s="61"/>
      <c r="H176" s="62"/>
      <c r="I176" s="61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</row>
    <row r="177" spans="1:97" ht="19.5" customHeight="1">
      <c r="A177" s="62"/>
      <c r="B177" s="62"/>
      <c r="C177" s="62"/>
      <c r="D177" s="62"/>
      <c r="E177" s="62"/>
      <c r="F177" s="62"/>
      <c r="G177" s="61"/>
      <c r="H177" s="62"/>
      <c r="I177" s="61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</row>
    <row r="178" spans="1:97" ht="19.5" customHeight="1">
      <c r="A178" s="62"/>
      <c r="B178" s="62"/>
      <c r="C178" s="62"/>
      <c r="D178" s="62"/>
      <c r="E178" s="62"/>
      <c r="F178" s="62"/>
      <c r="G178" s="61"/>
      <c r="H178" s="62"/>
      <c r="I178" s="61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</row>
    <row r="179" spans="1:97" ht="19.5" customHeight="1">
      <c r="A179" s="62"/>
      <c r="B179" s="62"/>
      <c r="C179" s="62"/>
      <c r="D179" s="62"/>
      <c r="E179" s="62"/>
      <c r="F179" s="62"/>
      <c r="G179" s="61"/>
      <c r="H179" s="62"/>
      <c r="I179" s="61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</row>
    <row r="180" spans="1:97" ht="19.5" customHeight="1">
      <c r="A180" s="62"/>
      <c r="B180" s="62"/>
      <c r="C180" s="62"/>
      <c r="D180" s="62"/>
      <c r="E180" s="62"/>
      <c r="F180" s="62"/>
      <c r="G180" s="61"/>
      <c r="H180" s="62"/>
      <c r="I180" s="61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</row>
    <row r="181" spans="1:97" ht="19.5" customHeight="1">
      <c r="A181" s="62"/>
      <c r="B181" s="62"/>
      <c r="C181" s="62"/>
      <c r="D181" s="62"/>
      <c r="E181" s="62"/>
      <c r="F181" s="62"/>
      <c r="G181" s="61"/>
      <c r="H181" s="62"/>
      <c r="I181" s="61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</row>
    <row r="182" spans="1:97" ht="19.5" customHeight="1">
      <c r="A182" s="62"/>
      <c r="B182" s="62"/>
      <c r="C182" s="62"/>
      <c r="D182" s="62"/>
      <c r="E182" s="62"/>
      <c r="F182" s="62"/>
      <c r="G182" s="61"/>
      <c r="H182" s="62"/>
      <c r="I182" s="61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</row>
    <row r="183" spans="1:97" ht="19.5" customHeight="1">
      <c r="A183" s="62"/>
      <c r="B183" s="62"/>
      <c r="C183" s="62"/>
      <c r="D183" s="62"/>
      <c r="E183" s="62"/>
      <c r="F183" s="62"/>
      <c r="G183" s="61"/>
      <c r="H183" s="62"/>
      <c r="I183" s="61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</row>
    <row r="184" spans="1:97" ht="19.5" customHeight="1">
      <c r="A184" s="62"/>
      <c r="B184" s="62"/>
      <c r="C184" s="62"/>
      <c r="D184" s="62"/>
      <c r="E184" s="62"/>
      <c r="F184" s="62"/>
      <c r="G184" s="61"/>
      <c r="H184" s="62"/>
      <c r="I184" s="61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</row>
    <row r="185" spans="1:97" ht="19.5" customHeight="1">
      <c r="A185" s="62"/>
      <c r="B185" s="62"/>
      <c r="C185" s="62"/>
      <c r="D185" s="62"/>
      <c r="E185" s="62"/>
      <c r="F185" s="62"/>
      <c r="G185" s="61"/>
      <c r="H185" s="62"/>
      <c r="I185" s="61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</row>
    <row r="186" spans="1:97" ht="19.5" customHeight="1">
      <c r="A186" s="62"/>
      <c r="B186" s="62"/>
      <c r="C186" s="62"/>
      <c r="D186" s="62"/>
      <c r="E186" s="62"/>
      <c r="F186" s="62"/>
      <c r="G186" s="61"/>
      <c r="H186" s="62"/>
      <c r="I186" s="61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</row>
    <row r="187" spans="1:97" ht="19.5" customHeight="1">
      <c r="A187" s="62"/>
      <c r="B187" s="62"/>
      <c r="C187" s="62"/>
      <c r="D187" s="62"/>
      <c r="E187" s="62"/>
      <c r="F187" s="62"/>
      <c r="G187" s="61"/>
      <c r="H187" s="62"/>
      <c r="I187" s="61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</row>
    <row r="188" spans="1:97" ht="19.5" customHeight="1">
      <c r="A188" s="62"/>
      <c r="B188" s="62"/>
      <c r="C188" s="62"/>
      <c r="D188" s="62"/>
      <c r="E188" s="62"/>
      <c r="F188" s="62"/>
      <c r="G188" s="61"/>
      <c r="H188" s="62"/>
      <c r="I188" s="61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</row>
    <row r="189" spans="1:97" ht="19.5" customHeight="1">
      <c r="A189" s="62"/>
      <c r="B189" s="62"/>
      <c r="C189" s="62"/>
      <c r="D189" s="62"/>
      <c r="E189" s="62"/>
      <c r="F189" s="62"/>
      <c r="G189" s="61"/>
      <c r="H189" s="62"/>
      <c r="I189" s="61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</row>
    <row r="190" spans="1:97" ht="19.5" customHeight="1">
      <c r="A190" s="62"/>
      <c r="B190" s="62"/>
      <c r="C190" s="62"/>
      <c r="D190" s="62"/>
      <c r="E190" s="62"/>
      <c r="F190" s="62"/>
      <c r="G190" s="61"/>
      <c r="H190" s="62"/>
      <c r="I190" s="61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</row>
    <row r="191" spans="1:97" ht="19.5" customHeight="1">
      <c r="A191" s="62"/>
      <c r="B191" s="62"/>
      <c r="C191" s="62"/>
      <c r="D191" s="62"/>
      <c r="E191" s="62"/>
      <c r="F191" s="62"/>
      <c r="G191" s="61"/>
      <c r="H191" s="62"/>
      <c r="I191" s="61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</row>
    <row r="192" spans="1:97" ht="19.5" customHeight="1">
      <c r="A192" s="62"/>
      <c r="B192" s="62"/>
      <c r="C192" s="62"/>
      <c r="D192" s="62"/>
      <c r="E192" s="62"/>
      <c r="F192" s="62"/>
      <c r="G192" s="61"/>
      <c r="H192" s="62"/>
      <c r="I192" s="61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</row>
    <row r="193" spans="1:97" ht="19.5" customHeight="1">
      <c r="A193" s="62"/>
      <c r="B193" s="62"/>
      <c r="C193" s="62"/>
      <c r="D193" s="62"/>
      <c r="E193" s="62"/>
      <c r="F193" s="62"/>
      <c r="G193" s="61"/>
      <c r="H193" s="62"/>
      <c r="I193" s="61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</row>
    <row r="194" spans="1:97" ht="19.5" customHeight="1">
      <c r="A194" s="62"/>
      <c r="B194" s="62"/>
      <c r="C194" s="62"/>
      <c r="D194" s="62"/>
      <c r="E194" s="62"/>
      <c r="F194" s="62"/>
      <c r="G194" s="61"/>
      <c r="H194" s="62"/>
      <c r="I194" s="61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</row>
    <row r="195" spans="1:97" ht="19.5" customHeight="1">
      <c r="A195" s="62"/>
      <c r="B195" s="62"/>
      <c r="C195" s="62"/>
      <c r="D195" s="62"/>
      <c r="E195" s="62"/>
      <c r="F195" s="62"/>
      <c r="G195" s="61"/>
      <c r="H195" s="62"/>
      <c r="I195" s="61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</row>
    <row r="196" spans="1:97" ht="19.5" customHeight="1">
      <c r="A196" s="62"/>
      <c r="B196" s="62"/>
      <c r="C196" s="62"/>
      <c r="D196" s="62"/>
      <c r="E196" s="62"/>
      <c r="F196" s="62"/>
      <c r="G196" s="61"/>
      <c r="H196" s="62"/>
      <c r="I196" s="61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</row>
    <row r="197" spans="1:97" ht="19.5" customHeight="1">
      <c r="A197" s="62"/>
      <c r="B197" s="62"/>
      <c r="C197" s="62"/>
      <c r="D197" s="62"/>
      <c r="E197" s="62"/>
      <c r="F197" s="62"/>
      <c r="G197" s="61"/>
      <c r="H197" s="62"/>
      <c r="I197" s="61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</row>
    <row r="198" spans="1:97" ht="19.5" customHeight="1">
      <c r="A198" s="62"/>
      <c r="B198" s="62"/>
      <c r="C198" s="62"/>
      <c r="D198" s="62"/>
      <c r="E198" s="62"/>
      <c r="F198" s="62"/>
      <c r="G198" s="61"/>
      <c r="H198" s="62"/>
      <c r="I198" s="61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</row>
    <row r="199" spans="1:97" ht="19.5" customHeight="1">
      <c r="A199" s="62"/>
      <c r="B199" s="62"/>
      <c r="C199" s="62"/>
      <c r="D199" s="62"/>
      <c r="E199" s="62"/>
      <c r="F199" s="62"/>
      <c r="G199" s="61"/>
      <c r="H199" s="62"/>
      <c r="I199" s="61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</row>
    <row r="200" spans="1:97" ht="19.5" customHeight="1">
      <c r="A200" s="62"/>
      <c r="B200" s="62"/>
      <c r="C200" s="62"/>
      <c r="D200" s="62"/>
      <c r="E200" s="62"/>
      <c r="F200" s="62"/>
      <c r="G200" s="61"/>
      <c r="H200" s="62"/>
      <c r="I200" s="61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</row>
    <row r="201" spans="1:97" ht="19.5" customHeight="1">
      <c r="A201" s="62"/>
      <c r="B201" s="62"/>
      <c r="C201" s="62"/>
      <c r="D201" s="62"/>
      <c r="E201" s="62"/>
      <c r="F201" s="62"/>
      <c r="G201" s="61"/>
      <c r="H201" s="62"/>
      <c r="I201" s="61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</row>
    <row r="202" spans="1:97" ht="19.5" customHeight="1">
      <c r="A202" s="62"/>
      <c r="B202" s="62"/>
      <c r="C202" s="62"/>
      <c r="D202" s="62"/>
      <c r="E202" s="62"/>
      <c r="F202" s="62"/>
      <c r="G202" s="61"/>
      <c r="H202" s="62"/>
      <c r="I202" s="61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</row>
    <row r="203" spans="1:97" ht="19.5" customHeight="1">
      <c r="A203" s="62"/>
      <c r="B203" s="62"/>
      <c r="C203" s="62"/>
      <c r="D203" s="62"/>
      <c r="E203" s="62"/>
      <c r="F203" s="62"/>
      <c r="G203" s="61"/>
      <c r="H203" s="62"/>
      <c r="I203" s="61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</row>
    <row r="204" spans="1:97" ht="19.5" customHeight="1">
      <c r="A204" s="62"/>
      <c r="B204" s="62"/>
      <c r="C204" s="62"/>
      <c r="D204" s="62"/>
      <c r="E204" s="62"/>
      <c r="F204" s="62"/>
      <c r="G204" s="61"/>
      <c r="H204" s="62"/>
      <c r="I204" s="61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</row>
    <row r="205" spans="1:97" ht="19.5" customHeight="1">
      <c r="A205" s="62"/>
      <c r="B205" s="62"/>
      <c r="C205" s="62"/>
      <c r="D205" s="62"/>
      <c r="E205" s="62"/>
      <c r="F205" s="62"/>
      <c r="G205" s="61"/>
      <c r="H205" s="62"/>
      <c r="I205" s="61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</row>
    <row r="206" spans="1:97" ht="19.5" customHeight="1">
      <c r="A206" s="62"/>
      <c r="B206" s="62"/>
      <c r="C206" s="62"/>
      <c r="D206" s="62"/>
      <c r="E206" s="62"/>
      <c r="F206" s="62"/>
      <c r="G206" s="61"/>
      <c r="H206" s="62"/>
      <c r="I206" s="61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</row>
    <row r="207" spans="1:97" ht="19.5" customHeight="1">
      <c r="A207" s="62"/>
      <c r="B207" s="62"/>
      <c r="C207" s="62"/>
      <c r="D207" s="62"/>
      <c r="E207" s="62"/>
      <c r="F207" s="62"/>
      <c r="G207" s="61"/>
      <c r="H207" s="62"/>
      <c r="I207" s="61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</row>
    <row r="208" spans="1:97" ht="19.5" customHeight="1">
      <c r="A208" s="62"/>
      <c r="B208" s="62"/>
      <c r="C208" s="62"/>
      <c r="D208" s="62"/>
      <c r="E208" s="62"/>
      <c r="F208" s="62"/>
      <c r="G208" s="61"/>
      <c r="H208" s="62"/>
      <c r="I208" s="61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</row>
    <row r="209" spans="1:97" ht="19.5" customHeight="1">
      <c r="A209" s="62"/>
      <c r="B209" s="62"/>
      <c r="C209" s="62"/>
      <c r="D209" s="62"/>
      <c r="E209" s="62"/>
      <c r="F209" s="62"/>
      <c r="G209" s="61"/>
      <c r="H209" s="62"/>
      <c r="I209" s="61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</row>
    <row r="210" spans="1:97" ht="19.5" customHeight="1">
      <c r="A210" s="62"/>
      <c r="B210" s="62"/>
      <c r="C210" s="62"/>
      <c r="D210" s="62"/>
      <c r="E210" s="62"/>
      <c r="F210" s="62"/>
      <c r="G210" s="61"/>
      <c r="H210" s="62"/>
      <c r="I210" s="61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</row>
    <row r="211" spans="1:97" ht="19.5" customHeight="1">
      <c r="A211" s="62"/>
      <c r="B211" s="62"/>
      <c r="C211" s="62"/>
      <c r="D211" s="62"/>
      <c r="E211" s="62"/>
      <c r="F211" s="62"/>
      <c r="G211" s="61"/>
      <c r="H211" s="62"/>
      <c r="I211" s="61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</row>
    <row r="212" spans="1:97" ht="19.5" customHeight="1">
      <c r="A212" s="62"/>
      <c r="B212" s="62"/>
      <c r="C212" s="62"/>
      <c r="D212" s="62"/>
      <c r="E212" s="62"/>
      <c r="F212" s="62"/>
      <c r="G212" s="61"/>
      <c r="H212" s="62"/>
      <c r="I212" s="61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</row>
    <row r="213" spans="1:97" ht="19.5" customHeight="1">
      <c r="A213" s="62"/>
      <c r="B213" s="62"/>
      <c r="C213" s="62"/>
      <c r="D213" s="62"/>
      <c r="E213" s="62"/>
      <c r="F213" s="62"/>
      <c r="G213" s="61"/>
      <c r="H213" s="62"/>
      <c r="I213" s="61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</row>
    <row r="214" spans="1:97" ht="19.5" customHeight="1">
      <c r="A214" s="62"/>
      <c r="B214" s="62"/>
      <c r="C214" s="62"/>
      <c r="D214" s="62"/>
      <c r="E214" s="62"/>
      <c r="F214" s="62"/>
      <c r="G214" s="61"/>
      <c r="H214" s="62"/>
      <c r="I214" s="61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</row>
    <row r="215" spans="1:97" ht="19.5" customHeight="1">
      <c r="A215" s="62"/>
      <c r="B215" s="62"/>
      <c r="C215" s="62"/>
      <c r="D215" s="62"/>
      <c r="E215" s="62"/>
      <c r="F215" s="62"/>
      <c r="G215" s="61"/>
      <c r="H215" s="62"/>
      <c r="I215" s="61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</row>
    <row r="216" spans="1:97" ht="19.5" customHeight="1">
      <c r="A216" s="62"/>
      <c r="B216" s="62"/>
      <c r="C216" s="62"/>
      <c r="D216" s="62"/>
      <c r="E216" s="62"/>
      <c r="F216" s="62"/>
      <c r="G216" s="61"/>
      <c r="H216" s="62"/>
      <c r="I216" s="61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</row>
    <row r="217" spans="1:97" ht="19.5" customHeight="1">
      <c r="A217" s="62"/>
      <c r="B217" s="62"/>
      <c r="C217" s="62"/>
      <c r="D217" s="62"/>
      <c r="E217" s="62"/>
      <c r="F217" s="62"/>
      <c r="G217" s="61"/>
      <c r="H217" s="62"/>
      <c r="I217" s="61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</row>
    <row r="218" spans="1:97" ht="19.5" customHeight="1">
      <c r="A218" s="62"/>
      <c r="B218" s="62"/>
      <c r="C218" s="62"/>
      <c r="D218" s="62"/>
      <c r="E218" s="62"/>
      <c r="F218" s="62"/>
      <c r="G218" s="61"/>
      <c r="H218" s="62"/>
      <c r="I218" s="61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</row>
    <row r="219" spans="1:97" ht="19.5" customHeight="1">
      <c r="A219" s="62"/>
      <c r="B219" s="62"/>
      <c r="C219" s="62"/>
      <c r="D219" s="62"/>
      <c r="E219" s="62"/>
      <c r="F219" s="62"/>
      <c r="G219" s="61"/>
      <c r="H219" s="62"/>
      <c r="I219" s="61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</row>
    <row r="220" spans="1:97" ht="19.5" customHeight="1">
      <c r="A220" s="62"/>
      <c r="B220" s="62"/>
      <c r="C220" s="62"/>
      <c r="D220" s="62"/>
      <c r="E220" s="62"/>
      <c r="F220" s="62"/>
      <c r="G220" s="61"/>
      <c r="H220" s="62"/>
      <c r="I220" s="61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</row>
    <row r="221" spans="1:97" ht="19.5" customHeight="1">
      <c r="A221" s="62"/>
      <c r="B221" s="62"/>
      <c r="C221" s="62"/>
      <c r="D221" s="62"/>
      <c r="E221" s="62"/>
      <c r="F221" s="62"/>
      <c r="G221" s="61"/>
      <c r="H221" s="62"/>
      <c r="I221" s="61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</row>
    <row r="222" spans="1:97" ht="19.5" customHeight="1">
      <c r="A222" s="62"/>
      <c r="B222" s="62"/>
      <c r="C222" s="62"/>
      <c r="D222" s="62"/>
      <c r="E222" s="62"/>
      <c r="F222" s="62"/>
      <c r="G222" s="61"/>
      <c r="H222" s="62"/>
      <c r="I222" s="61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</row>
    <row r="223" spans="1:97" ht="19.5" customHeight="1">
      <c r="A223" s="62"/>
      <c r="B223" s="62"/>
      <c r="C223" s="62"/>
      <c r="D223" s="62"/>
      <c r="E223" s="62"/>
      <c r="F223" s="62"/>
      <c r="G223" s="61"/>
      <c r="H223" s="62"/>
      <c r="I223" s="61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</row>
    <row r="224" spans="1:97" ht="19.5" customHeight="1">
      <c r="A224" s="62"/>
      <c r="B224" s="62"/>
      <c r="C224" s="62"/>
      <c r="D224" s="62"/>
      <c r="E224" s="62"/>
      <c r="F224" s="62"/>
      <c r="G224" s="61"/>
      <c r="H224" s="62"/>
      <c r="I224" s="61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</row>
    <row r="225" spans="1:97" ht="19.5" customHeight="1">
      <c r="A225" s="62"/>
      <c r="B225" s="62"/>
      <c r="C225" s="62"/>
      <c r="D225" s="62"/>
      <c r="E225" s="62"/>
      <c r="F225" s="62"/>
      <c r="G225" s="61"/>
      <c r="H225" s="62"/>
      <c r="I225" s="61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</row>
    <row r="226" spans="1:97" ht="19.5" customHeight="1">
      <c r="A226" s="62"/>
      <c r="B226" s="62"/>
      <c r="C226" s="62"/>
      <c r="D226" s="62"/>
      <c r="E226" s="62"/>
      <c r="F226" s="62"/>
      <c r="G226" s="61"/>
      <c r="H226" s="62"/>
      <c r="I226" s="61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</row>
    <row r="227" spans="1:97" ht="19.5" customHeight="1">
      <c r="A227" s="62"/>
      <c r="B227" s="62"/>
      <c r="C227" s="62"/>
      <c r="D227" s="62"/>
      <c r="E227" s="62"/>
      <c r="F227" s="62"/>
      <c r="G227" s="61"/>
      <c r="H227" s="62"/>
      <c r="I227" s="61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</row>
    <row r="228" spans="1:97" ht="19.5" customHeight="1">
      <c r="A228" s="62"/>
      <c r="B228" s="62"/>
      <c r="C228" s="62"/>
      <c r="D228" s="62"/>
      <c r="E228" s="62"/>
      <c r="F228" s="62"/>
      <c r="G228" s="61"/>
      <c r="H228" s="62"/>
      <c r="I228" s="61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</row>
    <row r="229" spans="1:97" ht="19.5" customHeight="1">
      <c r="A229" s="62"/>
      <c r="B229" s="62"/>
      <c r="C229" s="62"/>
      <c r="D229" s="62"/>
      <c r="E229" s="62"/>
      <c r="F229" s="62"/>
      <c r="G229" s="61"/>
      <c r="H229" s="62"/>
      <c r="I229" s="61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</row>
    <row r="230" spans="1:97" ht="19.5" customHeight="1">
      <c r="A230" s="62"/>
      <c r="B230" s="62"/>
      <c r="C230" s="62"/>
      <c r="D230" s="62"/>
      <c r="E230" s="62"/>
      <c r="F230" s="62"/>
      <c r="G230" s="61"/>
      <c r="H230" s="62"/>
      <c r="I230" s="61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</row>
    <row r="231" spans="1:97" ht="19.5" customHeight="1">
      <c r="A231" s="62"/>
      <c r="B231" s="62"/>
      <c r="C231" s="62"/>
      <c r="D231" s="62"/>
      <c r="E231" s="62"/>
      <c r="F231" s="62"/>
      <c r="G231" s="61"/>
      <c r="H231" s="62"/>
      <c r="I231" s="61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</row>
    <row r="232" spans="1:97" ht="19.5" customHeight="1">
      <c r="A232" s="62"/>
      <c r="B232" s="62"/>
      <c r="C232" s="62"/>
      <c r="D232" s="62"/>
      <c r="E232" s="62"/>
      <c r="F232" s="62"/>
      <c r="G232" s="61"/>
      <c r="H232" s="62"/>
      <c r="I232" s="61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</row>
    <row r="233" spans="1:97" ht="19.5" customHeight="1">
      <c r="A233" s="62"/>
      <c r="B233" s="62"/>
      <c r="C233" s="62"/>
      <c r="D233" s="62"/>
      <c r="E233" s="62"/>
      <c r="F233" s="62"/>
      <c r="G233" s="61"/>
      <c r="H233" s="62"/>
      <c r="I233" s="61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</row>
    <row r="234" spans="1:97" ht="19.5" customHeight="1">
      <c r="A234" s="62"/>
      <c r="B234" s="62"/>
      <c r="C234" s="62"/>
      <c r="D234" s="62"/>
      <c r="E234" s="62"/>
      <c r="F234" s="62"/>
      <c r="G234" s="61"/>
      <c r="H234" s="62"/>
      <c r="I234" s="61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</row>
    <row r="235" spans="1:97" ht="19.5" customHeight="1">
      <c r="A235" s="62"/>
      <c r="B235" s="62"/>
      <c r="C235" s="62"/>
      <c r="D235" s="62"/>
      <c r="E235" s="62"/>
      <c r="F235" s="62"/>
      <c r="G235" s="61"/>
      <c r="H235" s="62"/>
      <c r="I235" s="61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</row>
    <row r="236" spans="1:97" ht="19.5" customHeight="1">
      <c r="A236" s="62"/>
      <c r="B236" s="62"/>
      <c r="C236" s="62"/>
      <c r="D236" s="62"/>
      <c r="E236" s="62"/>
      <c r="F236" s="62"/>
      <c r="G236" s="61"/>
      <c r="H236" s="62"/>
      <c r="I236" s="61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</row>
    <row r="237" spans="1:97" ht="19.5" customHeight="1">
      <c r="A237" s="62"/>
      <c r="B237" s="62"/>
      <c r="C237" s="62"/>
      <c r="D237" s="62"/>
      <c r="E237" s="62"/>
      <c r="F237" s="62"/>
      <c r="G237" s="61"/>
      <c r="H237" s="62"/>
      <c r="I237" s="61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</row>
    <row r="238" spans="1:97" ht="19.5" customHeight="1">
      <c r="A238" s="62"/>
      <c r="B238" s="62"/>
      <c r="C238" s="62"/>
      <c r="D238" s="62"/>
      <c r="E238" s="62"/>
      <c r="F238" s="62"/>
      <c r="G238" s="61"/>
      <c r="H238" s="62"/>
      <c r="I238" s="61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</row>
    <row r="239" spans="1:97" ht="19.5" customHeight="1">
      <c r="A239" s="62"/>
      <c r="B239" s="62"/>
      <c r="C239" s="62"/>
      <c r="D239" s="62"/>
      <c r="E239" s="62"/>
      <c r="F239" s="62"/>
      <c r="G239" s="61"/>
      <c r="H239" s="62"/>
      <c r="I239" s="61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</row>
    <row r="240" spans="1:9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</row>
    <row r="241" spans="1:9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</row>
    <row r="242" spans="1:9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</row>
    <row r="243" spans="1:9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</row>
    <row r="244" spans="1:9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</row>
    <row r="245" spans="1:9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</row>
    <row r="246" spans="1:9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</row>
    <row r="247" spans="1:9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</row>
    <row r="248" spans="1:97" ht="15.75" customHeight="1"/>
    <row r="249" spans="1:97" ht="15.75" customHeight="1"/>
    <row r="250" spans="1:97" ht="15.75" customHeight="1"/>
    <row r="251" spans="1:97" ht="15.75" customHeight="1"/>
    <row r="252" spans="1:97" ht="15.75" customHeight="1"/>
    <row r="253" spans="1:97" ht="15.75" customHeight="1"/>
    <row r="254" spans="1:97" ht="15.75" customHeight="1"/>
    <row r="255" spans="1:97" ht="15.75" customHeight="1"/>
    <row r="256" spans="1:9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8">
    <mergeCell ref="AD6:AI6"/>
    <mergeCell ref="F6:I6"/>
    <mergeCell ref="AK6:AP6"/>
    <mergeCell ref="A6:D6"/>
    <mergeCell ref="AA8:AA12"/>
    <mergeCell ref="AB8:AB11"/>
    <mergeCell ref="R6:W6"/>
    <mergeCell ref="Y6:AB6"/>
    <mergeCell ref="S8:S11"/>
    <mergeCell ref="T8:T12"/>
    <mergeCell ref="U8:U11"/>
    <mergeCell ref="V8:V12"/>
    <mergeCell ref="W8:W11"/>
    <mergeCell ref="C10:D10"/>
    <mergeCell ref="A11:A12"/>
    <mergeCell ref="B11:D12"/>
    <mergeCell ref="A4:BZ5"/>
    <mergeCell ref="BA6:BF6"/>
    <mergeCell ref="BH6:BK6"/>
    <mergeCell ref="BM6:BN6"/>
    <mergeCell ref="BP6:BS6"/>
    <mergeCell ref="BU6:BV6"/>
    <mergeCell ref="BX6:BY6"/>
    <mergeCell ref="BW6:BW39"/>
    <mergeCell ref="BZ6:BZ39"/>
    <mergeCell ref="BX8:BX11"/>
    <mergeCell ref="BY8:BY11"/>
    <mergeCell ref="E6:E39"/>
    <mergeCell ref="A7:C7"/>
    <mergeCell ref="A9:C9"/>
    <mergeCell ref="A10:B10"/>
    <mergeCell ref="K6:P6"/>
    <mergeCell ref="AR8:AR12"/>
    <mergeCell ref="AS8:AS11"/>
    <mergeCell ref="AW8:AW11"/>
    <mergeCell ref="AX8:AX12"/>
    <mergeCell ref="AY8:AY11"/>
    <mergeCell ref="BU8:BU11"/>
    <mergeCell ref="BV8:BV11"/>
    <mergeCell ref="BL11:BL39"/>
    <mergeCell ref="Y8:Y12"/>
    <mergeCell ref="Z8:Z11"/>
    <mergeCell ref="BJ8:BJ12"/>
    <mergeCell ref="BK8:BK11"/>
    <mergeCell ref="BM8:BM12"/>
    <mergeCell ref="BN8:BN11"/>
    <mergeCell ref="BP8:BP12"/>
    <mergeCell ref="BG6:BG39"/>
    <mergeCell ref="BT6:BT39"/>
    <mergeCell ref="BO7:BO39"/>
    <mergeCell ref="AN8:AN11"/>
    <mergeCell ref="AO8:AO12"/>
    <mergeCell ref="AR6:AY6"/>
    <mergeCell ref="BS8:BS11"/>
    <mergeCell ref="BB8:BB11"/>
    <mergeCell ref="BC8:BC12"/>
    <mergeCell ref="BD8:BD11"/>
    <mergeCell ref="BE8:BE12"/>
    <mergeCell ref="BI8:BI11"/>
    <mergeCell ref="BQ8:BQ11"/>
    <mergeCell ref="BR8:BR12"/>
    <mergeCell ref="A2:CA3"/>
    <mergeCell ref="X6:X39"/>
    <mergeCell ref="AC6:AC39"/>
    <mergeCell ref="AJ6:AJ39"/>
    <mergeCell ref="AQ6:AQ39"/>
    <mergeCell ref="AZ6:AZ39"/>
    <mergeCell ref="CA6:CA12"/>
    <mergeCell ref="AD8:AD12"/>
    <mergeCell ref="AE8:AE11"/>
    <mergeCell ref="AF8:AF12"/>
    <mergeCell ref="AG8:AG11"/>
    <mergeCell ref="AH8:AH12"/>
    <mergeCell ref="BF8:BF11"/>
    <mergeCell ref="BU7:BV7"/>
    <mergeCell ref="BX7:BY7"/>
    <mergeCell ref="A8:C8"/>
    <mergeCell ref="F8:F12"/>
    <mergeCell ref="G8:G11"/>
    <mergeCell ref="H8:H12"/>
    <mergeCell ref="I8:I11"/>
    <mergeCell ref="K8:K12"/>
    <mergeCell ref="L8:L11"/>
    <mergeCell ref="M8:M12"/>
    <mergeCell ref="N8:N11"/>
    <mergeCell ref="O8:O12"/>
    <mergeCell ref="BH8:BH12"/>
    <mergeCell ref="BA8:BA12"/>
    <mergeCell ref="P8:P11"/>
    <mergeCell ref="R8:R12"/>
    <mergeCell ref="AT8:AT12"/>
    <mergeCell ref="AU8:AU11"/>
    <mergeCell ref="AV8:AV12"/>
    <mergeCell ref="AI8:AI11"/>
    <mergeCell ref="AK8:AK12"/>
    <mergeCell ref="AL8:AL11"/>
    <mergeCell ref="AM8:AM12"/>
    <mergeCell ref="AP8:AP11"/>
  </mergeCells>
  <dataValidations count="3">
    <dataValidation type="list" allowBlank="1" showInputMessage="1" showErrorMessage="1" prompt="solo letras" sqref="F13:F39 H13:H39 K13:K39 M13:M39 O13:O39 R13:R39 T13:T39 V13:V39 Y13:Y39 AA13:AA39 AD13:AD39 AF13:AF39 AH13:AH39 AK13:AK39 AM13:AM39 AO13:AO39 AR13:AR39 AT13:AT39 AV13:AV39 AX13:AX39 BA13:BA39 BC13:BC39 BE13:BE39 BH13:BH39 BJ13:BJ39 BM13:BM39 BP13:BP39 BR13:BR39" xr:uid="{00000000-0002-0000-0300-000000000000}">
      <formula1>"AD,A,B,C,TRASL.,NA"</formula1>
    </dataValidation>
    <dataValidation type="custom" allowBlank="1" showErrorMessage="1" sqref="S13:S34 U13:U34 W13:W34 J13:J39 Q16:Q39" xr:uid="{00000000-0002-0000-0300-000001000000}">
      <formula1>AND(GTE(LEN(J13),MIN((0),(100))),LTE(LEN(J13),MAX((0),(100))))</formula1>
    </dataValidation>
    <dataValidation type="list" allowBlank="1" showErrorMessage="1" sqref="CA13:CA39" xr:uid="{00000000-0002-0000-0300-000002000000}">
      <formula1>"AD,A,B,C,TRASL.,NA"</formula1>
    </dataValidation>
  </dataValidations>
  <pageMargins left="0.7" right="0.7" top="0.75" bottom="0.75" header="0" footer="0"/>
  <pageSetup paperSize="9" scale="10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showGridLines="0" view="pageLayout" topLeftCell="B3" zoomScale="39" zoomScaleNormal="41" zoomScalePageLayoutView="39" workbookViewId="0">
      <selection activeCell="X19" sqref="X19"/>
    </sheetView>
  </sheetViews>
  <sheetFormatPr baseColWidth="10" defaultColWidth="12.59765625" defaultRowHeight="15" customHeight="1"/>
  <cols>
    <col min="1" max="1" width="9.765625E-2" hidden="1" customWidth="1"/>
    <col min="2" max="2" width="8" customWidth="1"/>
    <col min="3" max="3" width="5.59765625" customWidth="1"/>
    <col min="4" max="4" width="11.8984375" customWidth="1"/>
    <col min="5" max="5" width="9.3984375" customWidth="1"/>
    <col min="6" max="6" width="6.69921875" customWidth="1"/>
    <col min="7" max="7" width="13" customWidth="1"/>
    <col min="8" max="8" width="1.69921875" customWidth="1"/>
    <col min="9" max="9" width="7.59765625" customWidth="1"/>
    <col min="10" max="10" width="8.19921875" customWidth="1"/>
    <col min="11" max="11" width="20.8984375" customWidth="1"/>
    <col min="12" max="12" width="15.8984375" customWidth="1"/>
    <col min="13" max="13" width="13.69921875" customWidth="1"/>
    <col min="14" max="14" width="8.19921875" customWidth="1"/>
    <col min="15" max="15" width="13.69921875" customWidth="1"/>
    <col min="16" max="16" width="4.69921875" customWidth="1"/>
    <col min="17" max="17" width="14" customWidth="1"/>
    <col min="18" max="18" width="13.69921875" customWidth="1"/>
    <col min="19" max="19" width="7" customWidth="1"/>
    <col min="20" max="20" width="14.19921875" customWidth="1"/>
    <col min="21" max="21" width="3.09765625" customWidth="1"/>
    <col min="22" max="22" width="7.59765625" customWidth="1"/>
    <col min="23" max="23" width="15.59765625" customWidth="1"/>
    <col min="24" max="24" width="20.59765625" customWidth="1"/>
  </cols>
  <sheetData>
    <row r="1" spans="1:24" ht="3.75" hidden="1" customHeight="1">
      <c r="A1" s="6">
        <v>0</v>
      </c>
      <c r="B1" s="6" t="s">
        <v>590</v>
      </c>
      <c r="P1" s="62"/>
    </row>
    <row r="2" spans="1:24" ht="1.5" hidden="1" customHeight="1">
      <c r="B2" s="143" t="s">
        <v>590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</row>
    <row r="3" spans="1:24" ht="15" customHeight="1"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X3" s="6">
        <v>4</v>
      </c>
    </row>
    <row r="4" spans="1:24" ht="15" customHeight="1">
      <c r="B4" s="241" t="s">
        <v>591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4" ht="15" customHeight="1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4" ht="13.8">
      <c r="P6" s="62"/>
    </row>
    <row r="7" spans="1:24" ht="15.75" customHeight="1">
      <c r="B7" s="249" t="s">
        <v>592</v>
      </c>
      <c r="C7" s="190"/>
      <c r="D7" s="190"/>
      <c r="E7" s="190"/>
      <c r="F7" s="191"/>
      <c r="G7" s="242" t="s">
        <v>593</v>
      </c>
      <c r="H7" s="190"/>
      <c r="I7" s="190"/>
      <c r="J7" s="190"/>
      <c r="K7" s="190"/>
      <c r="L7" s="191"/>
      <c r="M7" s="243" t="s">
        <v>594</v>
      </c>
      <c r="N7" s="218"/>
      <c r="O7" s="223" t="s">
        <v>595</v>
      </c>
      <c r="P7" s="204"/>
      <c r="Q7" s="204"/>
      <c r="R7" s="204"/>
      <c r="S7" s="218"/>
      <c r="T7" s="244"/>
      <c r="U7" s="6"/>
      <c r="V7" s="245">
        <v>29</v>
      </c>
      <c r="W7" s="218"/>
    </row>
    <row r="8" spans="1:24" ht="15.75" customHeight="1">
      <c r="B8" s="249" t="s">
        <v>596</v>
      </c>
      <c r="C8" s="190"/>
      <c r="D8" s="190"/>
      <c r="E8" s="190"/>
      <c r="F8" s="191"/>
      <c r="G8" s="254" t="s">
        <v>597</v>
      </c>
      <c r="H8" s="190"/>
      <c r="I8" s="190"/>
      <c r="J8" s="190"/>
      <c r="K8" s="190"/>
      <c r="L8" s="191"/>
      <c r="M8" s="219"/>
      <c r="N8" s="221"/>
      <c r="O8" s="224"/>
      <c r="P8" s="210"/>
      <c r="Q8" s="210"/>
      <c r="R8" s="210"/>
      <c r="S8" s="184"/>
      <c r="T8" s="186"/>
      <c r="U8" s="6"/>
      <c r="V8" s="224"/>
      <c r="W8" s="184"/>
    </row>
    <row r="9" spans="1:24" ht="15.75" customHeight="1">
      <c r="B9" s="249" t="s">
        <v>598</v>
      </c>
      <c r="C9" s="190"/>
      <c r="D9" s="190"/>
      <c r="E9" s="190"/>
      <c r="F9" s="191"/>
      <c r="G9" s="242" t="s">
        <v>599</v>
      </c>
      <c r="H9" s="190"/>
      <c r="I9" s="190"/>
      <c r="J9" s="190"/>
      <c r="K9" s="190"/>
      <c r="L9" s="191"/>
      <c r="M9" s="251" t="s">
        <v>600</v>
      </c>
      <c r="N9" s="191"/>
      <c r="O9" s="264">
        <v>579086</v>
      </c>
      <c r="P9" s="190"/>
      <c r="Q9" s="190"/>
      <c r="R9" s="190"/>
      <c r="S9" s="191"/>
      <c r="T9" s="186"/>
      <c r="U9" s="6"/>
      <c r="V9" s="224"/>
      <c r="W9" s="184"/>
    </row>
    <row r="10" spans="1:24" ht="15.75" customHeight="1">
      <c r="B10" s="249" t="s">
        <v>601</v>
      </c>
      <c r="C10" s="190"/>
      <c r="D10" s="190"/>
      <c r="E10" s="190"/>
      <c r="F10" s="190"/>
      <c r="G10" s="265" t="str">
        <f>+'1°A'!D7</f>
        <v>1°</v>
      </c>
      <c r="H10" s="220"/>
      <c r="I10" s="220"/>
      <c r="J10" s="220"/>
      <c r="K10" s="220"/>
      <c r="L10" s="221"/>
      <c r="M10" s="266" t="s">
        <v>602</v>
      </c>
      <c r="N10" s="191"/>
      <c r="O10" s="267" t="str">
        <f>+'1°A'!D8</f>
        <v>A</v>
      </c>
      <c r="P10" s="190"/>
      <c r="Q10" s="190"/>
      <c r="R10" s="190"/>
      <c r="S10" s="191"/>
      <c r="T10" s="186"/>
      <c r="U10" s="6"/>
      <c r="V10" s="224"/>
      <c r="W10" s="184"/>
    </row>
    <row r="11" spans="1:24" ht="15.75" customHeight="1">
      <c r="B11" s="249" t="s">
        <v>603</v>
      </c>
      <c r="C11" s="190"/>
      <c r="D11" s="190"/>
      <c r="E11" s="190"/>
      <c r="F11" s="191"/>
      <c r="G11" s="250"/>
      <c r="H11" s="190"/>
      <c r="I11" s="190"/>
      <c r="J11" s="190"/>
      <c r="K11" s="191"/>
      <c r="L11" s="144" t="s">
        <v>604</v>
      </c>
      <c r="M11" s="246"/>
      <c r="N11" s="190"/>
      <c r="O11" s="190"/>
      <c r="P11" s="190"/>
      <c r="Q11" s="190"/>
      <c r="R11" s="190"/>
      <c r="S11" s="191"/>
      <c r="T11" s="186"/>
      <c r="U11" s="6"/>
      <c r="V11" s="224"/>
      <c r="W11" s="184"/>
    </row>
    <row r="12" spans="1:24" ht="33.75" customHeight="1">
      <c r="B12" s="251" t="s">
        <v>605</v>
      </c>
      <c r="C12" s="190"/>
      <c r="D12" s="190"/>
      <c r="E12" s="190"/>
      <c r="F12" s="190"/>
      <c r="G12" s="145" t="str">
        <f>IFERROR(VLOOKUP(V7,'1°A'!A13:CA47,2,0),"")</f>
        <v>VARGAS</v>
      </c>
      <c r="H12" s="146"/>
      <c r="I12" s="146" t="str">
        <f>IFERROR(VLOOKUP(V7,'1°A'!A13:CA47,3,0),"")</f>
        <v>TORRES</v>
      </c>
      <c r="J12" s="146"/>
      <c r="K12" s="146" t="str">
        <f>IFERROR(VLOOKUP(V7,'1°A'!A13:CA47,4,0),"")</f>
        <v>LUCIANA CAMILA</v>
      </c>
      <c r="L12" s="146"/>
      <c r="M12" s="146"/>
      <c r="N12" s="146"/>
      <c r="O12" s="146"/>
      <c r="P12" s="146"/>
      <c r="Q12" s="146"/>
      <c r="R12" s="146"/>
      <c r="S12" s="147"/>
      <c r="T12" s="186"/>
      <c r="U12" s="6"/>
      <c r="V12" s="219"/>
      <c r="W12" s="221"/>
    </row>
    <row r="13" spans="1:24" ht="33.75" customHeight="1">
      <c r="B13" s="251" t="s">
        <v>606</v>
      </c>
      <c r="C13" s="190"/>
      <c r="D13" s="190"/>
      <c r="E13" s="190"/>
      <c r="F13" s="191"/>
      <c r="G13" s="249" t="str">
        <f>+'1°A'!C10</f>
        <v>PROF. LUCELY PÉREZ PISCO</v>
      </c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1"/>
      <c r="T13" s="187"/>
      <c r="U13" s="6"/>
      <c r="V13" s="247" t="s">
        <v>607</v>
      </c>
      <c r="W13" s="218"/>
    </row>
    <row r="14" spans="1:24" ht="15" customHeight="1">
      <c r="P14" s="62"/>
      <c r="U14" s="6"/>
      <c r="V14" s="224"/>
      <c r="W14" s="184"/>
    </row>
    <row r="15" spans="1:24" ht="68.25" customHeight="1">
      <c r="B15" s="252" t="s">
        <v>608</v>
      </c>
      <c r="C15" s="253" t="s">
        <v>609</v>
      </c>
      <c r="D15" s="204"/>
      <c r="E15" s="204"/>
      <c r="F15" s="204"/>
      <c r="G15" s="233" t="s">
        <v>610</v>
      </c>
      <c r="H15" s="190"/>
      <c r="I15" s="190"/>
      <c r="J15" s="190"/>
      <c r="K15" s="190"/>
      <c r="L15" s="233" t="s">
        <v>611</v>
      </c>
      <c r="M15" s="190"/>
      <c r="N15" s="190"/>
      <c r="O15" s="190"/>
      <c r="P15" s="191"/>
      <c r="Q15" s="248" t="s">
        <v>612</v>
      </c>
      <c r="R15" s="204"/>
      <c r="S15" s="204"/>
      <c r="T15" s="218"/>
      <c r="U15" s="6"/>
      <c r="V15" s="219"/>
      <c r="W15" s="221"/>
    </row>
    <row r="16" spans="1:24" ht="57.75" customHeight="1">
      <c r="B16" s="187"/>
      <c r="C16" s="219"/>
      <c r="D16" s="220"/>
      <c r="E16" s="220"/>
      <c r="F16" s="220"/>
      <c r="G16" s="148" t="s">
        <v>613</v>
      </c>
      <c r="H16" s="229" t="s">
        <v>614</v>
      </c>
      <c r="I16" s="190"/>
      <c r="J16" s="190"/>
      <c r="K16" s="190"/>
      <c r="L16" s="148" t="s">
        <v>613</v>
      </c>
      <c r="M16" s="229" t="s">
        <v>614</v>
      </c>
      <c r="N16" s="190"/>
      <c r="O16" s="190"/>
      <c r="P16" s="191"/>
      <c r="Q16" s="150" t="s">
        <v>613</v>
      </c>
      <c r="R16" s="229" t="s">
        <v>614</v>
      </c>
      <c r="S16" s="190"/>
      <c r="T16" s="191"/>
      <c r="U16" s="6"/>
      <c r="V16" s="151"/>
      <c r="W16" s="6"/>
    </row>
    <row r="17" spans="2:23" ht="91.5" customHeight="1">
      <c r="B17" s="239" t="s">
        <v>615</v>
      </c>
      <c r="C17" s="238" t="s">
        <v>616</v>
      </c>
      <c r="D17" s="190"/>
      <c r="E17" s="190"/>
      <c r="F17" s="190"/>
      <c r="G17" s="152" t="str">
        <f>IFERROR(VLOOKUP(V7,'1°A'!A13:CA47,6,0),"")</f>
        <v>B</v>
      </c>
      <c r="H17" s="229" t="str">
        <f>IFERROR(VLOOKUP(V7,'1°A'!A13:CA47,7,0),"")</f>
        <v>Esta en proceso de lograr la competencia</v>
      </c>
      <c r="I17" s="190"/>
      <c r="J17" s="190"/>
      <c r="K17" s="190"/>
      <c r="L17" s="152" t="str">
        <f ca="1">IFERROR(BUSCA60RV(V7,'1°A'!#REF!,6,0),"")</f>
        <v/>
      </c>
      <c r="M17" s="229" t="str">
        <f ca="1">IFERROR(BUSCA60RV(V7,'1°A'!#REF!,7,0),"")</f>
        <v/>
      </c>
      <c r="N17" s="190"/>
      <c r="O17" s="190"/>
      <c r="P17" s="191"/>
      <c r="Q17" s="149" t="str">
        <f>IFERROR(VLOOKUP($V$7,'1°A'!$A$42:$CA$46,6,0),"")</f>
        <v/>
      </c>
      <c r="R17" s="229" t="str">
        <f>IFERROR(VLOOKUP($V$7,'1°A'!$A$42:$CA$46,7,0),"")</f>
        <v/>
      </c>
      <c r="S17" s="190"/>
      <c r="T17" s="191"/>
      <c r="U17" s="6"/>
      <c r="V17" s="151"/>
      <c r="W17" s="6"/>
    </row>
    <row r="18" spans="2:23" ht="121.5" customHeight="1">
      <c r="B18" s="187"/>
      <c r="C18" s="238" t="s">
        <v>617</v>
      </c>
      <c r="D18" s="190"/>
      <c r="E18" s="190"/>
      <c r="F18" s="190"/>
      <c r="G18" s="152" t="str">
        <f>IFERROR(VLOOKUP(V7,'1°A'!A13:CA47,8,0),"")</f>
        <v>B</v>
      </c>
      <c r="H18" s="229" t="str">
        <f>IFERROR(VLOOKUP(V7,'1°A'!A13:CA47,9,0),"")</f>
        <v>Esta en proceso de lograr la competencia</v>
      </c>
      <c r="I18" s="190"/>
      <c r="J18" s="190"/>
      <c r="K18" s="190"/>
      <c r="L18" s="152" t="str">
        <f>IFERROR(VLOOKUP(V7,'1°A'!#REF!,8,0),"")</f>
        <v/>
      </c>
      <c r="M18" s="229" t="str">
        <f>IFERROR(VLOOKUP(V7,'1°A'!#REF!,9,0),"")</f>
        <v/>
      </c>
      <c r="N18" s="190"/>
      <c r="O18" s="190"/>
      <c r="P18" s="191"/>
      <c r="Q18" s="149" t="str">
        <f>IFERROR(VLOOKUP($V$7,'1°A'!$A$42:$CA$46,8,0),"")</f>
        <v/>
      </c>
      <c r="R18" s="229" t="str">
        <f>IFERROR(VLOOKUP($V$7,'1°A'!$A$42:$CA$46,9,0),"")</f>
        <v/>
      </c>
      <c r="S18" s="190"/>
      <c r="T18" s="191"/>
      <c r="U18" s="6"/>
      <c r="V18" s="151"/>
      <c r="W18" s="6"/>
    </row>
    <row r="19" spans="2:23" ht="97.5" customHeight="1">
      <c r="B19" s="240" t="s">
        <v>3</v>
      </c>
      <c r="C19" s="238" t="s">
        <v>618</v>
      </c>
      <c r="D19" s="190"/>
      <c r="E19" s="190"/>
      <c r="F19" s="190"/>
      <c r="G19" s="152" t="str">
        <f>IFERROR(VLOOKUP(V7,'1°A'!A13:CA47,11,0),"")</f>
        <v>B</v>
      </c>
      <c r="H19" s="229" t="str">
        <f>IFERROR(VLOOKUP(V7,'1°A'!A13:CA47,12,0),"")</f>
        <v xml:space="preserve">Está en proceso para lograr la competencia.  </v>
      </c>
      <c r="I19" s="190"/>
      <c r="J19" s="190"/>
      <c r="K19" s="190"/>
      <c r="L19" s="152" t="str">
        <f>IFERROR(VLOOKUP(V7,'1°A'!#REF!,11,0),"")</f>
        <v/>
      </c>
      <c r="M19" s="229" t="str">
        <f>IFERROR(VLOOKUP($V$7,'1°A'!#REF!,12,0),"")</f>
        <v/>
      </c>
      <c r="N19" s="190"/>
      <c r="O19" s="190"/>
      <c r="P19" s="191"/>
      <c r="Q19" s="149" t="str">
        <f>IFERROR(VLOOKUP($V$7,'1°A'!$A$42:$CA$46,11,0),"")</f>
        <v/>
      </c>
      <c r="R19" s="229" t="str">
        <f>IFERROR(VLOOKUP($V$7,'1°A'!$A$42:$CA$46,12,0),"")</f>
        <v/>
      </c>
      <c r="S19" s="190"/>
      <c r="T19" s="191"/>
      <c r="U19" s="6"/>
      <c r="V19" s="6"/>
      <c r="W19" s="6"/>
    </row>
    <row r="20" spans="2:23" ht="108.75" customHeight="1">
      <c r="B20" s="186"/>
      <c r="C20" s="238" t="s">
        <v>619</v>
      </c>
      <c r="D20" s="190"/>
      <c r="E20" s="190"/>
      <c r="F20" s="190"/>
      <c r="G20" s="152" t="str">
        <f>IFERROR(VLOOKUP(V7,'1°A'!A13:CA47,13,0),"")</f>
        <v>A</v>
      </c>
      <c r="H20" s="229" t="str">
        <f>IFERROR(VLOOKUP(V7,'1°A'!A13:CA47,14,0),"")</f>
        <v>Demuestra un manejo satisfactorio de la competencia</v>
      </c>
      <c r="I20" s="190"/>
      <c r="J20" s="190"/>
      <c r="K20" s="190"/>
      <c r="L20" s="152" t="str">
        <f>IFERROR(VLOOKUP($V$7,'1°A'!#REF!,13,0),"")</f>
        <v/>
      </c>
      <c r="M20" s="229" t="str">
        <f>IFERROR(VLOOKUP($V$7,'1°A'!#REF!,14,0),"")</f>
        <v/>
      </c>
      <c r="N20" s="190"/>
      <c r="O20" s="190"/>
      <c r="P20" s="191"/>
      <c r="Q20" s="149" t="str">
        <f>IFERROR(VLOOKUP($V$7,'1°A'!$A$42:$CA$46,13,0),"")</f>
        <v/>
      </c>
      <c r="R20" s="229" t="str">
        <f>IFERROR(VLOOKUP($V$7,'1°A'!$A$42:$CA$46,14,0),"")</f>
        <v/>
      </c>
      <c r="S20" s="190"/>
      <c r="T20" s="191"/>
      <c r="U20" s="6"/>
      <c r="V20" s="6"/>
      <c r="W20" s="6"/>
    </row>
    <row r="21" spans="2:23" ht="101.25" customHeight="1">
      <c r="B21" s="187"/>
      <c r="C21" s="238" t="s">
        <v>620</v>
      </c>
      <c r="D21" s="190"/>
      <c r="E21" s="190"/>
      <c r="F21" s="190"/>
      <c r="G21" s="152" t="str">
        <f>IFERROR(VLOOKUP(V7,'1°A'!A13:CA47,15,0),"")</f>
        <v>A</v>
      </c>
      <c r="H21" s="229" t="str">
        <f>IFERROR(VLOOKUP(V7,'1°A'!A13:CA47,16,0),"")</f>
        <v>Demuestra un manejo satisfactorio de la competencia</v>
      </c>
      <c r="I21" s="190"/>
      <c r="J21" s="190"/>
      <c r="K21" s="190"/>
      <c r="L21" s="152" t="str">
        <f>IFERROR(VLOOKUP($V$7,'1°A'!#REF!,15,0),"")</f>
        <v/>
      </c>
      <c r="M21" s="229" t="str">
        <f>IFERROR(VLOOKUP($V$7,'1°A'!#REF!,16,0),"")</f>
        <v/>
      </c>
      <c r="N21" s="190"/>
      <c r="O21" s="190"/>
      <c r="P21" s="191"/>
      <c r="Q21" s="149" t="str">
        <f>IFERROR(VLOOKUP($V$7,'1°A'!$A$42:$CA$46,15,0),"")</f>
        <v/>
      </c>
      <c r="R21" s="229" t="str">
        <f>IFERROR(VLOOKUP($V$7,'1°A'!$A$42:$CA$46,16,0),"")</f>
        <v/>
      </c>
      <c r="S21" s="190"/>
      <c r="T21" s="191"/>
    </row>
    <row r="22" spans="2:23" ht="132.75" customHeight="1">
      <c r="B22" s="240" t="s">
        <v>621</v>
      </c>
      <c r="C22" s="238" t="s">
        <v>622</v>
      </c>
      <c r="D22" s="190"/>
      <c r="E22" s="190"/>
      <c r="F22" s="190"/>
      <c r="G22" s="152" t="str">
        <f>IFERROR(VLOOKUP(V7,'1°A'!A13:CA47,18,0),"")</f>
        <v>A</v>
      </c>
      <c r="H22" s="229" t="str">
        <f>IFERROR(VLOOKUP(V7,'1°A'!A13:CA47,19,0),"")</f>
        <v>Demuestra tus habiliadades y al entregar el testimonio</v>
      </c>
      <c r="I22" s="190"/>
      <c r="J22" s="190"/>
      <c r="K22" s="190"/>
      <c r="L22" s="152" t="str">
        <f>IFERROR(VLOOKUP($V$7,'1°A'!#REF!,18,0),"")</f>
        <v/>
      </c>
      <c r="M22" s="229" t="str">
        <f>IFERROR(VLOOKUP($V$7,'1°A'!#REF!,19,0),"")</f>
        <v/>
      </c>
      <c r="N22" s="190"/>
      <c r="O22" s="190"/>
      <c r="P22" s="191"/>
      <c r="Q22" s="149" t="str">
        <f>IFERROR(VLOOKUP($V$7,'1°A'!$A$42:$CA$46,18,0),"")</f>
        <v/>
      </c>
      <c r="R22" s="229" t="str">
        <f>IFERROR(VLOOKUP($V$7,'1°A'!$A$42:$CA$46,19,0),"")</f>
        <v/>
      </c>
      <c r="S22" s="190"/>
      <c r="T22" s="191"/>
    </row>
    <row r="23" spans="2:23" ht="128.25" customHeight="1">
      <c r="B23" s="186"/>
      <c r="C23" s="238" t="s">
        <v>623</v>
      </c>
      <c r="D23" s="190"/>
      <c r="E23" s="190"/>
      <c r="F23" s="190"/>
      <c r="G23" s="152" t="str">
        <f>IFERROR(VLOOKUP(V7,'1°A'!A13:CA47,20,0),"")</f>
        <v>A</v>
      </c>
      <c r="H23" s="229" t="str">
        <f>IFERROR(VLOOKUP(V7,'1°A'!A13:CA47,21,0),"")</f>
        <v>nteractúas de manera positiva para mejorar el trabajo en equipo, dando soluciones en los juegos predeportivos aplicados al fútbol.</v>
      </c>
      <c r="I23" s="190"/>
      <c r="J23" s="190"/>
      <c r="K23" s="190"/>
      <c r="L23" s="152" t="str">
        <f>IFERROR(VLOOKUP($V$7,'1°A'!#REF!,20,0),"")</f>
        <v/>
      </c>
      <c r="M23" s="229" t="str">
        <f>IFERROR(VLOOKUP($V$7,'1°A'!#REF!,21,0),"")</f>
        <v/>
      </c>
      <c r="N23" s="190"/>
      <c r="O23" s="190"/>
      <c r="P23" s="191"/>
      <c r="Q23" s="149" t="str">
        <f>IFERROR(VLOOKUP($V$7,'1°A'!$A$42:$CA$46,20,0),"")</f>
        <v/>
      </c>
      <c r="R23" s="229" t="str">
        <f>IFERROR(VLOOKUP($V$7,'1°A'!$A$42:$CA$46,21,0),"")</f>
        <v/>
      </c>
      <c r="S23" s="190"/>
      <c r="T23" s="191"/>
    </row>
    <row r="24" spans="2:23" ht="92.25" customHeight="1">
      <c r="B24" s="187"/>
      <c r="C24" s="238" t="s">
        <v>624</v>
      </c>
      <c r="D24" s="190"/>
      <c r="E24" s="190"/>
      <c r="F24" s="190"/>
      <c r="G24" s="152" t="str">
        <f>IFERROR(VLOOKUP(V7,'1°A'!A13:CA47,22,0),"")</f>
        <v>A</v>
      </c>
      <c r="H24" s="229" t="str">
        <f>IFERROR(VLOOKUP(V7,'1°A'!A13:CA47,23,0),"")</f>
        <v>Practicas con responsabilidad la técnica Fosbury Flop en el salto alto.</v>
      </c>
      <c r="I24" s="190"/>
      <c r="J24" s="190"/>
      <c r="K24" s="190"/>
      <c r="L24" s="152" t="str">
        <f>IFERROR(VLOOKUP($V$7,'1°A'!#REF!,22,0),"")</f>
        <v/>
      </c>
      <c r="M24" s="229" t="str">
        <f>IFERROR(VLOOKUP($V$7,'1°A'!#REF!,23,0),"")</f>
        <v/>
      </c>
      <c r="N24" s="190"/>
      <c r="O24" s="190"/>
      <c r="P24" s="191"/>
      <c r="Q24" s="149" t="str">
        <f>IFERROR(VLOOKUP($V$7,'1°A'!$A$42:$CA$46,22,0),"")</f>
        <v/>
      </c>
      <c r="R24" s="229" t="str">
        <f>IFERROR(VLOOKUP($V$7,'1°A'!$A$42:$CA$46,23,0),"")</f>
        <v/>
      </c>
      <c r="S24" s="190"/>
      <c r="T24" s="191"/>
    </row>
    <row r="25" spans="2:23" ht="129" customHeight="1">
      <c r="B25" s="263" t="s">
        <v>4</v>
      </c>
      <c r="C25" s="238" t="s">
        <v>625</v>
      </c>
      <c r="D25" s="190"/>
      <c r="E25" s="190"/>
      <c r="F25" s="190"/>
      <c r="G25" s="152" t="str">
        <f>IFERROR(VLOOKUP(V7,'1°A'!A13:CA47,25,0),"")</f>
        <v>A</v>
      </c>
      <c r="H25" s="229" t="str">
        <f>IFERROR(VLOOKUP(V7,'1°A'!A13:CA47,26,0),"")</f>
        <v>APRECIA  LAS DIVERSAS FUNCIONES QUE A CUMPLIDO EL ARTE</v>
      </c>
      <c r="I25" s="190"/>
      <c r="J25" s="190"/>
      <c r="K25" s="190"/>
      <c r="L25" s="152" t="str">
        <f>IFERROR(VLOOKUP($V$7,'1°A'!#REF!,25,0),"")</f>
        <v/>
      </c>
      <c r="M25" s="229" t="str">
        <f>IFERROR(VLOOKUP($V$7,'1°A'!#REF!,26,0),"")</f>
        <v/>
      </c>
      <c r="N25" s="190"/>
      <c r="O25" s="190"/>
      <c r="P25" s="191"/>
      <c r="Q25" s="149" t="str">
        <f>IFERROR(VLOOKUP($V$7,'1°A'!$A$42:$CA$46,25,0),"")</f>
        <v/>
      </c>
      <c r="R25" s="229" t="str">
        <f>IFERROR(VLOOKUP($V$7,'1°A'!$A$42:$CA$46,26,0),"")</f>
        <v/>
      </c>
      <c r="S25" s="190"/>
      <c r="T25" s="191"/>
    </row>
    <row r="26" spans="2:23" ht="137.25" customHeight="1">
      <c r="B26" s="187"/>
      <c r="C26" s="238" t="s">
        <v>626</v>
      </c>
      <c r="D26" s="190"/>
      <c r="E26" s="190"/>
      <c r="F26" s="190"/>
      <c r="G26" s="152" t="str">
        <f>IFERROR(VLOOKUP(V7,'1°A'!A13:CA47,27,0),"")</f>
        <v>A</v>
      </c>
      <c r="H26" s="229" t="str">
        <f>IFERROR(VLOOKUP(V7,'1°A'!A13:CA47,28,0),"")</f>
        <v>Crea proyectos artísticos que comunican de manera efectiva.</v>
      </c>
      <c r="I26" s="190"/>
      <c r="J26" s="190"/>
      <c r="K26" s="190"/>
      <c r="L26" s="152" t="str">
        <f>IFERROR(VLOOKUP($V$7,'1°A'!#REF!,27,0),"")</f>
        <v/>
      </c>
      <c r="M26" s="229" t="str">
        <f>IFERROR(VLOOKUP($V$7,'1°A'!#REF!,28,0),"")</f>
        <v/>
      </c>
      <c r="N26" s="190"/>
      <c r="O26" s="190"/>
      <c r="P26" s="191"/>
      <c r="Q26" s="149" t="str">
        <f>IFERROR(VLOOKUP($V$7,'1°A'!$A$42:$CA$46,27,0),"")</f>
        <v/>
      </c>
      <c r="R26" s="229" t="str">
        <f>IFERROR(VLOOKUP($V$7,'1°A'!$A$42:$CA$46,28,0),"")</f>
        <v/>
      </c>
      <c r="S26" s="190"/>
      <c r="T26" s="191"/>
    </row>
    <row r="27" spans="2:23" ht="129" customHeight="1">
      <c r="B27" s="240" t="s">
        <v>5</v>
      </c>
      <c r="C27" s="238" t="s">
        <v>627</v>
      </c>
      <c r="D27" s="190"/>
      <c r="E27" s="190"/>
      <c r="F27" s="190"/>
      <c r="G27" s="152" t="str">
        <f>IFERROR(VLOOKUP(V7,'1°A'!A13:CA47,30,0),"")</f>
        <v>B</v>
      </c>
      <c r="H27" s="229" t="str">
        <f>IFERROR(VLOOKUP(V7,'1°A'!A13:CA47,31,0),"")</f>
        <v>Obtiene información explicita, relevante y complementaria, interactúa oralmente en diferentes situaciones discursivas</v>
      </c>
      <c r="I27" s="190"/>
      <c r="J27" s="190"/>
      <c r="K27" s="190"/>
      <c r="L27" s="152" t="str">
        <f>IFERROR(VLOOKUP($V$7,'1°A'!#REF!,30,0),"")</f>
        <v/>
      </c>
      <c r="M27" s="229" t="str">
        <f>IFERROR(VLOOKUP($V$7,'1°A'!#REF!,31,0),"")</f>
        <v/>
      </c>
      <c r="N27" s="190"/>
      <c r="O27" s="190"/>
      <c r="P27" s="191"/>
      <c r="Q27" s="149" t="str">
        <f>IFERROR(VLOOKUP($V$7,'1°A'!$A$42:$CA$46,30,0),"")</f>
        <v/>
      </c>
      <c r="R27" s="229" t="str">
        <f>IFERROR(VLOOKUP($V$7,'1°A'!$A$42:$CA$46,31,0),"")</f>
        <v/>
      </c>
      <c r="S27" s="190"/>
      <c r="T27" s="191"/>
    </row>
    <row r="28" spans="2:23" ht="148.5" customHeight="1">
      <c r="B28" s="186"/>
      <c r="C28" s="238" t="s">
        <v>628</v>
      </c>
      <c r="D28" s="190"/>
      <c r="E28" s="190"/>
      <c r="F28" s="190"/>
      <c r="G28" s="152" t="str">
        <f>IFERROR(VLOOKUP(V7,'1°A'!A13:CA47,32,0),"")</f>
        <v>B</v>
      </c>
      <c r="H28" s="229" t="str">
        <f>IFERROR(VLOOKUP(V7,'1°A'!A13:CA47,33,0),"")</f>
        <v>Obtiene información relevante y complementaria, explica el tema y los subtemas, sin embargo falta argumentar y explicar el sentido del texto.</v>
      </c>
      <c r="I28" s="190"/>
      <c r="J28" s="190"/>
      <c r="K28" s="190"/>
      <c r="L28" s="152" t="str">
        <f>IFERROR(VLOOKUP($V$7,'1°A'!#REF!,32,0),"")</f>
        <v/>
      </c>
      <c r="M28" s="229" t="str">
        <f>IFERROR(VLOOKUP($V$7,'1°A'!#REF!,33,0),"")</f>
        <v/>
      </c>
      <c r="N28" s="190"/>
      <c r="O28" s="190"/>
      <c r="P28" s="191"/>
      <c r="Q28" s="149" t="str">
        <f>IFERROR(VLOOKUP($V$7,'1°A'!$A$42:$CA$46,32,0),"")</f>
        <v/>
      </c>
      <c r="R28" s="229" t="str">
        <f>IFERROR(VLOOKUP($V$7,'1°A'!$A$42:$CA$46,33,0),"")</f>
        <v/>
      </c>
      <c r="S28" s="190"/>
      <c r="T28" s="191"/>
    </row>
    <row r="29" spans="2:23" ht="130.5" customHeight="1">
      <c r="B29" s="187"/>
      <c r="C29" s="238" t="s">
        <v>629</v>
      </c>
      <c r="D29" s="190"/>
      <c r="E29" s="190"/>
      <c r="F29" s="190"/>
      <c r="G29" s="152" t="str">
        <f>IFERROR(VLOOKUP(V7,'1°A'!A13:CA47,34,0),"")</f>
        <v>A</v>
      </c>
      <c r="H29" s="229" t="str">
        <f>IFERROR(VLOOKUP(V7,'1°A'!A13:CA47,35,0),"")</f>
        <v>Desarrolla sus ideas en torno aún tema y de acuerdo al propósito comunicativo, ordena y jerarquiza sus ideas sin embargo es necesario trabajar la cohesión textual y el uso de conectores gramaticales.</v>
      </c>
      <c r="I29" s="190"/>
      <c r="J29" s="190"/>
      <c r="K29" s="190"/>
      <c r="L29" s="152" t="str">
        <f>IFERROR(VLOOKUP($V$7,'1°A'!#REF!,34,0),"")</f>
        <v/>
      </c>
      <c r="M29" s="229" t="str">
        <f>IFERROR(VLOOKUP($V$7,'1°A'!#REF!,35,0),"")</f>
        <v/>
      </c>
      <c r="N29" s="190"/>
      <c r="O29" s="190"/>
      <c r="P29" s="191"/>
      <c r="Q29" s="149" t="str">
        <f>IFERROR(VLOOKUP($V$7,'1°A'!$A$42:$CA$46,34,0),"")</f>
        <v/>
      </c>
      <c r="R29" s="229" t="str">
        <f>IFERROR(VLOOKUP($V$7,'1°A'!$A$42:$CA$46,35,0),"")</f>
        <v/>
      </c>
      <c r="S29" s="190"/>
      <c r="T29" s="191"/>
    </row>
    <row r="30" spans="2:23" ht="119.25" customHeight="1">
      <c r="B30" s="240" t="s">
        <v>630</v>
      </c>
      <c r="C30" s="238" t="s">
        <v>631</v>
      </c>
      <c r="D30" s="190"/>
      <c r="E30" s="190"/>
      <c r="F30" s="190"/>
      <c r="G30" s="152" t="str">
        <f>IFERROR(VLOOKUP(V7,'1°A'!A13:CA47,37,0),"")</f>
        <v>A</v>
      </c>
      <c r="H30" s="229" t="str">
        <f>IFERROR(VLOOKUP(V7,'1°A'!A13:CA47,38,0),"")</f>
        <v xml:space="preserve">El estudiante se comunica en ingles de manera estable </v>
      </c>
      <c r="I30" s="190"/>
      <c r="J30" s="190"/>
      <c r="K30" s="190"/>
      <c r="L30" s="152" t="str">
        <f>IFERROR(VLOOKUP($V$7,'1°A'!#REF!,37,0),"")</f>
        <v/>
      </c>
      <c r="M30" s="229" t="str">
        <f>IFERROR(VLOOKUP($V$7,'1°A'!#REF!,38,0),"")</f>
        <v/>
      </c>
      <c r="N30" s="190"/>
      <c r="O30" s="190"/>
      <c r="P30" s="191"/>
      <c r="Q30" s="149" t="str">
        <f>IFERROR(VLOOKUP($V$7,'1°A'!$A$42:$CA$46,37,0),"")</f>
        <v/>
      </c>
      <c r="R30" s="229" t="str">
        <f>IFERROR(VLOOKUP($V$7,'1°A'!$A$42:$CA$46,38,0),"")</f>
        <v/>
      </c>
      <c r="S30" s="190"/>
      <c r="T30" s="191"/>
    </row>
    <row r="31" spans="2:23" ht="153.75" customHeight="1">
      <c r="B31" s="186"/>
      <c r="C31" s="238" t="s">
        <v>632</v>
      </c>
      <c r="D31" s="190"/>
      <c r="E31" s="190"/>
      <c r="F31" s="190"/>
      <c r="G31" s="152" t="str">
        <f>IFERROR(VLOOKUP(V7,'1°A'!A13:CA47,39,0),"")</f>
        <v>A</v>
      </c>
      <c r="H31" s="229" t="str">
        <f>IFERROR(VLOOKUP(V7,'1°A'!A13:CA47,40,0),"")</f>
        <v>El estudiante comprende los textos que lee en ingles</v>
      </c>
      <c r="I31" s="190"/>
      <c r="J31" s="190"/>
      <c r="K31" s="190"/>
      <c r="L31" s="152" t="str">
        <f>IFERROR(VLOOKUP($V$7,'1°A'!#REF!,39,0),"")</f>
        <v/>
      </c>
      <c r="M31" s="229" t="str">
        <f>IFERROR(VLOOKUP($V$7,'1°A'!#REF!,40,0),"")</f>
        <v/>
      </c>
      <c r="N31" s="190"/>
      <c r="O31" s="190"/>
      <c r="P31" s="191"/>
      <c r="Q31" s="149" t="str">
        <f>IFERROR(VLOOKUP($V$7,'1°A'!$A$42:$CA$46,39,0),"")</f>
        <v/>
      </c>
      <c r="R31" s="229" t="str">
        <f>IFERROR(VLOOKUP($V$7,'1°A'!$A$42:$CA$46,40,0),"")</f>
        <v/>
      </c>
      <c r="S31" s="190"/>
      <c r="T31" s="191"/>
    </row>
    <row r="32" spans="2:23" ht="126" customHeight="1">
      <c r="B32" s="187"/>
      <c r="C32" s="238" t="s">
        <v>633</v>
      </c>
      <c r="D32" s="190"/>
      <c r="E32" s="190"/>
      <c r="F32" s="190"/>
      <c r="G32" s="152" t="str">
        <f>IFERROR(VLOOKUP(V7,'1°A'!A13:CA47,41,0),"")</f>
        <v>A</v>
      </c>
      <c r="H32" s="229" t="str">
        <f>IFERROR(VLOOKUP(V7,'1°A'!A13:CA47,42,0),"")</f>
        <v xml:space="preserve">El estudiante escribe textos en ingles respetando la gramatica </v>
      </c>
      <c r="I32" s="190"/>
      <c r="J32" s="190"/>
      <c r="K32" s="190"/>
      <c r="L32" s="152" t="str">
        <f>IFERROR(VLOOKUP($V$7,'1°A'!#REF!,41,0),"")</f>
        <v/>
      </c>
      <c r="M32" s="229" t="str">
        <f>IFERROR(VLOOKUP($V$7,'1°A'!#REF!,42,0),"")</f>
        <v/>
      </c>
      <c r="N32" s="190"/>
      <c r="O32" s="190"/>
      <c r="P32" s="191"/>
      <c r="Q32" s="149" t="str">
        <f>IFERROR(VLOOKUP($V$7,'1°A'!$A$42:$CA$46,41,0),"")</f>
        <v/>
      </c>
      <c r="R32" s="229" t="str">
        <f>IFERROR(VLOOKUP($V$7,'1°A'!$A$42:$CA$46,42,0),"")</f>
        <v/>
      </c>
      <c r="S32" s="190"/>
      <c r="T32" s="191"/>
    </row>
    <row r="33" spans="2:21" ht="126.75" customHeight="1">
      <c r="B33" s="240" t="s">
        <v>634</v>
      </c>
      <c r="C33" s="238" t="s">
        <v>635</v>
      </c>
      <c r="D33" s="190"/>
      <c r="E33" s="190"/>
      <c r="F33" s="190"/>
      <c r="G33" s="152" t="str">
        <f>IFERROR(VLOOKUP(V7,'1°A'!A13:CA47,44,0),"")</f>
        <v>B</v>
      </c>
      <c r="H33" s="229" t="str">
        <f>IFERROR(VLOOKUP(V7,'1°A'!A13:CA47,45,0),"")</f>
        <v>Tiene dificultades para resolver problemas de cantidad</v>
      </c>
      <c r="I33" s="190"/>
      <c r="J33" s="190"/>
      <c r="K33" s="190"/>
      <c r="L33" s="152" t="str">
        <f>IFERROR(VLOOKUP($V$7,'1°A'!#REF!,44,0),"")</f>
        <v/>
      </c>
      <c r="M33" s="229" t="str">
        <f>IFERROR(VLOOKUP($V$7,'1°A'!#REF!,45,0),"")</f>
        <v/>
      </c>
      <c r="N33" s="190"/>
      <c r="O33" s="190"/>
      <c r="P33" s="191"/>
      <c r="Q33" s="149" t="str">
        <f>IFERROR(VLOOKUP($V$7,'1°A'!$A$42:$CA$46,44,0),"")</f>
        <v/>
      </c>
      <c r="R33" s="229" t="str">
        <f>IFERROR(VLOOKUP($V$7,'1°A'!$A$42:$CA$46,45,0),"")</f>
        <v/>
      </c>
      <c r="S33" s="190"/>
      <c r="T33" s="191"/>
    </row>
    <row r="34" spans="2:21" ht="134.25" customHeight="1">
      <c r="B34" s="186"/>
      <c r="C34" s="238" t="s">
        <v>636</v>
      </c>
      <c r="D34" s="190"/>
      <c r="E34" s="190"/>
      <c r="F34" s="190"/>
      <c r="G34" s="152" t="str">
        <f>IFERROR(VLOOKUP(V7,'1°A'!A13:CA47,46,0),"")</f>
        <v>B</v>
      </c>
      <c r="H34" s="229" t="str">
        <f>IFERROR(VLOOKUP(V7,'1°A'!A13:CA47,47,0),"")</f>
        <v>Tiene dificultades para resolver problemas de regularidad, equivalencia y cambio</v>
      </c>
      <c r="I34" s="190"/>
      <c r="J34" s="190"/>
      <c r="K34" s="190"/>
      <c r="L34" s="152" t="str">
        <f>IFERROR(VLOOKUP($V$7,'1°A'!#REF!,46,0),"")</f>
        <v/>
      </c>
      <c r="M34" s="229" t="str">
        <f>IFERROR(VLOOKUP($V$7,'1°A'!#REF!,47,0),"")</f>
        <v/>
      </c>
      <c r="N34" s="190"/>
      <c r="O34" s="190"/>
      <c r="P34" s="191"/>
      <c r="Q34" s="149" t="str">
        <f>IFERROR(VLOOKUP($V$7,'1°A'!$A$42:$CA$46,46,0),"")</f>
        <v/>
      </c>
      <c r="R34" s="229" t="str">
        <f>IFERROR(VLOOKUP($V$7,'1°A'!$A$42:$CA$46,47,0),"")</f>
        <v/>
      </c>
      <c r="S34" s="190"/>
      <c r="T34" s="191"/>
    </row>
    <row r="35" spans="2:21" ht="140.25" customHeight="1">
      <c r="B35" s="186"/>
      <c r="C35" s="238" t="s">
        <v>637</v>
      </c>
      <c r="D35" s="190"/>
      <c r="E35" s="190"/>
      <c r="F35" s="190"/>
      <c r="G35" s="152" t="str">
        <f>IFERROR(VLOOKUP(V7,'1°A'!A13:CA47,48,0),"")</f>
        <v>B</v>
      </c>
      <c r="H35" s="229" t="str">
        <f>IFERROR(VLOOKUP(V7,'1°A'!A13:CA47,49,0),"")</f>
        <v>Tiene dificultades para resolver probemas de forma, movimiento y localización</v>
      </c>
      <c r="I35" s="190"/>
      <c r="J35" s="190"/>
      <c r="K35" s="190"/>
      <c r="L35" s="152" t="str">
        <f>IFERROR(VLOOKUP($V$7,'1°A'!#REF!,48,0),"")</f>
        <v/>
      </c>
      <c r="M35" s="229" t="str">
        <f>IFERROR(VLOOKUP($V$7,'1°A'!#REF!,49,0),"")</f>
        <v/>
      </c>
      <c r="N35" s="190"/>
      <c r="O35" s="190"/>
      <c r="P35" s="191"/>
      <c r="Q35" s="149" t="str">
        <f>IFERROR(VLOOKUP($V$7,'1°A'!$A$42:$CA$46,48,0),"")</f>
        <v/>
      </c>
      <c r="R35" s="229" t="str">
        <f>IFERROR(VLOOKUP($V$7,'1°A'!$A$42:$CA$46,49,0),"")</f>
        <v/>
      </c>
      <c r="S35" s="190"/>
      <c r="T35" s="191"/>
    </row>
    <row r="36" spans="2:21" ht="129" customHeight="1">
      <c r="B36" s="187"/>
      <c r="C36" s="238" t="s">
        <v>638</v>
      </c>
      <c r="D36" s="190"/>
      <c r="E36" s="190"/>
      <c r="F36" s="190"/>
      <c r="G36" s="152" t="str">
        <f>IFERROR(VLOOKUP(V7,'1°A'!A13:CA47,50,0),"")</f>
        <v>B</v>
      </c>
      <c r="H36" s="229" t="str">
        <f>IFERROR(VLOOKUP(V7,'1°A'!A13:CA47,51,0),"")</f>
        <v>Tiene dificultades para resolver problemas de gestión de datos e incertidumbre</v>
      </c>
      <c r="I36" s="190"/>
      <c r="J36" s="190"/>
      <c r="K36" s="190"/>
      <c r="L36" s="152" t="str">
        <f>IFERROR(VLOOKUP($V$7,'1°A'!#REF!,50,0),"")</f>
        <v/>
      </c>
      <c r="M36" s="229" t="str">
        <f>IFERROR(VLOOKUP($V$7,'1°A'!#REF!,51,0),"")</f>
        <v/>
      </c>
      <c r="N36" s="190"/>
      <c r="O36" s="190"/>
      <c r="P36" s="191"/>
      <c r="Q36" s="149" t="str">
        <f>IFERROR(VLOOKUP($V$7,'1°A'!$A$42:$CA$46,50,0),"")</f>
        <v/>
      </c>
      <c r="R36" s="229" t="str">
        <f>IFERROR(VLOOKUP($V$7,'1°A'!$A$42:$CA$46,51,0),"")</f>
        <v/>
      </c>
      <c r="S36" s="190"/>
      <c r="T36" s="191"/>
    </row>
    <row r="37" spans="2:21" ht="162" customHeight="1">
      <c r="B37" s="240" t="s">
        <v>639</v>
      </c>
      <c r="C37" s="238" t="s">
        <v>640</v>
      </c>
      <c r="D37" s="190"/>
      <c r="E37" s="190"/>
      <c r="F37" s="190"/>
      <c r="G37" s="152" t="str">
        <f>IFERROR(VLOOKUP(V7,'1°A'!A13:CA47,53,0),"")</f>
        <v>B</v>
      </c>
      <c r="H37" s="229" t="str">
        <f>IFERROR(VLOOKUP(V7,'1°A'!A13:CA47,54,0),"")</f>
        <v>Indaga a partir de preguntas e hipótesis que son verificables, presenta dificultad al identificar las variables y al plantear su hipótesis. Se sugiere mejorar algunas presiciones de las variables para plantear la hipótesis y recoger los datos de manera clara.</v>
      </c>
      <c r="I37" s="190"/>
      <c r="J37" s="190"/>
      <c r="K37" s="191"/>
      <c r="L37" s="152" t="str">
        <f>IFERROR(VLOOKUP($V$7,'1°A'!#REF!,53,0),"")</f>
        <v/>
      </c>
      <c r="M37" s="229" t="str">
        <f>IFERROR(VLOOKUP($V$7,'1°A'!#REF!,54,0),"")</f>
        <v/>
      </c>
      <c r="N37" s="190"/>
      <c r="O37" s="190"/>
      <c r="P37" s="191"/>
      <c r="Q37" s="149" t="str">
        <f>IFERROR(VLOOKUP($V$7,'1°A'!$A$42:$CA$46,53,0),"")</f>
        <v/>
      </c>
      <c r="R37" s="229" t="str">
        <f>IFERROR(VLOOKUP($V$7,'1°A'!$A$42:$CA$46,54,0),"")</f>
        <v/>
      </c>
      <c r="S37" s="190"/>
      <c r="T37" s="191"/>
    </row>
    <row r="38" spans="2:21" ht="167.25" customHeight="1">
      <c r="B38" s="186"/>
      <c r="C38" s="238" t="s">
        <v>641</v>
      </c>
      <c r="D38" s="190"/>
      <c r="E38" s="190"/>
      <c r="F38" s="190"/>
      <c r="G38" s="152" t="str">
        <f>IFERROR(VLOOKUP(V7,'1°A'!A13:CA47,55,0),"")</f>
        <v>B</v>
      </c>
      <c r="H38" s="229" t="str">
        <f>IFERROR(VLOOKUP(V7,'1°A'!A13:CA47,56,0),"")</f>
        <v>Al explicar establece relaciones entre varios conceptos con respaldo y evidencia científica, los transfiere a nueva situaciones. Demuestra debilidad en defender su argumentación y postura. Pero, podrías esforzarte más.</v>
      </c>
      <c r="I38" s="190"/>
      <c r="J38" s="190"/>
      <c r="K38" s="190"/>
      <c r="L38" s="152" t="str">
        <f>IFERROR(VLOOKUP($V$7,'1°A'!#REF!,55,0),"")</f>
        <v/>
      </c>
      <c r="M38" s="229" t="str">
        <f>IFERROR(VLOOKUP($V$7,'1°A'!#REF!,56,0),"")</f>
        <v/>
      </c>
      <c r="N38" s="190"/>
      <c r="O38" s="190"/>
      <c r="P38" s="191"/>
      <c r="Q38" s="149" t="str">
        <f>IFERROR(VLOOKUP($V$7,'1°A'!$A$42:$CA$46,55,0),"")</f>
        <v/>
      </c>
      <c r="R38" s="229" t="str">
        <f>IFERROR(VLOOKUP($V$7,'1°A'!$A$42:$CA$46,56,0),"")</f>
        <v/>
      </c>
      <c r="S38" s="190"/>
      <c r="T38" s="191"/>
    </row>
    <row r="39" spans="2:21" ht="143.25" customHeight="1">
      <c r="B39" s="187"/>
      <c r="C39" s="238" t="s">
        <v>642</v>
      </c>
      <c r="D39" s="190"/>
      <c r="E39" s="190"/>
      <c r="F39" s="190"/>
      <c r="G39" s="152" t="str">
        <f>IFERROR(VLOOKUP(V7,'1°A'!A13:CA47,57,0),"")</f>
        <v>A</v>
      </c>
      <c r="H39" s="229" t="str">
        <f>IFERROR(VLOOKUP(V7,'1°A'!A13:CA47,58,0),"")</f>
        <v>En la solución tecnológica propone alternativas, lo diseña, selecciona los materiales y herramientas, lo ejecuta, realiza sus ajustes y da a conocer los resultados de su alternativa de solución. !Sigue adelante!</v>
      </c>
      <c r="I39" s="190"/>
      <c r="J39" s="190"/>
      <c r="K39" s="190"/>
      <c r="L39" s="152" t="str">
        <f>IFERROR(VLOOKUP($V$7,'1°A'!#REF!,57,0),"")</f>
        <v/>
      </c>
      <c r="M39" s="229" t="str">
        <f>IFERROR(VLOOKUP($V$7,'1°A'!#REF!,58,0),"")</f>
        <v/>
      </c>
      <c r="N39" s="190"/>
      <c r="O39" s="190"/>
      <c r="P39" s="191"/>
      <c r="Q39" s="149" t="str">
        <f>IFERROR(VLOOKUP($V$7,'1°A'!$A$42:$CA$14952,0),"")</f>
        <v/>
      </c>
      <c r="R39" s="229" t="str">
        <f>IFERROR(VLOOKUP($V$7,'1°A'!$A$42:$CA$46,58,0),"")</f>
        <v/>
      </c>
      <c r="S39" s="190"/>
      <c r="T39" s="191"/>
    </row>
    <row r="40" spans="2:21" ht="165" customHeight="1">
      <c r="B40" s="240" t="s">
        <v>643</v>
      </c>
      <c r="C40" s="238" t="s">
        <v>644</v>
      </c>
      <c r="D40" s="190"/>
      <c r="E40" s="190"/>
      <c r="F40" s="190"/>
      <c r="G40" s="152" t="str">
        <f>IFERROR(VLOOKUP(V7,'1°A'!A13:CA47,60,0),"")</f>
        <v>C</v>
      </c>
      <c r="H40" s="229" t="str">
        <f>IFERROR(VLOOKUP(V7,'1°A'!A13:CA47,61,0),"")</f>
        <v>No ha tenido la oportunidad de participar en el proceso de aprendizaje por diversos motivos.</v>
      </c>
      <c r="I40" s="190"/>
      <c r="J40" s="190"/>
      <c r="K40" s="190"/>
      <c r="L40" s="152" t="str">
        <f>IFERROR(VLOOKUP($V$7,'1°A'!#REF!,60,0),"")</f>
        <v/>
      </c>
      <c r="M40" s="229" t="str">
        <f>IFERROR(VLOOKUP($V$7,'1°A'!#REF!,61,0),"")</f>
        <v/>
      </c>
      <c r="N40" s="190"/>
      <c r="O40" s="190"/>
      <c r="P40" s="191"/>
      <c r="Q40" s="149" t="str">
        <f>IFERROR(VLOOKUP($V$7,'1°A'!$A$42:$CA$46,60,0),"")</f>
        <v/>
      </c>
      <c r="R40" s="229" t="str">
        <f>IFERROR(VLOOKUP($V$7,'1°A'!$A$42:$CA$46,61,0),"")</f>
        <v/>
      </c>
      <c r="S40" s="190"/>
      <c r="T40" s="191"/>
    </row>
    <row r="41" spans="2:21" ht="199.5" customHeight="1">
      <c r="B41" s="187"/>
      <c r="C41" s="238" t="s">
        <v>645</v>
      </c>
      <c r="D41" s="190"/>
      <c r="E41" s="190"/>
      <c r="F41" s="190"/>
      <c r="G41" s="152" t="str">
        <f>IFERROR(VLOOKUP(V7,'1°A'!A13:CA47,62,0),"")</f>
        <v>B</v>
      </c>
      <c r="H41" s="229" t="str">
        <f>IFERROR(VLOOKUP(V7,'1°A'!A13:CA47,63,0),"")</f>
        <v>Ha logardo argumentar y comprender el Plan de Salvación descrito en la Biblia a partir del cumplimiento de la promesa de Salvación.</v>
      </c>
      <c r="I41" s="190"/>
      <c r="J41" s="190"/>
      <c r="K41" s="190"/>
      <c r="L41" s="152" t="str">
        <f>IFERROR(VLOOKUP($V$7,'1°A'!#REF!,62,0),"")</f>
        <v/>
      </c>
      <c r="M41" s="229" t="str">
        <f>IFERROR(VLOOKUP($V$7,'1°A'!#REF!,63,0),"")</f>
        <v/>
      </c>
      <c r="N41" s="190"/>
      <c r="O41" s="190"/>
      <c r="P41" s="191"/>
      <c r="Q41" s="149" t="str">
        <f>IFERROR(VLOOKUP($V$7,'1°A'!$A$42:$CA$46,62,0),"")</f>
        <v/>
      </c>
      <c r="R41" s="229" t="str">
        <f>IFERROR(VLOOKUP($V$7,'1°A'!$A$42:$CA$46,63,0),"")</f>
        <v/>
      </c>
      <c r="S41" s="190"/>
      <c r="T41" s="191"/>
    </row>
    <row r="42" spans="2:21" ht="165" customHeight="1">
      <c r="B42" s="153" t="s">
        <v>646</v>
      </c>
      <c r="C42" s="238" t="s">
        <v>647</v>
      </c>
      <c r="D42" s="190"/>
      <c r="E42" s="190"/>
      <c r="F42" s="190"/>
      <c r="G42" s="152" t="str">
        <f>IFERROR(VLOOKUP(V7,'1°A'!A13:CA47,65,0),"")</f>
        <v>A</v>
      </c>
      <c r="H42" s="260" t="str">
        <f>IFERROR(VLOOKUP(V7,'1°A'!A13:CA47,66,0),"")</f>
        <v xml:space="preserve">GESTIONA PROYECTOS DE EMPRENDIMIENTO ECONÓMICO O SOCIAL, Y EVALÚA EL LOGRO DE RESULTADOS PARCIALES RELACIONADOS AL PROYECTO, Y REALIZA MEJORAS DESDE SU PROPIA PERCEPCIÓN </v>
      </c>
      <c r="I42" s="261"/>
      <c r="J42" s="261"/>
      <c r="K42" s="261"/>
      <c r="L42" s="152" t="str">
        <f>IFERROR(VLOOKUP($V$7,'1°A'!#REF!,65,0),"")</f>
        <v/>
      </c>
      <c r="M42" s="229" t="str">
        <f>IFERROR(VLOOKUP($V$7,'1°A'!#REF!,66,0),"")</f>
        <v/>
      </c>
      <c r="N42" s="190"/>
      <c r="O42" s="190"/>
      <c r="P42" s="191"/>
      <c r="Q42" s="149" t="str">
        <f>IFERROR(VLOOKUP($V$7,'1°A'!$A$42:$CA$46,65,0),"")</f>
        <v/>
      </c>
      <c r="R42" s="229" t="str">
        <f>IFERROR(VLOOKUP($V$7,'1°A'!$A$42:$CA$46,66,0),"")</f>
        <v/>
      </c>
      <c r="S42" s="190"/>
      <c r="T42" s="191"/>
    </row>
    <row r="43" spans="2:21" ht="15.75" customHeight="1">
      <c r="B43" s="6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</row>
    <row r="44" spans="2:21" ht="15.75" customHeight="1"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</row>
    <row r="45" spans="2:21" ht="23.25" customHeight="1">
      <c r="B45" s="262" t="s">
        <v>11</v>
      </c>
      <c r="C45" s="204"/>
      <c r="D45" s="204"/>
      <c r="E45" s="204"/>
      <c r="F45" s="204"/>
      <c r="G45" s="230" t="s">
        <v>610</v>
      </c>
      <c r="H45" s="190"/>
      <c r="I45" s="190"/>
      <c r="J45" s="190"/>
      <c r="K45" s="191"/>
      <c r="L45" s="230" t="s">
        <v>611</v>
      </c>
      <c r="M45" s="190"/>
      <c r="N45" s="190"/>
      <c r="O45" s="190"/>
      <c r="P45" s="190"/>
      <c r="Q45" s="230" t="s">
        <v>612</v>
      </c>
      <c r="R45" s="190"/>
      <c r="S45" s="190"/>
      <c r="T45" s="191"/>
      <c r="U45" s="62"/>
    </row>
    <row r="46" spans="2:21" ht="53.25" customHeight="1">
      <c r="B46" s="219"/>
      <c r="C46" s="220"/>
      <c r="D46" s="220"/>
      <c r="E46" s="220"/>
      <c r="F46" s="220"/>
      <c r="G46" s="154" t="s">
        <v>613</v>
      </c>
      <c r="H46" s="232" t="s">
        <v>614</v>
      </c>
      <c r="I46" s="190"/>
      <c r="J46" s="190"/>
      <c r="K46" s="191"/>
      <c r="L46" s="154" t="s">
        <v>613</v>
      </c>
      <c r="M46" s="232" t="s">
        <v>614</v>
      </c>
      <c r="N46" s="190"/>
      <c r="O46" s="190"/>
      <c r="P46" s="191"/>
      <c r="Q46" s="155" t="s">
        <v>613</v>
      </c>
      <c r="R46" s="231" t="s">
        <v>614</v>
      </c>
      <c r="S46" s="220"/>
      <c r="T46" s="221"/>
      <c r="U46" s="62"/>
    </row>
    <row r="47" spans="2:21" ht="108.75" customHeight="1">
      <c r="B47" s="232" t="s">
        <v>648</v>
      </c>
      <c r="C47" s="190"/>
      <c r="D47" s="190"/>
      <c r="E47" s="190"/>
      <c r="F47" s="190"/>
      <c r="G47" s="156" t="str">
        <f>IFERROR(VLOOKUP(V7,'1°A'!A13:CA47,68,0),"")</f>
        <v>B</v>
      </c>
      <c r="H47" s="229" t="str">
        <f>IFERROR(VLOOKUP(V7,'1°A'!A13:CA47,69,0),"")</f>
        <v>ESTA EN PROCESO DE LOGRAR Y AFIANZAR SUS CONOCIMIENTOS DE FORMA AUTODIDACTA Y PRACTICA.</v>
      </c>
      <c r="I47" s="190"/>
      <c r="J47" s="190"/>
      <c r="K47" s="190"/>
      <c r="L47" s="156" t="str">
        <f>IFERROR(VLOOKUP($V$7,'1°A'!#REF!,68,0),"")</f>
        <v/>
      </c>
      <c r="M47" s="229" t="str">
        <f>IFERROR(VLOOKUP($V$7,'1°A'!#REF!,69,0),"")</f>
        <v/>
      </c>
      <c r="N47" s="190"/>
      <c r="O47" s="190"/>
      <c r="P47" s="191"/>
      <c r="Q47" s="157" t="str">
        <f>IFERROR(VLOOKUP($V$7,'1°A'!$A$42:$CA$46,68,0),"")</f>
        <v/>
      </c>
      <c r="R47" s="229" t="str">
        <f>IFERROR(VLOOKUP($V$7,'1°A'!$A$42:$CA$46,69,0),"")</f>
        <v/>
      </c>
      <c r="S47" s="190"/>
      <c r="T47" s="191"/>
      <c r="U47" s="158"/>
    </row>
    <row r="48" spans="2:21" ht="112.5" customHeight="1">
      <c r="B48" s="232" t="s">
        <v>649</v>
      </c>
      <c r="C48" s="190"/>
      <c r="D48" s="190"/>
      <c r="E48" s="190"/>
      <c r="F48" s="190"/>
      <c r="G48" s="156" t="str">
        <f>IFERROR(VLOOKUP(V7,'1°A'!A13:CA47,70,0),"")</f>
        <v>B</v>
      </c>
      <c r="H48" s="229" t="str">
        <f>IFERROR(VLOOKUP(V7,'1°A'!A13:CA47,71,0),"")</f>
        <v>ESTA EN PROCESO DE LOGRAR Y AFIANZAR SUS CONOCIMIENTOS DE FORMA AUTODIDACTA Y PRACTICA.</v>
      </c>
      <c r="I48" s="190"/>
      <c r="J48" s="190"/>
      <c r="K48" s="190"/>
      <c r="L48" s="156" t="str">
        <f>IFERROR(VLOOKUP($V$7,'1°A'!#REF!,70,0),"")</f>
        <v/>
      </c>
      <c r="M48" s="229" t="str">
        <f>IFERROR(VLOOKUP($V$7,'1°A'!#REF!,71,0),"")</f>
        <v/>
      </c>
      <c r="N48" s="190"/>
      <c r="O48" s="190"/>
      <c r="P48" s="191"/>
      <c r="Q48" s="157" t="str">
        <f>IFERROR(VLOOKUP($V$7,'1°A'!$A$42:$CA$46,70,0),"")</f>
        <v/>
      </c>
      <c r="R48" s="229" t="str">
        <f>IFERROR(VLOOKUP($V$7,'1°A'!$A$42:$CA$46,71,0),"")</f>
        <v/>
      </c>
      <c r="S48" s="190"/>
      <c r="T48" s="191"/>
      <c r="U48" s="158"/>
    </row>
    <row r="49" spans="2:17" ht="15.75" customHeight="1">
      <c r="P49" s="62"/>
    </row>
    <row r="50" spans="2:17" ht="15.75" customHeight="1">
      <c r="P50" s="62"/>
    </row>
    <row r="51" spans="2:17" ht="15.75" customHeight="1">
      <c r="C51" s="258" t="s">
        <v>650</v>
      </c>
      <c r="D51" s="210"/>
      <c r="E51" s="210"/>
      <c r="F51" s="210"/>
      <c r="G51" s="210"/>
      <c r="H51" s="210"/>
      <c r="I51" s="210"/>
      <c r="J51" s="210"/>
      <c r="K51" s="210"/>
      <c r="P51" s="62"/>
    </row>
    <row r="52" spans="2:17" ht="15.75" customHeight="1">
      <c r="P52" s="62"/>
    </row>
    <row r="53" spans="2:17" ht="19.5" customHeight="1">
      <c r="B53" s="6"/>
      <c r="C53" s="248" t="s">
        <v>651</v>
      </c>
      <c r="D53" s="204"/>
      <c r="E53" s="204"/>
      <c r="F53" s="218"/>
      <c r="G53" s="259" t="s">
        <v>12</v>
      </c>
      <c r="H53" s="190"/>
      <c r="I53" s="190"/>
      <c r="J53" s="190"/>
      <c r="K53" s="190"/>
      <c r="L53" s="233" t="s">
        <v>13</v>
      </c>
      <c r="M53" s="190"/>
      <c r="N53" s="190"/>
      <c r="O53" s="191"/>
      <c r="P53" s="234" t="s">
        <v>14</v>
      </c>
      <c r="Q53" s="218"/>
    </row>
    <row r="54" spans="2:17" ht="19.5" customHeight="1">
      <c r="B54" s="6"/>
      <c r="C54" s="219"/>
      <c r="D54" s="220"/>
      <c r="E54" s="220"/>
      <c r="F54" s="221"/>
      <c r="G54" s="235" t="s">
        <v>50</v>
      </c>
      <c r="H54" s="190"/>
      <c r="I54" s="191"/>
      <c r="J54" s="235" t="s">
        <v>51</v>
      </c>
      <c r="K54" s="191"/>
      <c r="L54" s="235" t="s">
        <v>50</v>
      </c>
      <c r="M54" s="191"/>
      <c r="N54" s="235" t="s">
        <v>51</v>
      </c>
      <c r="O54" s="191"/>
      <c r="P54" s="219"/>
      <c r="Q54" s="221"/>
    </row>
    <row r="55" spans="2:17" ht="30" customHeight="1">
      <c r="B55" s="6"/>
      <c r="C55" s="159" t="s">
        <v>610</v>
      </c>
      <c r="D55" s="160"/>
      <c r="E55" s="160"/>
      <c r="F55" s="161"/>
      <c r="G55" s="236">
        <f>IFERROR(VLOOKUP(V7,'1°A'!A4:CA41,73,0),"")</f>
        <v>0</v>
      </c>
      <c r="H55" s="190"/>
      <c r="I55" s="191"/>
      <c r="J55" s="236">
        <f>IFERROR(VLOOKUP(V7,'1°A'!A13:CA47,74,0),"")</f>
        <v>0</v>
      </c>
      <c r="K55" s="191"/>
      <c r="L55" s="236">
        <f>IFERROR(VLOOKUP(V7,'1°A'!A13:CA47,76,0),"")</f>
        <v>0</v>
      </c>
      <c r="M55" s="191"/>
      <c r="N55" s="236">
        <f>IFERROR(VLOOKUP(V7,'1°A'!A13:CA47,77,0),"")</f>
        <v>3</v>
      </c>
      <c r="O55" s="191"/>
      <c r="P55" s="237" t="str">
        <f>IFERROR(VLOOKUP(V7,'1°A'!A13:CA47,79,0),"")</f>
        <v>A</v>
      </c>
      <c r="Q55" s="191"/>
    </row>
    <row r="56" spans="2:17" ht="30" customHeight="1">
      <c r="B56" s="6"/>
      <c r="C56" s="255" t="s">
        <v>611</v>
      </c>
      <c r="D56" s="190"/>
      <c r="E56" s="190"/>
      <c r="F56" s="191"/>
      <c r="G56" s="236" t="str">
        <f>IFERROR(VLOOKUP($V$7,'1°A'!#REF!,73,0),"")</f>
        <v/>
      </c>
      <c r="H56" s="190"/>
      <c r="I56" s="191"/>
      <c r="J56" s="236" t="str">
        <f>IFERROR(VLOOKUP($V$7,'1°A'!#REF!,74,0),"")</f>
        <v/>
      </c>
      <c r="K56" s="191"/>
      <c r="L56" s="236" t="str">
        <f>IFERROR(VLOOKUP($V$7,'1°A'!#REF!,76,0),"")</f>
        <v/>
      </c>
      <c r="M56" s="191"/>
      <c r="N56" s="236" t="str">
        <f>IFERROR(VLOOKUP($V$7,'1°A'!#REF!,77,0),"")</f>
        <v/>
      </c>
      <c r="O56" s="191"/>
      <c r="P56" s="237"/>
      <c r="Q56" s="191"/>
    </row>
    <row r="57" spans="2:17" ht="30" customHeight="1">
      <c r="B57" s="6"/>
      <c r="C57" s="255" t="s">
        <v>612</v>
      </c>
      <c r="D57" s="190"/>
      <c r="E57" s="190"/>
      <c r="F57" s="191"/>
      <c r="G57" s="236" t="str">
        <f>IFERROR(VLOOKUP($V$7,'1°A'!$A$42:$CA$46,73,0),"")</f>
        <v/>
      </c>
      <c r="H57" s="190"/>
      <c r="I57" s="191"/>
      <c r="J57" s="236" t="str">
        <f>IFERROR(VLOOKUP($V$7,'1°A'!$A$42:$CA$46,74,0),"")</f>
        <v/>
      </c>
      <c r="K57" s="191"/>
      <c r="L57" s="236" t="str">
        <f>IFERROR(VLOOKUP($V$7,'1°A'!$A$42:$CA$46,76,0),"")</f>
        <v/>
      </c>
      <c r="M57" s="191"/>
      <c r="N57" s="236" t="str">
        <f>IFERROR(VLOOKUP($V$7,'1°A'!$A$42:$CA$46,77,0),"")</f>
        <v/>
      </c>
      <c r="O57" s="191"/>
      <c r="P57" s="237"/>
      <c r="Q57" s="191"/>
    </row>
    <row r="58" spans="2:17" ht="15.75" customHeight="1">
      <c r="B58" s="6"/>
      <c r="P58" s="62"/>
    </row>
    <row r="59" spans="2:17" ht="15.75" customHeight="1">
      <c r="B59" s="6"/>
      <c r="C59" s="223" t="s">
        <v>652</v>
      </c>
      <c r="D59" s="204"/>
      <c r="E59" s="204"/>
      <c r="F59" s="218"/>
      <c r="G59" s="256"/>
      <c r="H59" s="204"/>
      <c r="I59" s="204"/>
      <c r="J59" s="204"/>
      <c r="K59" s="204"/>
      <c r="L59" s="218"/>
      <c r="M59" s="162"/>
      <c r="N59" s="162"/>
      <c r="O59" s="6"/>
      <c r="P59" s="6"/>
    </row>
    <row r="60" spans="2:17" ht="15.75" customHeight="1">
      <c r="B60" s="6"/>
      <c r="C60" s="224"/>
      <c r="D60" s="210"/>
      <c r="E60" s="210"/>
      <c r="F60" s="184"/>
      <c r="G60" s="224"/>
      <c r="H60" s="210"/>
      <c r="I60" s="210"/>
      <c r="J60" s="210"/>
      <c r="K60" s="210"/>
      <c r="L60" s="184"/>
      <c r="M60" s="162"/>
      <c r="N60" s="162"/>
      <c r="O60" s="6"/>
      <c r="P60" s="6"/>
    </row>
    <row r="61" spans="2:17" ht="15.75" customHeight="1">
      <c r="B61" s="6"/>
      <c r="C61" s="224"/>
      <c r="D61" s="210"/>
      <c r="E61" s="210"/>
      <c r="F61" s="184"/>
      <c r="G61" s="224"/>
      <c r="H61" s="210"/>
      <c r="I61" s="210"/>
      <c r="J61" s="210"/>
      <c r="K61" s="210"/>
      <c r="L61" s="184"/>
      <c r="M61" s="162"/>
      <c r="N61" s="162"/>
      <c r="O61" s="6"/>
      <c r="P61" s="6"/>
    </row>
    <row r="62" spans="2:17" ht="15.75" customHeight="1">
      <c r="B62" s="6"/>
      <c r="C62" s="224"/>
      <c r="D62" s="210"/>
      <c r="E62" s="210"/>
      <c r="F62" s="184"/>
      <c r="G62" s="224"/>
      <c r="H62" s="210"/>
      <c r="I62" s="210"/>
      <c r="J62" s="210"/>
      <c r="K62" s="210"/>
      <c r="L62" s="184"/>
      <c r="M62" s="162"/>
      <c r="N62" s="162"/>
      <c r="O62" s="6"/>
      <c r="P62" s="6"/>
    </row>
    <row r="63" spans="2:17" ht="15.75" customHeight="1">
      <c r="B63" s="6"/>
      <c r="C63" s="219"/>
      <c r="D63" s="220"/>
      <c r="E63" s="220"/>
      <c r="F63" s="221"/>
      <c r="G63" s="219"/>
      <c r="H63" s="220"/>
      <c r="I63" s="220"/>
      <c r="J63" s="220"/>
      <c r="K63" s="220"/>
      <c r="L63" s="221"/>
      <c r="M63" s="162"/>
      <c r="N63" s="162"/>
      <c r="O63" s="6"/>
      <c r="P63" s="6"/>
    </row>
    <row r="64" spans="2:17" ht="15.75" customHeight="1">
      <c r="B64" s="6"/>
      <c r="C64" s="257" t="s">
        <v>653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6"/>
      <c r="P64" s="6"/>
    </row>
    <row r="65" spans="16:16" ht="15.75" customHeight="1">
      <c r="P65" s="62"/>
    </row>
    <row r="66" spans="16:16" ht="15.75" customHeight="1">
      <c r="P66" s="62"/>
    </row>
    <row r="67" spans="16:16" ht="15.75" customHeight="1">
      <c r="P67" s="62"/>
    </row>
    <row r="68" spans="16:16" ht="15.75" customHeight="1">
      <c r="P68" s="62"/>
    </row>
    <row r="69" spans="16:16" ht="15.75" customHeight="1">
      <c r="P69" s="62"/>
    </row>
    <row r="70" spans="16:16" ht="15.75" customHeight="1">
      <c r="P70" s="62"/>
    </row>
    <row r="71" spans="16:16" ht="15.75" customHeight="1">
      <c r="P71" s="62"/>
    </row>
    <row r="72" spans="16:16" ht="15.75" customHeight="1">
      <c r="P72" s="62"/>
    </row>
    <row r="73" spans="16:16" ht="15.75" customHeight="1">
      <c r="P73" s="62"/>
    </row>
    <row r="74" spans="16:16" ht="15.75" customHeight="1">
      <c r="P74" s="62"/>
    </row>
    <row r="75" spans="16:16" ht="15.75" customHeight="1">
      <c r="P75" s="62"/>
    </row>
    <row r="76" spans="16:16" ht="15.75" customHeight="1">
      <c r="P76" s="62"/>
    </row>
    <row r="77" spans="16:16" ht="15.75" customHeight="1">
      <c r="P77" s="62"/>
    </row>
    <row r="78" spans="16:16" ht="15.75" customHeight="1">
      <c r="P78" s="62"/>
    </row>
    <row r="79" spans="16:16" ht="15.75" customHeight="1">
      <c r="P79" s="62"/>
    </row>
    <row r="80" spans="16:16" ht="15.75" customHeight="1">
      <c r="P80" s="62"/>
    </row>
    <row r="81" spans="16:16" ht="15.75" customHeight="1">
      <c r="P81" s="62"/>
    </row>
    <row r="82" spans="16:16" ht="15.75" customHeight="1">
      <c r="P82" s="62"/>
    </row>
    <row r="83" spans="16:16" ht="15.75" customHeight="1">
      <c r="P83" s="62"/>
    </row>
    <row r="84" spans="16:16" ht="15.75" customHeight="1">
      <c r="P84" s="62"/>
    </row>
    <row r="85" spans="16:16" ht="15.75" customHeight="1">
      <c r="P85" s="62"/>
    </row>
    <row r="86" spans="16:16" ht="15.75" customHeight="1">
      <c r="P86" s="62"/>
    </row>
    <row r="87" spans="16:16" ht="15.75" customHeight="1">
      <c r="P87" s="62"/>
    </row>
    <row r="88" spans="16:16" ht="15.75" customHeight="1">
      <c r="P88" s="62"/>
    </row>
    <row r="89" spans="16:16" ht="15.75" customHeight="1">
      <c r="P89" s="62"/>
    </row>
    <row r="90" spans="16:16" ht="15.75" customHeight="1">
      <c r="P90" s="62"/>
    </row>
    <row r="91" spans="16:16" ht="15.75" customHeight="1">
      <c r="P91" s="62"/>
    </row>
    <row r="92" spans="16:16" ht="15.75" customHeight="1">
      <c r="P92" s="62"/>
    </row>
    <row r="93" spans="16:16" ht="15.75" customHeight="1">
      <c r="P93" s="62"/>
    </row>
    <row r="94" spans="16:16" ht="15.75" customHeight="1">
      <c r="P94" s="62"/>
    </row>
    <row r="95" spans="16:16" ht="15.75" customHeight="1">
      <c r="P95" s="62"/>
    </row>
    <row r="96" spans="16:16" ht="15.75" customHeight="1">
      <c r="P96" s="62"/>
    </row>
    <row r="97" spans="16:16" ht="15.75" customHeight="1">
      <c r="P97" s="62"/>
    </row>
    <row r="98" spans="16:16" ht="15.75" customHeight="1">
      <c r="P98" s="62"/>
    </row>
    <row r="99" spans="16:16" ht="15.75" customHeight="1">
      <c r="P99" s="62"/>
    </row>
    <row r="100" spans="16:16" ht="15.75" customHeight="1">
      <c r="P100" s="62"/>
    </row>
    <row r="101" spans="16:16" ht="15.75" customHeight="1">
      <c r="P101" s="62"/>
    </row>
    <row r="102" spans="16:16" ht="15.75" customHeight="1">
      <c r="P102" s="62"/>
    </row>
    <row r="103" spans="16:16" ht="15.75" customHeight="1">
      <c r="P103" s="62"/>
    </row>
    <row r="104" spans="16:16" ht="15.75" customHeight="1">
      <c r="P104" s="62"/>
    </row>
    <row r="105" spans="16:16" ht="15.75" customHeight="1">
      <c r="P105" s="62"/>
    </row>
    <row r="106" spans="16:16" ht="15.75" customHeight="1">
      <c r="P106" s="62"/>
    </row>
    <row r="107" spans="16:16" ht="15.75" customHeight="1">
      <c r="P107" s="62"/>
    </row>
    <row r="108" spans="16:16" ht="15.75" customHeight="1">
      <c r="P108" s="62"/>
    </row>
    <row r="109" spans="16:16" ht="15.75" customHeight="1">
      <c r="P109" s="62"/>
    </row>
    <row r="110" spans="16:16" ht="15.75" customHeight="1">
      <c r="P110" s="62"/>
    </row>
    <row r="111" spans="16:16" ht="15.75" customHeight="1">
      <c r="P111" s="62"/>
    </row>
    <row r="112" spans="16:16" ht="15.75" customHeight="1">
      <c r="P112" s="62"/>
    </row>
    <row r="113" spans="16:16" ht="15.75" customHeight="1">
      <c r="P113" s="62"/>
    </row>
    <row r="114" spans="16:16" ht="15.75" customHeight="1">
      <c r="P114" s="62"/>
    </row>
    <row r="115" spans="16:16" ht="15.75" customHeight="1">
      <c r="P115" s="62"/>
    </row>
    <row r="116" spans="16:16" ht="15.75" customHeight="1">
      <c r="P116" s="62"/>
    </row>
    <row r="117" spans="16:16" ht="15.75" customHeight="1">
      <c r="P117" s="62"/>
    </row>
    <row r="118" spans="16:16" ht="15.75" customHeight="1">
      <c r="P118" s="62"/>
    </row>
    <row r="119" spans="16:16" ht="15.75" customHeight="1">
      <c r="P119" s="62"/>
    </row>
    <row r="120" spans="16:16" ht="15.75" customHeight="1">
      <c r="P120" s="62"/>
    </row>
    <row r="121" spans="16:16" ht="15.75" customHeight="1">
      <c r="P121" s="62"/>
    </row>
    <row r="122" spans="16:16" ht="15.75" customHeight="1">
      <c r="P122" s="62"/>
    </row>
    <row r="123" spans="16:16" ht="15.75" customHeight="1">
      <c r="P123" s="62"/>
    </row>
    <row r="124" spans="16:16" ht="15.75" customHeight="1">
      <c r="P124" s="62"/>
    </row>
    <row r="125" spans="16:16" ht="15.75" customHeight="1">
      <c r="P125" s="62"/>
    </row>
    <row r="126" spans="16:16" ht="15.75" customHeight="1">
      <c r="P126" s="62"/>
    </row>
    <row r="127" spans="16:16" ht="15.75" customHeight="1">
      <c r="P127" s="62"/>
    </row>
    <row r="128" spans="16:16" ht="15.75" customHeight="1">
      <c r="P128" s="62"/>
    </row>
    <row r="129" spans="16:16" ht="15.75" customHeight="1">
      <c r="P129" s="62"/>
    </row>
    <row r="130" spans="16:16" ht="15.75" customHeight="1">
      <c r="P130" s="62"/>
    </row>
    <row r="131" spans="16:16" ht="15.75" customHeight="1">
      <c r="P131" s="62"/>
    </row>
    <row r="132" spans="16:16" ht="15.75" customHeight="1">
      <c r="P132" s="62"/>
    </row>
    <row r="133" spans="16:16" ht="15.75" customHeight="1">
      <c r="P133" s="62"/>
    </row>
    <row r="134" spans="16:16" ht="15.75" customHeight="1">
      <c r="P134" s="62"/>
    </row>
    <row r="135" spans="16:16" ht="15.75" customHeight="1">
      <c r="P135" s="62"/>
    </row>
    <row r="136" spans="16:16" ht="15.75" customHeight="1">
      <c r="P136" s="62"/>
    </row>
    <row r="137" spans="16:16" ht="15.75" customHeight="1">
      <c r="P137" s="62"/>
    </row>
    <row r="138" spans="16:16" ht="15.75" customHeight="1">
      <c r="P138" s="62"/>
    </row>
    <row r="139" spans="16:16" ht="15.75" customHeight="1">
      <c r="P139" s="62"/>
    </row>
    <row r="140" spans="16:16" ht="15.75" customHeight="1">
      <c r="P140" s="62"/>
    </row>
    <row r="141" spans="16:16" ht="15.75" customHeight="1">
      <c r="P141" s="62"/>
    </row>
    <row r="142" spans="16:16" ht="15.75" customHeight="1">
      <c r="P142" s="62"/>
    </row>
    <row r="143" spans="16:16" ht="15.75" customHeight="1">
      <c r="P143" s="62"/>
    </row>
    <row r="144" spans="16:16" ht="15.75" customHeight="1">
      <c r="P144" s="62"/>
    </row>
    <row r="145" spans="16:16" ht="15.75" customHeight="1">
      <c r="P145" s="62"/>
    </row>
    <row r="146" spans="16:16" ht="15.75" customHeight="1">
      <c r="P146" s="62"/>
    </row>
    <row r="147" spans="16:16" ht="15.75" customHeight="1">
      <c r="P147" s="62"/>
    </row>
    <row r="148" spans="16:16" ht="15.75" customHeight="1">
      <c r="P148" s="62"/>
    </row>
    <row r="149" spans="16:16" ht="15.75" customHeight="1">
      <c r="P149" s="62"/>
    </row>
    <row r="150" spans="16:16" ht="15.75" customHeight="1">
      <c r="P150" s="62"/>
    </row>
    <row r="151" spans="16:16" ht="15.75" customHeight="1">
      <c r="P151" s="62"/>
    </row>
    <row r="152" spans="16:16" ht="15.75" customHeight="1">
      <c r="P152" s="62"/>
    </row>
    <row r="153" spans="16:16" ht="15.75" customHeight="1">
      <c r="P153" s="62"/>
    </row>
    <row r="154" spans="16:16" ht="15.75" customHeight="1">
      <c r="P154" s="62"/>
    </row>
    <row r="155" spans="16:16" ht="15.75" customHeight="1">
      <c r="P155" s="62"/>
    </row>
    <row r="156" spans="16:16" ht="15.75" customHeight="1">
      <c r="P156" s="62"/>
    </row>
    <row r="157" spans="16:16" ht="15.75" customHeight="1">
      <c r="P157" s="62"/>
    </row>
    <row r="158" spans="16:16" ht="15.75" customHeight="1">
      <c r="P158" s="62"/>
    </row>
    <row r="159" spans="16:16" ht="15.75" customHeight="1">
      <c r="P159" s="62"/>
    </row>
    <row r="160" spans="16:16" ht="15.75" customHeight="1">
      <c r="P160" s="62"/>
    </row>
    <row r="161" spans="16:16" ht="15.75" customHeight="1">
      <c r="P161" s="62"/>
    </row>
    <row r="162" spans="16:16" ht="15.75" customHeight="1">
      <c r="P162" s="62"/>
    </row>
    <row r="163" spans="16:16" ht="15.75" customHeight="1">
      <c r="P163" s="62"/>
    </row>
    <row r="164" spans="16:16" ht="15.75" customHeight="1">
      <c r="P164" s="62"/>
    </row>
    <row r="165" spans="16:16" ht="15.75" customHeight="1">
      <c r="P165" s="62"/>
    </row>
    <row r="166" spans="16:16" ht="15.75" customHeight="1">
      <c r="P166" s="62"/>
    </row>
    <row r="167" spans="16:16" ht="15.75" customHeight="1">
      <c r="P167" s="62"/>
    </row>
    <row r="168" spans="16:16" ht="15.75" customHeight="1">
      <c r="P168" s="62"/>
    </row>
    <row r="169" spans="16:16" ht="15.75" customHeight="1">
      <c r="P169" s="62"/>
    </row>
    <row r="170" spans="16:16" ht="15.75" customHeight="1">
      <c r="P170" s="62"/>
    </row>
    <row r="171" spans="16:16" ht="15.75" customHeight="1">
      <c r="P171" s="62"/>
    </row>
    <row r="172" spans="16:16" ht="15.75" customHeight="1">
      <c r="P172" s="62"/>
    </row>
    <row r="173" spans="16:16" ht="15.75" customHeight="1">
      <c r="P173" s="62"/>
    </row>
    <row r="174" spans="16:16" ht="15.75" customHeight="1">
      <c r="P174" s="62"/>
    </row>
    <row r="175" spans="16:16" ht="15.75" customHeight="1">
      <c r="P175" s="62"/>
    </row>
    <row r="176" spans="16:16" ht="15.75" customHeight="1">
      <c r="P176" s="62"/>
    </row>
    <row r="177" spans="16:16" ht="15.75" customHeight="1">
      <c r="P177" s="62"/>
    </row>
    <row r="178" spans="16:16" ht="15.75" customHeight="1">
      <c r="P178" s="62"/>
    </row>
    <row r="179" spans="16:16" ht="15.75" customHeight="1">
      <c r="P179" s="62"/>
    </row>
    <row r="180" spans="16:16" ht="15.75" customHeight="1">
      <c r="P180" s="62"/>
    </row>
    <row r="181" spans="16:16" ht="15.75" customHeight="1">
      <c r="P181" s="62"/>
    </row>
    <row r="182" spans="16:16" ht="15.75" customHeight="1">
      <c r="P182" s="62"/>
    </row>
    <row r="183" spans="16:16" ht="15.75" customHeight="1">
      <c r="P183" s="62"/>
    </row>
    <row r="184" spans="16:16" ht="15.75" customHeight="1">
      <c r="P184" s="62"/>
    </row>
    <row r="185" spans="16:16" ht="15.75" customHeight="1">
      <c r="P185" s="62"/>
    </row>
    <row r="186" spans="16:16" ht="15.75" customHeight="1">
      <c r="P186" s="62"/>
    </row>
    <row r="187" spans="16:16" ht="15.75" customHeight="1">
      <c r="P187" s="62"/>
    </row>
    <row r="188" spans="16:16" ht="15.75" customHeight="1">
      <c r="P188" s="62"/>
    </row>
    <row r="189" spans="16:16" ht="15.75" customHeight="1">
      <c r="P189" s="62"/>
    </row>
    <row r="190" spans="16:16" ht="15.75" customHeight="1">
      <c r="P190" s="62"/>
    </row>
    <row r="191" spans="16:16" ht="15.75" customHeight="1">
      <c r="P191" s="62"/>
    </row>
    <row r="192" spans="16:16" ht="15.75" customHeight="1">
      <c r="P192" s="62"/>
    </row>
    <row r="193" spans="16:16" ht="15.75" customHeight="1">
      <c r="P193" s="62"/>
    </row>
    <row r="194" spans="16:16" ht="15.75" customHeight="1">
      <c r="P194" s="62"/>
    </row>
    <row r="195" spans="16:16" ht="15.75" customHeight="1">
      <c r="P195" s="62"/>
    </row>
    <row r="196" spans="16:16" ht="15.75" customHeight="1">
      <c r="P196" s="62"/>
    </row>
    <row r="197" spans="16:16" ht="15.75" customHeight="1">
      <c r="P197" s="62"/>
    </row>
    <row r="198" spans="16:16" ht="15.75" customHeight="1">
      <c r="P198" s="62"/>
    </row>
    <row r="199" spans="16:16" ht="15.75" customHeight="1">
      <c r="P199" s="62"/>
    </row>
    <row r="200" spans="16:16" ht="15.75" customHeight="1">
      <c r="P200" s="62"/>
    </row>
    <row r="201" spans="16:16" ht="15.75" customHeight="1">
      <c r="P201" s="62"/>
    </row>
    <row r="202" spans="16:16" ht="15.75" customHeight="1">
      <c r="P202" s="62"/>
    </row>
    <row r="203" spans="16:16" ht="15.75" customHeight="1">
      <c r="P203" s="62"/>
    </row>
    <row r="204" spans="16:16" ht="15.75" customHeight="1">
      <c r="P204" s="62"/>
    </row>
    <row r="205" spans="16:16" ht="15.75" customHeight="1">
      <c r="P205" s="62"/>
    </row>
    <row r="206" spans="16:16" ht="15.75" customHeight="1">
      <c r="P206" s="62"/>
    </row>
    <row r="207" spans="16:16" ht="15.75" customHeight="1">
      <c r="P207" s="62"/>
    </row>
    <row r="208" spans="16:16" ht="15.75" customHeight="1">
      <c r="P208" s="62"/>
    </row>
    <row r="209" spans="16:16" ht="15.75" customHeight="1">
      <c r="P209" s="62"/>
    </row>
    <row r="210" spans="16:16" ht="15.75" customHeight="1">
      <c r="P210" s="62"/>
    </row>
    <row r="211" spans="16:16" ht="15.75" customHeight="1">
      <c r="P211" s="62"/>
    </row>
    <row r="212" spans="16:16" ht="15.75" customHeight="1">
      <c r="P212" s="62"/>
    </row>
    <row r="213" spans="16:16" ht="15.75" customHeight="1">
      <c r="P213" s="62"/>
    </row>
    <row r="214" spans="16:16" ht="15.75" customHeight="1">
      <c r="P214" s="62"/>
    </row>
    <row r="215" spans="16:16" ht="15.75" customHeight="1">
      <c r="P215" s="62"/>
    </row>
    <row r="216" spans="16:16" ht="15.75" customHeight="1">
      <c r="P216" s="62"/>
    </row>
    <row r="217" spans="16:16" ht="15.75" customHeight="1">
      <c r="P217" s="62"/>
    </row>
    <row r="218" spans="16:16" ht="15.75" customHeight="1">
      <c r="P218" s="62"/>
    </row>
    <row r="219" spans="16:16" ht="15.75" customHeight="1">
      <c r="P219" s="62"/>
    </row>
    <row r="220" spans="16:16" ht="15.75" customHeight="1">
      <c r="P220" s="62"/>
    </row>
    <row r="221" spans="16:16" ht="15.75" customHeight="1">
      <c r="P221" s="62"/>
    </row>
    <row r="222" spans="16:16" ht="15.75" customHeight="1">
      <c r="P222" s="62"/>
    </row>
    <row r="223" spans="16:16" ht="15.75" customHeight="1">
      <c r="P223" s="62"/>
    </row>
    <row r="224" spans="16:16" ht="15.75" customHeight="1">
      <c r="P224" s="62"/>
    </row>
    <row r="225" spans="16:16" ht="15.75" customHeight="1">
      <c r="P225" s="62"/>
    </row>
    <row r="226" spans="16:16" ht="15.75" customHeight="1">
      <c r="P226" s="62"/>
    </row>
    <row r="227" spans="16:16" ht="15.75" customHeight="1">
      <c r="P227" s="62"/>
    </row>
    <row r="228" spans="16:16" ht="15.75" customHeight="1">
      <c r="P228" s="62"/>
    </row>
    <row r="229" spans="16:16" ht="15.75" customHeight="1">
      <c r="P229" s="62"/>
    </row>
    <row r="230" spans="16:16" ht="15.75" customHeight="1">
      <c r="P230" s="62"/>
    </row>
    <row r="231" spans="16:16" ht="15.75" customHeight="1">
      <c r="P231" s="62"/>
    </row>
    <row r="232" spans="16:16" ht="15.75" customHeight="1">
      <c r="P232" s="62"/>
    </row>
    <row r="233" spans="16:16" ht="15.75" customHeight="1">
      <c r="P233" s="62"/>
    </row>
    <row r="234" spans="16:16" ht="15.75" customHeight="1">
      <c r="P234" s="62"/>
    </row>
    <row r="235" spans="16:16" ht="15.75" customHeight="1">
      <c r="P235" s="62"/>
    </row>
    <row r="236" spans="16:16" ht="15.75" customHeight="1">
      <c r="P236" s="62"/>
    </row>
    <row r="237" spans="16:16" ht="15.75" customHeight="1">
      <c r="P237" s="62"/>
    </row>
    <row r="238" spans="16:16" ht="15.75" customHeight="1">
      <c r="P238" s="62"/>
    </row>
    <row r="239" spans="16:16" ht="15.75" customHeight="1">
      <c r="P239" s="62"/>
    </row>
    <row r="240" spans="16:16" ht="15.75" customHeight="1">
      <c r="P240" s="62"/>
    </row>
    <row r="241" spans="16:16" ht="15.75" customHeight="1">
      <c r="P241" s="62"/>
    </row>
    <row r="242" spans="16:16" ht="15.75" customHeight="1">
      <c r="P242" s="62"/>
    </row>
    <row r="243" spans="16:16" ht="15.75" customHeight="1">
      <c r="P243" s="62"/>
    </row>
    <row r="244" spans="16:16" ht="15.75" customHeight="1">
      <c r="P244" s="62"/>
    </row>
    <row r="245" spans="16:16" ht="15.75" customHeight="1">
      <c r="P245" s="62"/>
    </row>
    <row r="246" spans="16:16" ht="15.75" customHeight="1">
      <c r="P246" s="62"/>
    </row>
    <row r="247" spans="16:16" ht="15.75" customHeight="1">
      <c r="P247" s="62"/>
    </row>
    <row r="248" spans="16:16" ht="15.75" customHeight="1">
      <c r="P248" s="62"/>
    </row>
    <row r="249" spans="16:16" ht="15.75" customHeight="1">
      <c r="P249" s="62"/>
    </row>
    <row r="250" spans="16:16" ht="15.75" customHeight="1">
      <c r="P250" s="62"/>
    </row>
    <row r="251" spans="16:16" ht="15.75" customHeight="1">
      <c r="P251" s="62"/>
    </row>
    <row r="252" spans="16:16" ht="15.75" customHeight="1">
      <c r="P252" s="62"/>
    </row>
    <row r="253" spans="16:16" ht="15.75" customHeight="1">
      <c r="P253" s="62"/>
    </row>
    <row r="254" spans="16:16" ht="15.75" customHeight="1">
      <c r="P254" s="62"/>
    </row>
    <row r="255" spans="16:16" ht="15.75" customHeight="1">
      <c r="P255" s="62"/>
    </row>
    <row r="256" spans="16:16" ht="15.75" customHeight="1">
      <c r="P256" s="62"/>
    </row>
    <row r="257" spans="16:16" ht="15.75" customHeight="1">
      <c r="P257" s="62"/>
    </row>
    <row r="258" spans="16:16" ht="15.75" customHeight="1">
      <c r="P258" s="62"/>
    </row>
    <row r="259" spans="16:16" ht="15.75" customHeight="1">
      <c r="P259" s="62"/>
    </row>
    <row r="260" spans="16:16" ht="15.75" customHeight="1">
      <c r="P260" s="62"/>
    </row>
    <row r="261" spans="16:16" ht="15.75" customHeight="1">
      <c r="P261" s="62"/>
    </row>
    <row r="262" spans="16:16" ht="15.75" customHeight="1">
      <c r="P262" s="62"/>
    </row>
    <row r="263" spans="16:16" ht="15.75" customHeight="1">
      <c r="P263" s="62"/>
    </row>
    <row r="264" spans="16:16" ht="15.75" customHeight="1">
      <c r="P264" s="62"/>
    </row>
    <row r="265" spans="16:16" ht="15.75" customHeight="1"/>
    <row r="266" spans="16:16" ht="15.75" customHeight="1"/>
    <row r="267" spans="16:16" ht="15.75" customHeight="1"/>
    <row r="268" spans="16:16" ht="15.75" customHeight="1"/>
    <row r="269" spans="16:16" ht="15.75" customHeight="1"/>
    <row r="270" spans="16:16" ht="15.75" customHeight="1"/>
    <row r="271" spans="16:16" ht="15.75" customHeight="1"/>
    <row r="272" spans="16:1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9">
    <mergeCell ref="G9:L9"/>
    <mergeCell ref="M9:N9"/>
    <mergeCell ref="O9:S9"/>
    <mergeCell ref="B10:F10"/>
    <mergeCell ref="G10:L10"/>
    <mergeCell ref="M10:N10"/>
    <mergeCell ref="O10:S10"/>
    <mergeCell ref="C29:F29"/>
    <mergeCell ref="C30:F30"/>
    <mergeCell ref="R28:T28"/>
    <mergeCell ref="R29:T29"/>
    <mergeCell ref="R21:T21"/>
    <mergeCell ref="R22:T22"/>
    <mergeCell ref="R23:T23"/>
    <mergeCell ref="R24:T24"/>
    <mergeCell ref="R25:T25"/>
    <mergeCell ref="R26:T26"/>
    <mergeCell ref="R27:T27"/>
    <mergeCell ref="B22:B24"/>
    <mergeCell ref="C22:F22"/>
    <mergeCell ref="C23:F23"/>
    <mergeCell ref="C24:F24"/>
    <mergeCell ref="M16:P16"/>
    <mergeCell ref="M17:P1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5:F46"/>
    <mergeCell ref="B47:F47"/>
    <mergeCell ref="B48:F48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5:K45"/>
    <mergeCell ref="H46:K46"/>
    <mergeCell ref="H47:K47"/>
    <mergeCell ref="H48:K48"/>
    <mergeCell ref="C51:K51"/>
    <mergeCell ref="C53:F54"/>
    <mergeCell ref="G53:K53"/>
    <mergeCell ref="G54:I54"/>
    <mergeCell ref="J54:K54"/>
    <mergeCell ref="C57:F57"/>
    <mergeCell ref="C59:F63"/>
    <mergeCell ref="G59:L63"/>
    <mergeCell ref="C64:N64"/>
    <mergeCell ref="G55:I55"/>
    <mergeCell ref="J55:K55"/>
    <mergeCell ref="C56:F56"/>
    <mergeCell ref="G56:I56"/>
    <mergeCell ref="J56:K56"/>
    <mergeCell ref="G57:I57"/>
    <mergeCell ref="J57:K57"/>
    <mergeCell ref="B4:T5"/>
    <mergeCell ref="G7:L7"/>
    <mergeCell ref="M7:N8"/>
    <mergeCell ref="O7:S8"/>
    <mergeCell ref="T7:T13"/>
    <mergeCell ref="V7:W12"/>
    <mergeCell ref="M11:S11"/>
    <mergeCell ref="V13:W15"/>
    <mergeCell ref="G15:K15"/>
    <mergeCell ref="L15:P15"/>
    <mergeCell ref="Q15:T15"/>
    <mergeCell ref="B11:F11"/>
    <mergeCell ref="G11:K11"/>
    <mergeCell ref="B13:F13"/>
    <mergeCell ref="G13:S13"/>
    <mergeCell ref="B7:F7"/>
    <mergeCell ref="B12:F12"/>
    <mergeCell ref="B15:B16"/>
    <mergeCell ref="C15:F16"/>
    <mergeCell ref="H16:K16"/>
    <mergeCell ref="R16:T16"/>
    <mergeCell ref="B8:F8"/>
    <mergeCell ref="G8:L8"/>
    <mergeCell ref="B9:F9"/>
    <mergeCell ref="M24:P24"/>
    <mergeCell ref="C20:F20"/>
    <mergeCell ref="C21:F21"/>
    <mergeCell ref="B17:B18"/>
    <mergeCell ref="C17:F17"/>
    <mergeCell ref="B19:B21"/>
    <mergeCell ref="R17:T17"/>
    <mergeCell ref="C18:F18"/>
    <mergeCell ref="C19:F19"/>
    <mergeCell ref="M18:P18"/>
    <mergeCell ref="R18:T18"/>
    <mergeCell ref="M19:P19"/>
    <mergeCell ref="R19:T19"/>
    <mergeCell ref="R20:T20"/>
    <mergeCell ref="M20:P20"/>
    <mergeCell ref="M21:P21"/>
    <mergeCell ref="M22:P22"/>
    <mergeCell ref="M23:P23"/>
    <mergeCell ref="M25:P25"/>
    <mergeCell ref="M26:P26"/>
    <mergeCell ref="M33:P33"/>
    <mergeCell ref="R33:T33"/>
    <mergeCell ref="N57:O57"/>
    <mergeCell ref="P57:Q57"/>
    <mergeCell ref="L55:M55"/>
    <mergeCell ref="N55:O55"/>
    <mergeCell ref="P55:Q55"/>
    <mergeCell ref="L56:M56"/>
    <mergeCell ref="N56:O56"/>
    <mergeCell ref="P56:Q56"/>
    <mergeCell ref="L57:M57"/>
    <mergeCell ref="R31:T31"/>
    <mergeCell ref="R32:T32"/>
    <mergeCell ref="M27:P27"/>
    <mergeCell ref="M28:P28"/>
    <mergeCell ref="M29:P29"/>
    <mergeCell ref="M30:P30"/>
    <mergeCell ref="R30:T30"/>
    <mergeCell ref="M31:P31"/>
    <mergeCell ref="M32:P32"/>
    <mergeCell ref="M34:P34"/>
    <mergeCell ref="R34:T34"/>
    <mergeCell ref="M35:P35"/>
    <mergeCell ref="R35:T35"/>
    <mergeCell ref="M36:P36"/>
    <mergeCell ref="R36:T36"/>
    <mergeCell ref="R37:T37"/>
    <mergeCell ref="M37:P37"/>
    <mergeCell ref="M38:P38"/>
    <mergeCell ref="M39:P39"/>
    <mergeCell ref="M40:P40"/>
    <mergeCell ref="R38:T38"/>
    <mergeCell ref="R39:T39"/>
    <mergeCell ref="R40:T40"/>
    <mergeCell ref="R41:T41"/>
    <mergeCell ref="R42:T42"/>
    <mergeCell ref="Q45:T45"/>
    <mergeCell ref="R46:T46"/>
    <mergeCell ref="M46:P46"/>
    <mergeCell ref="M47:P47"/>
    <mergeCell ref="L53:O53"/>
    <mergeCell ref="P53:Q54"/>
    <mergeCell ref="L54:M54"/>
    <mergeCell ref="N54:O54"/>
    <mergeCell ref="M41:P41"/>
    <mergeCell ref="M42:P42"/>
    <mergeCell ref="L45:P45"/>
    <mergeCell ref="R47:T47"/>
    <mergeCell ref="R48:T48"/>
    <mergeCell ref="M48:P48"/>
  </mergeCells>
  <printOptions horizontalCentered="1"/>
  <pageMargins left="0.11811023622047245" right="0.11811023622047245" top="0.11811023622047245" bottom="0.11811023622047245" header="0" footer="0"/>
  <pageSetup paperSize="9" scale="4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showGridLines="0" topLeftCell="B24" zoomScale="44" zoomScaleNormal="44" workbookViewId="0">
      <selection activeCell="W18" sqref="W18"/>
    </sheetView>
  </sheetViews>
  <sheetFormatPr baseColWidth="10" defaultColWidth="12.59765625" defaultRowHeight="15" customHeight="1"/>
  <cols>
    <col min="1" max="1" width="9.765625E-2" hidden="1" customWidth="1"/>
    <col min="2" max="2" width="8" customWidth="1"/>
    <col min="3" max="3" width="5.59765625" customWidth="1"/>
    <col min="4" max="4" width="6.09765625" customWidth="1"/>
    <col min="5" max="5" width="4.69921875" customWidth="1"/>
    <col min="6" max="6" width="6.69921875" customWidth="1"/>
    <col min="7" max="7" width="18.69921875" customWidth="1"/>
    <col min="8" max="8" width="1.69921875" customWidth="1"/>
    <col min="9" max="9" width="7.59765625" customWidth="1"/>
    <col min="10" max="10" width="8.19921875" customWidth="1"/>
    <col min="11" max="11" width="20.8984375" customWidth="1"/>
    <col min="12" max="12" width="20.59765625" customWidth="1"/>
    <col min="13" max="13" width="13.69921875" customWidth="1"/>
    <col min="14" max="14" width="9.5" customWidth="1"/>
    <col min="15" max="16" width="13.69921875" customWidth="1"/>
    <col min="17" max="17" width="14" customWidth="1"/>
    <col min="18" max="18" width="18.5" customWidth="1"/>
    <col min="19" max="19" width="19.19921875" customWidth="1"/>
    <col min="20" max="20" width="2.3984375" customWidth="1"/>
    <col min="21" max="21" width="3.09765625" customWidth="1"/>
    <col min="22" max="22" width="7.59765625" customWidth="1"/>
    <col min="23" max="23" width="15.59765625" customWidth="1"/>
    <col min="24" max="24" width="20.59765625" customWidth="1"/>
  </cols>
  <sheetData>
    <row r="1" spans="1:24" ht="3.75" hidden="1" customHeight="1">
      <c r="A1" s="6">
        <v>0</v>
      </c>
      <c r="B1" s="6" t="s">
        <v>590</v>
      </c>
    </row>
    <row r="2" spans="1:24" ht="1.5" hidden="1" customHeight="1">
      <c r="B2" s="143" t="s">
        <v>590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24" ht="15" customHeigh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X3" s="6">
        <v>4</v>
      </c>
    </row>
    <row r="4" spans="1:24" ht="15" customHeight="1">
      <c r="B4" s="241" t="s">
        <v>591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</row>
    <row r="5" spans="1:24" ht="15" customHeight="1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</row>
    <row r="7" spans="1:24" ht="15.75" customHeight="1">
      <c r="B7" s="249" t="s">
        <v>592</v>
      </c>
      <c r="C7" s="190"/>
      <c r="D7" s="190"/>
      <c r="E7" s="190"/>
      <c r="F7" s="191"/>
      <c r="G7" s="242" t="s">
        <v>593</v>
      </c>
      <c r="H7" s="190"/>
      <c r="I7" s="190"/>
      <c r="J7" s="190"/>
      <c r="K7" s="190"/>
      <c r="L7" s="191"/>
      <c r="M7" s="243" t="s">
        <v>594</v>
      </c>
      <c r="N7" s="218"/>
      <c r="O7" s="223" t="s">
        <v>595</v>
      </c>
      <c r="P7" s="204"/>
      <c r="Q7" s="204"/>
      <c r="R7" s="218"/>
      <c r="S7" s="244"/>
      <c r="U7" s="6"/>
      <c r="V7" s="245">
        <v>13</v>
      </c>
      <c r="W7" s="218"/>
    </row>
    <row r="8" spans="1:24" ht="15.75" customHeight="1">
      <c r="B8" s="249" t="s">
        <v>596</v>
      </c>
      <c r="C8" s="190"/>
      <c r="D8" s="190"/>
      <c r="E8" s="190"/>
      <c r="F8" s="191"/>
      <c r="G8" s="254" t="s">
        <v>597</v>
      </c>
      <c r="H8" s="190"/>
      <c r="I8" s="190"/>
      <c r="J8" s="190"/>
      <c r="K8" s="190"/>
      <c r="L8" s="191"/>
      <c r="M8" s="219"/>
      <c r="N8" s="221"/>
      <c r="O8" s="224"/>
      <c r="P8" s="210"/>
      <c r="Q8" s="210"/>
      <c r="R8" s="184"/>
      <c r="S8" s="186"/>
      <c r="U8" s="6"/>
      <c r="V8" s="224"/>
      <c r="W8" s="184"/>
    </row>
    <row r="9" spans="1:24" ht="15.75" customHeight="1">
      <c r="B9" s="249" t="s">
        <v>654</v>
      </c>
      <c r="C9" s="190"/>
      <c r="D9" s="190"/>
      <c r="E9" s="190"/>
      <c r="F9" s="191"/>
      <c r="G9" s="242" t="s">
        <v>599</v>
      </c>
      <c r="H9" s="190"/>
      <c r="I9" s="190"/>
      <c r="J9" s="190"/>
      <c r="K9" s="190"/>
      <c r="L9" s="191"/>
      <c r="M9" s="251" t="s">
        <v>600</v>
      </c>
      <c r="N9" s="191"/>
      <c r="O9" s="274" t="s">
        <v>655</v>
      </c>
      <c r="P9" s="190"/>
      <c r="Q9" s="190"/>
      <c r="R9" s="191"/>
      <c r="S9" s="186"/>
      <c r="U9" s="6"/>
      <c r="V9" s="224"/>
      <c r="W9" s="184"/>
    </row>
    <row r="10" spans="1:24" ht="15.75" customHeight="1">
      <c r="B10" s="249" t="s">
        <v>601</v>
      </c>
      <c r="C10" s="190"/>
      <c r="D10" s="190"/>
      <c r="E10" s="190"/>
      <c r="F10" s="190"/>
      <c r="G10" s="265" t="str">
        <f>+'1°B'!D7</f>
        <v>1°</v>
      </c>
      <c r="H10" s="220"/>
      <c r="I10" s="220"/>
      <c r="J10" s="220"/>
      <c r="K10" s="220"/>
      <c r="L10" s="221"/>
      <c r="M10" s="266" t="s">
        <v>602</v>
      </c>
      <c r="N10" s="191"/>
      <c r="O10" s="267" t="str">
        <f>+'1°B'!D8</f>
        <v>B</v>
      </c>
      <c r="P10" s="190"/>
      <c r="Q10" s="190"/>
      <c r="R10" s="191"/>
      <c r="S10" s="186"/>
      <c r="U10" s="6"/>
      <c r="V10" s="224"/>
      <c r="W10" s="184"/>
    </row>
    <row r="11" spans="1:24" ht="15.75" customHeight="1">
      <c r="B11" s="249" t="s">
        <v>603</v>
      </c>
      <c r="C11" s="190"/>
      <c r="D11" s="190"/>
      <c r="E11" s="190"/>
      <c r="F11" s="191"/>
      <c r="G11" s="250"/>
      <c r="H11" s="190"/>
      <c r="I11" s="190"/>
      <c r="J11" s="190"/>
      <c r="K11" s="191"/>
      <c r="L11" s="144" t="s">
        <v>604</v>
      </c>
      <c r="M11" s="246"/>
      <c r="N11" s="190"/>
      <c r="O11" s="190"/>
      <c r="P11" s="190"/>
      <c r="Q11" s="190"/>
      <c r="R11" s="191"/>
      <c r="S11" s="186"/>
      <c r="U11" s="6"/>
      <c r="V11" s="224"/>
      <c r="W11" s="184"/>
    </row>
    <row r="12" spans="1:24" ht="33.75" customHeight="1">
      <c r="B12" s="251" t="s">
        <v>605</v>
      </c>
      <c r="C12" s="190"/>
      <c r="D12" s="190"/>
      <c r="E12" s="190"/>
      <c r="F12" s="190"/>
      <c r="G12" s="163" t="str">
        <f>IFERROR(VLOOKUP(V7,'1°B'!A13:CA44,2,0),"")</f>
        <v xml:space="preserve">MALAFAYA </v>
      </c>
      <c r="H12" s="164"/>
      <c r="I12" s="164" t="str">
        <f>IFERROR(VLOOKUP(V7,'1°B'!A13:CA44,3,0),"")</f>
        <v xml:space="preserve">LINARES </v>
      </c>
      <c r="J12" s="164"/>
      <c r="K12" s="164" t="str">
        <f>IFERROR(VLOOKUP(V7,'1°B'!A13:CA44,4,0),"")</f>
        <v>DEYVIS</v>
      </c>
      <c r="L12" s="146"/>
      <c r="M12" s="146"/>
      <c r="N12" s="146"/>
      <c r="O12" s="146"/>
      <c r="P12" s="146"/>
      <c r="Q12" s="146"/>
      <c r="R12" s="147"/>
      <c r="S12" s="186"/>
      <c r="U12" s="6"/>
      <c r="V12" s="219"/>
      <c r="W12" s="221"/>
    </row>
    <row r="13" spans="1:24" ht="33.75" customHeight="1">
      <c r="B13" s="251" t="s">
        <v>606</v>
      </c>
      <c r="C13" s="190"/>
      <c r="D13" s="190"/>
      <c r="E13" s="190"/>
      <c r="F13" s="191"/>
      <c r="G13" s="249" t="str">
        <f>+'1°B'!C10</f>
        <v>PROF. PAULA MIROSLAVA CHÁVEZ GÁRATE</v>
      </c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  <c r="S13" s="187"/>
      <c r="U13" s="6"/>
      <c r="V13" s="268" t="s">
        <v>656</v>
      </c>
      <c r="W13" s="269"/>
    </row>
    <row r="14" spans="1:24" ht="15" customHeight="1">
      <c r="U14" s="6"/>
      <c r="V14" s="270"/>
      <c r="W14" s="271"/>
    </row>
    <row r="15" spans="1:24" ht="68.25" customHeight="1">
      <c r="B15" s="252" t="s">
        <v>608</v>
      </c>
      <c r="C15" s="253" t="s">
        <v>609</v>
      </c>
      <c r="D15" s="204"/>
      <c r="E15" s="204"/>
      <c r="F15" s="204"/>
      <c r="G15" s="233" t="s">
        <v>610</v>
      </c>
      <c r="H15" s="190"/>
      <c r="I15" s="190"/>
      <c r="J15" s="190"/>
      <c r="K15" s="190"/>
      <c r="L15" s="233" t="s">
        <v>611</v>
      </c>
      <c r="M15" s="190"/>
      <c r="N15" s="190"/>
      <c r="O15" s="191"/>
      <c r="P15" s="248" t="s">
        <v>612</v>
      </c>
      <c r="Q15" s="204"/>
      <c r="R15" s="204"/>
      <c r="S15" s="218"/>
      <c r="U15" s="6"/>
      <c r="V15" s="272"/>
      <c r="W15" s="273"/>
    </row>
    <row r="16" spans="1:24" ht="57.75" customHeight="1">
      <c r="B16" s="187"/>
      <c r="C16" s="219"/>
      <c r="D16" s="220"/>
      <c r="E16" s="220"/>
      <c r="F16" s="220"/>
      <c r="G16" s="148" t="s">
        <v>613</v>
      </c>
      <c r="H16" s="229" t="s">
        <v>614</v>
      </c>
      <c r="I16" s="190"/>
      <c r="J16" s="190"/>
      <c r="K16" s="190"/>
      <c r="L16" s="148" t="s">
        <v>613</v>
      </c>
      <c r="M16" s="229" t="s">
        <v>614</v>
      </c>
      <c r="N16" s="190"/>
      <c r="O16" s="191"/>
      <c r="P16" s="14" t="s">
        <v>613</v>
      </c>
      <c r="Q16" s="229" t="s">
        <v>614</v>
      </c>
      <c r="R16" s="190"/>
      <c r="S16" s="191"/>
      <c r="U16" s="6"/>
      <c r="V16" s="165"/>
      <c r="W16" s="6"/>
    </row>
    <row r="17" spans="2:23" ht="158.25" customHeight="1">
      <c r="B17" s="239" t="s">
        <v>615</v>
      </c>
      <c r="C17" s="238" t="s">
        <v>616</v>
      </c>
      <c r="D17" s="190"/>
      <c r="E17" s="190"/>
      <c r="F17" s="190"/>
      <c r="G17" s="152" t="str">
        <f>IFERROR(VLOOKUP(V7,'1°B'!A13:CA44,6,0),"")</f>
        <v>B</v>
      </c>
      <c r="H17" s="229" t="str">
        <f>IFERROR(VLOOKUP(V7,'1°B'!A13:CA44,7,0),"")</f>
        <v>El estudiante esta en proceso de lograr la competencia</v>
      </c>
      <c r="I17" s="190"/>
      <c r="J17" s="190"/>
      <c r="K17" s="191"/>
      <c r="L17" s="152" t="str">
        <f>IFERROR(VLOOKUP($V$7,'1°B'!$A$41:$BY$53,6,0),"")</f>
        <v/>
      </c>
      <c r="M17" s="229" t="str">
        <f>IFERROR(VLOOKUP($V$7,'1°B'!$A$41:$BY$53,7,0),"")</f>
        <v/>
      </c>
      <c r="N17" s="190"/>
      <c r="O17" s="191"/>
      <c r="P17" s="149" t="str">
        <f>IFERROR(VLOOKUP($V$7,'1°B'!$A$70:$BY$120,6,0),"")</f>
        <v/>
      </c>
      <c r="Q17" s="229" t="str">
        <f>IFERROR(VLOOKUP($V$7,'1°B'!$A$70:$BY$120,7,0),"")</f>
        <v/>
      </c>
      <c r="R17" s="190"/>
      <c r="S17" s="191"/>
      <c r="U17" s="6"/>
      <c r="V17" s="165"/>
      <c r="W17" s="6"/>
    </row>
    <row r="18" spans="2:23" ht="162" customHeight="1">
      <c r="B18" s="187"/>
      <c r="C18" s="238" t="s">
        <v>617</v>
      </c>
      <c r="D18" s="190"/>
      <c r="E18" s="190"/>
      <c r="F18" s="190"/>
      <c r="G18" s="152" t="str">
        <f>IFERROR(VLOOKUP(V7,'1°B'!A13:CA44,8,0),"")</f>
        <v>B</v>
      </c>
      <c r="H18" s="229" t="str">
        <f>IFERROR(VLOOKUP(V7,'1°B'!A13:CA44,9,0),"")</f>
        <v>El estudiante esta en proceso de lograr la competencia</v>
      </c>
      <c r="I18" s="190"/>
      <c r="J18" s="190"/>
      <c r="K18" s="191"/>
      <c r="L18" s="152" t="str">
        <f>IFERROR(VLOOKUP($V$7,'1°B'!$A$41:$BY$53,8,0),"")</f>
        <v/>
      </c>
      <c r="M18" s="229" t="str">
        <f>IFERROR(VLOOKUP($V$7,'1°B'!$A$41:$BY$53,9,0),"")</f>
        <v/>
      </c>
      <c r="N18" s="190"/>
      <c r="O18" s="191"/>
      <c r="P18" s="149" t="str">
        <f>IFERROR(VLOOKUP($V$7,'1°B'!$A$70:$BY$120,8,0),"")</f>
        <v/>
      </c>
      <c r="Q18" s="229" t="str">
        <f>IFERROR(VLOOKUP($V$7,'1°B'!$A$70:$BY$120,9,0),"")</f>
        <v/>
      </c>
      <c r="R18" s="190"/>
      <c r="S18" s="191"/>
      <c r="U18" s="6"/>
      <c r="V18" s="165"/>
      <c r="W18" s="6"/>
    </row>
    <row r="19" spans="2:23" ht="145.5" customHeight="1">
      <c r="B19" s="240" t="s">
        <v>3</v>
      </c>
      <c r="C19" s="238" t="s">
        <v>618</v>
      </c>
      <c r="D19" s="190"/>
      <c r="E19" s="190"/>
      <c r="F19" s="190"/>
      <c r="G19" s="152" t="str">
        <f>IFERROR(VLOOKUP(V7,'1°B'!A13:CA44,11,0),"")</f>
        <v>B</v>
      </c>
      <c r="H19" s="229" t="str">
        <f>IFERROR(VLOOKUP(V7,'1°B'!A13:CA44,12,0),"")</f>
        <v xml:space="preserve">Está en proceso para lograr la competencia.  </v>
      </c>
      <c r="I19" s="190"/>
      <c r="J19" s="190"/>
      <c r="K19" s="190"/>
      <c r="L19" s="152" t="str">
        <f>IFERROR(VLOOKUP($V$7,'1°B'!$A$41:$BY$53,11,0),"")</f>
        <v/>
      </c>
      <c r="M19" s="229" t="str">
        <f>IFERROR(VLOOKUP($V$7,'1°B'!$A$41:$BY$53,12,0),"")</f>
        <v/>
      </c>
      <c r="N19" s="190"/>
      <c r="O19" s="191"/>
      <c r="P19" s="149" t="str">
        <f>IFERROR(VLOOKUP($V$7,'1°B'!$A$70:$BY$120,11,0),"")</f>
        <v/>
      </c>
      <c r="Q19" s="229" t="str">
        <f>IFERROR(VLOOKUP($V$7,'1°B'!$A$70:$BY$120,12,0),"")</f>
        <v/>
      </c>
      <c r="R19" s="190"/>
      <c r="S19" s="191"/>
      <c r="U19" s="6"/>
      <c r="V19" s="6"/>
      <c r="W19" s="6"/>
    </row>
    <row r="20" spans="2:23" ht="154.5" customHeight="1">
      <c r="B20" s="186"/>
      <c r="C20" s="238" t="s">
        <v>619</v>
      </c>
      <c r="D20" s="190"/>
      <c r="E20" s="190"/>
      <c r="F20" s="190"/>
      <c r="G20" s="152" t="str">
        <f>IFERROR(VLOOKUP(V7,'1°B'!A13:CA44,13,0),"")</f>
        <v>B</v>
      </c>
      <c r="H20" s="229" t="str">
        <f>IFERROR(VLOOKUP(V7,'1°B'!A13:CA44,14,0),"")</f>
        <v xml:space="preserve">Está en proceso para lograr la competencia.  </v>
      </c>
      <c r="I20" s="190"/>
      <c r="J20" s="190"/>
      <c r="K20" s="190"/>
      <c r="L20" s="152" t="str">
        <f>IFERROR(VLOOKUP($V$7,'1°B'!$A$41:$BY$53,13,0),"")</f>
        <v/>
      </c>
      <c r="M20" s="229" t="str">
        <f>IFERROR(VLOOKUP($V$7,'1°B'!$A$41:$BY$53,14,0),"")</f>
        <v/>
      </c>
      <c r="N20" s="190"/>
      <c r="O20" s="191"/>
      <c r="P20" s="149" t="str">
        <f>IFERROR(VLOOKUP($V$7,'1°B'!$A$70:$BY$120,13,0),"")</f>
        <v/>
      </c>
      <c r="Q20" s="229" t="str">
        <f>IFERROR(VLOOKUP($V$7,'1°B'!$A$70:$BY$120,14,0),"")</f>
        <v/>
      </c>
      <c r="R20" s="190"/>
      <c r="S20" s="191"/>
      <c r="U20" s="6"/>
      <c r="V20" s="6"/>
      <c r="W20" s="6"/>
    </row>
    <row r="21" spans="2:23" ht="168" customHeight="1">
      <c r="B21" s="187"/>
      <c r="C21" s="238" t="s">
        <v>620</v>
      </c>
      <c r="D21" s="190"/>
      <c r="E21" s="190"/>
      <c r="F21" s="190"/>
      <c r="G21" s="152" t="str">
        <f>IFERROR(VLOOKUP(V7,'1°B'!A13:CA44,15,0),"")</f>
        <v>A</v>
      </c>
      <c r="H21" s="229" t="str">
        <f>IFERROR(VLOOKUP(V7,'1°B'!A13:CA44,16,0),"")</f>
        <v>Demuestra un manejo satisfactorio de la competencia</v>
      </c>
      <c r="I21" s="190"/>
      <c r="J21" s="190"/>
      <c r="K21" s="190"/>
      <c r="L21" s="152" t="str">
        <f>IFERROR(VLOOKUP($V$7,'1°B'!$A$41:$BY$53,15,0),"")</f>
        <v/>
      </c>
      <c r="M21" s="229" t="str">
        <f>IFERROR(VLOOKUP($V$7,'1°B'!$A$41:$BY$53,16,0),"")</f>
        <v/>
      </c>
      <c r="N21" s="190"/>
      <c r="O21" s="191"/>
      <c r="P21" s="149" t="str">
        <f>IFERROR(VLOOKUP($V$7,'1°B'!$A$70:$BY$120,15,0),"")</f>
        <v/>
      </c>
      <c r="Q21" s="229" t="str">
        <f>IFERROR(VLOOKUP($V$7,'1°B'!$A$70:$BY$120,16,0),"")</f>
        <v/>
      </c>
      <c r="R21" s="190"/>
      <c r="S21" s="191"/>
    </row>
    <row r="22" spans="2:23" ht="137.25" customHeight="1">
      <c r="B22" s="240" t="s">
        <v>621</v>
      </c>
      <c r="C22" s="238" t="s">
        <v>622</v>
      </c>
      <c r="D22" s="190"/>
      <c r="E22" s="190"/>
      <c r="F22" s="190"/>
      <c r="G22" s="152" t="str">
        <f>IFERROR(VLOOKUP(V7,'1°B'!A13:CA44,18,0),"")</f>
        <v>B</v>
      </c>
      <c r="H22" s="229" t="str">
        <f>IFERROR(VLOOKUP(V7,'1°B'!A13:CA44,19,0),"")</f>
        <v>Demuestras interes en las practicas de velocidad y revelo, a seguir practicando</v>
      </c>
      <c r="I22" s="190"/>
      <c r="J22" s="190"/>
      <c r="K22" s="190"/>
      <c r="L22" s="152" t="str">
        <f>IFERROR(VLOOKUP($V$7,'1°B'!$A$41:$BY$53,18,0),"")</f>
        <v/>
      </c>
      <c r="M22" s="229" t="str">
        <f>IFERROR(VLOOKUP($V$7,'1°B'!$A$41:$BY$53,19,0),"")</f>
        <v/>
      </c>
      <c r="N22" s="190"/>
      <c r="O22" s="191"/>
      <c r="P22" s="149" t="str">
        <f>IFERROR(VLOOKUP($V$7,'1°B'!$A$70:$BY$120,18,0),"")</f>
        <v/>
      </c>
      <c r="Q22" s="229" t="str">
        <f>IFERROR(VLOOKUP($V$7,'1°B'!$A$70:$BY$120,19,0),"")</f>
        <v/>
      </c>
      <c r="R22" s="190"/>
      <c r="S22" s="191"/>
    </row>
    <row r="23" spans="2:23" ht="138.75" customHeight="1">
      <c r="B23" s="186"/>
      <c r="C23" s="238" t="s">
        <v>623</v>
      </c>
      <c r="D23" s="190"/>
      <c r="E23" s="190"/>
      <c r="F23" s="190"/>
      <c r="G23" s="152" t="str">
        <f>IFERROR(VLOOKUP(V7,'1°B'!A13:CA44,20,0),"")</f>
        <v>A</v>
      </c>
      <c r="H23" s="229" t="str">
        <f>IFERROR(VLOOKUP(V7,'1°B'!A13:CA44,21,0),"")</f>
        <v>nteractúas de manera positiva para mejorar el trabajo en equipo, dando soluciones en los juegos predeportivos aplicados al fútbol.</v>
      </c>
      <c r="I23" s="190"/>
      <c r="J23" s="190"/>
      <c r="K23" s="190"/>
      <c r="L23" s="152" t="str">
        <f>IFERROR(VLOOKUP($V$7,'1°B'!$A$41:$BY$53,20,0),"")</f>
        <v/>
      </c>
      <c r="M23" s="229" t="str">
        <f>IFERROR(VLOOKUP($V$7,'1°B'!$A$41:$BY$53,21,0),"")</f>
        <v/>
      </c>
      <c r="N23" s="190"/>
      <c r="O23" s="191"/>
      <c r="P23" s="149" t="str">
        <f>IFERROR(VLOOKUP($V$7,'1°B'!$A$70:$BY$120,20,0),"")</f>
        <v/>
      </c>
      <c r="Q23" s="229" t="str">
        <f>IFERROR(VLOOKUP($V$7,'1°B'!$A$70:$BY$120,21,0),"")</f>
        <v/>
      </c>
      <c r="R23" s="190"/>
      <c r="S23" s="191"/>
    </row>
    <row r="24" spans="2:23" ht="132.75" customHeight="1">
      <c r="B24" s="187"/>
      <c r="C24" s="238" t="s">
        <v>624</v>
      </c>
      <c r="D24" s="190"/>
      <c r="E24" s="190"/>
      <c r="F24" s="190"/>
      <c r="G24" s="152" t="str">
        <f>IFERROR(VLOOKUP(V7,'1°B'!A13:CA44,22,0),"")</f>
        <v>A</v>
      </c>
      <c r="H24" s="229" t="str">
        <f>IFERROR(VLOOKUP(V7,'1°B'!A13:CA44,23,0),"")</f>
        <v>Practicas con responsabilidad la técnica Fosbury Flop en el salto alto.</v>
      </c>
      <c r="I24" s="190"/>
      <c r="J24" s="190"/>
      <c r="K24" s="190"/>
      <c r="L24" s="152" t="str">
        <f>IFERROR(VLOOKUP($V$7,'1°B'!$A$41:$BY$53,22,0),"")</f>
        <v/>
      </c>
      <c r="M24" s="229" t="str">
        <f>IFERROR(VLOOKUP($V$7,'1°B'!$A$41:$BY$53,23,0),"")</f>
        <v/>
      </c>
      <c r="N24" s="190"/>
      <c r="O24" s="191"/>
      <c r="P24" s="149" t="str">
        <f>IFERROR(VLOOKUP($V$7,'1°B'!$A$70:$BY$120,22,0),"")</f>
        <v/>
      </c>
      <c r="Q24" s="229" t="str">
        <f>IFERROR(VLOOKUP($V$7,'1°B'!$A$70:$BY$120,23,0),"")</f>
        <v/>
      </c>
      <c r="R24" s="190"/>
      <c r="S24" s="191"/>
    </row>
    <row r="25" spans="2:23" ht="129" customHeight="1">
      <c r="B25" s="263" t="s">
        <v>4</v>
      </c>
      <c r="C25" s="238" t="s">
        <v>625</v>
      </c>
      <c r="D25" s="190"/>
      <c r="E25" s="190"/>
      <c r="F25" s="190"/>
      <c r="G25" s="152" t="str">
        <f>IFERROR(VLOOKUP(V7,'1°B'!A13:CA44,25,0),"")</f>
        <v>A</v>
      </c>
      <c r="H25" s="229" t="str">
        <f>IFERROR(VLOOKUP(V7,'1°B'!A13:CA44,26,0),"")</f>
        <v>APRECIA  LAS DIVERSAS FUNCIONES QUE A CUMPLIDO EL ART</v>
      </c>
      <c r="I25" s="190"/>
      <c r="J25" s="190"/>
      <c r="K25" s="190"/>
      <c r="L25" s="152" t="str">
        <f>IFERROR(VLOOKUP($V$7,'1°B'!$A$41:$BY$53,25,0),"")</f>
        <v/>
      </c>
      <c r="M25" s="229" t="str">
        <f>IFERROR(VLOOKUP($V$7,'1°B'!$A$41:$BY$53,26,0),"")</f>
        <v/>
      </c>
      <c r="N25" s="190"/>
      <c r="O25" s="191"/>
      <c r="P25" s="149" t="str">
        <f>IFERROR(VLOOKUP($V$7,'1°B'!$A$70:$BY$120,25,0),"")</f>
        <v/>
      </c>
      <c r="Q25" s="229" t="str">
        <f>IFERROR(VLOOKUP($V$7,'1°B'!$A$70:$BY$120,26,0),"")</f>
        <v/>
      </c>
      <c r="R25" s="190"/>
      <c r="S25" s="191"/>
    </row>
    <row r="26" spans="2:23" ht="145.5" customHeight="1">
      <c r="B26" s="187"/>
      <c r="C26" s="238" t="s">
        <v>626</v>
      </c>
      <c r="D26" s="190"/>
      <c r="E26" s="190"/>
      <c r="F26" s="190"/>
      <c r="G26" s="152" t="str">
        <f>IFERROR(VLOOKUP(V7,'1°B'!A13:CA44,27,0),"")</f>
        <v>A</v>
      </c>
      <c r="H26" s="229" t="str">
        <f>IFERROR(VLOOKUP(V7,'1°B'!A13:CA44,28,0),"")</f>
        <v>EL ESTUDIANTE ESTA EN PROCESO EN ESTA CAPACIDAD</v>
      </c>
      <c r="I26" s="190"/>
      <c r="J26" s="190"/>
      <c r="K26" s="190"/>
      <c r="L26" s="152" t="str">
        <f>IFERROR(VLOOKUP($V$7,'1°B'!$A$41:$BY$53,27,0),"")</f>
        <v/>
      </c>
      <c r="M26" s="229" t="str">
        <f>IFERROR(VLOOKUP($V$7,'1°B'!$A$41:$BY$53,28,0),"")</f>
        <v/>
      </c>
      <c r="N26" s="190"/>
      <c r="O26" s="191"/>
      <c r="P26" s="149" t="str">
        <f>IFERROR(VLOOKUP($V$7,'1°B'!$A$70:$BY$120,27,0),"")</f>
        <v/>
      </c>
      <c r="Q26" s="229" t="str">
        <f>IFERROR(VLOOKUP($V$7,'1°B'!$A$70:$BY$120,28,0),"")</f>
        <v/>
      </c>
      <c r="R26" s="190"/>
      <c r="S26" s="191"/>
    </row>
    <row r="27" spans="2:23" ht="150.75" customHeight="1">
      <c r="B27" s="240" t="s">
        <v>5</v>
      </c>
      <c r="C27" s="238" t="s">
        <v>627</v>
      </c>
      <c r="D27" s="190"/>
      <c r="E27" s="190"/>
      <c r="F27" s="190"/>
      <c r="G27" s="152" t="str">
        <f>IFERROR(VLOOKUP(V7,'1°B'!A13:CA44,30,0),"")</f>
        <v>C</v>
      </c>
      <c r="H27" s="229" t="str">
        <f>IFERROR(VLOOKUP(V7,'1°B'!A13:CA44,31,0),"")</f>
        <v>No logró la competencia esperada.</v>
      </c>
      <c r="I27" s="190"/>
      <c r="J27" s="190"/>
      <c r="K27" s="190"/>
      <c r="L27" s="152" t="str">
        <f>IFERROR(VLOOKUP($V$7,'1°B'!$A$41:$BY$53,30,0),"")</f>
        <v/>
      </c>
      <c r="M27" s="229" t="str">
        <f>IFERROR(VLOOKUP($V$7,'1°B'!$A$41:$BY$53,31,0),"")</f>
        <v/>
      </c>
      <c r="N27" s="190"/>
      <c r="O27" s="191"/>
      <c r="P27" s="149" t="str">
        <f>IFERROR(VLOOKUP($V$7,'1°B'!$A$70:$BY$120,30,0),"")</f>
        <v/>
      </c>
      <c r="Q27" s="229" t="str">
        <f>IFERROR(VLOOKUP($V$7,'1°B'!$A$70:$BY$120,31,0),"")</f>
        <v/>
      </c>
      <c r="R27" s="190"/>
      <c r="S27" s="191"/>
    </row>
    <row r="28" spans="2:23" ht="175.5" customHeight="1">
      <c r="B28" s="186"/>
      <c r="C28" s="238" t="s">
        <v>628</v>
      </c>
      <c r="D28" s="190"/>
      <c r="E28" s="190"/>
      <c r="F28" s="190"/>
      <c r="G28" s="152" t="str">
        <f>IFERROR(VLOOKUP(V7,'1°B'!A13:CA44,32,0),"")</f>
        <v>B</v>
      </c>
      <c r="H28" s="229" t="str">
        <f>IFERROR(VLOOKUP(V7,'1°B'!A13:CA44,33,0),"")</f>
        <v>Obtiene información relevante y complementaria, explica el tema y los subtemas, sin embargo falta argumentar y explicar el sentido del texto.</v>
      </c>
      <c r="I28" s="190"/>
      <c r="J28" s="190"/>
      <c r="K28" s="190"/>
      <c r="L28" s="152" t="str">
        <f>IFERROR(VLOOKUP($V$7,'1°B'!$A$41:$BY$53,32,0),"")</f>
        <v/>
      </c>
      <c r="M28" s="229" t="str">
        <f>IFERROR(VLOOKUP($V$7,'1°B'!$A$41:$BY$53,33,0),"")</f>
        <v/>
      </c>
      <c r="N28" s="190"/>
      <c r="O28" s="191"/>
      <c r="P28" s="149" t="str">
        <f>IFERROR(VLOOKUP($V$7,'1°B'!$A$70:$BY$120,32,0),"")</f>
        <v/>
      </c>
      <c r="Q28" s="229" t="str">
        <f>IFERROR(VLOOKUP($V$7,'1°B'!$A$70:$BY$120,33,0),"")</f>
        <v/>
      </c>
      <c r="R28" s="190"/>
      <c r="S28" s="191"/>
    </row>
    <row r="29" spans="2:23" ht="180.75" customHeight="1">
      <c r="B29" s="187"/>
      <c r="C29" s="238" t="s">
        <v>629</v>
      </c>
      <c r="D29" s="190"/>
      <c r="E29" s="190"/>
      <c r="F29" s="190"/>
      <c r="G29" s="152" t="str">
        <f>IFERROR(VLOOKUP(V7,'1°B'!A13:CA44,34,0),"")</f>
        <v>B</v>
      </c>
      <c r="H29" s="229" t="str">
        <f>IFERROR(VLOOKUP(V7,'1°B'!A13:CA44,35,0),"")</f>
        <v>Escribe sus ideas y las desarrolla en torno aún tema sin embargo falta claridad y orden así como el uso adecuado de conectores</v>
      </c>
      <c r="I29" s="190"/>
      <c r="J29" s="190"/>
      <c r="K29" s="190"/>
      <c r="L29" s="152" t="str">
        <f>IFERROR(VLOOKUP($V$7,'1°B'!$A$41:$BY$53,34,0),"")</f>
        <v/>
      </c>
      <c r="M29" s="229" t="str">
        <f>IFERROR(VLOOKUP($V$7,'1°B'!$A$41:$BY$53,35,0),"")</f>
        <v/>
      </c>
      <c r="N29" s="190"/>
      <c r="O29" s="191"/>
      <c r="P29" s="149" t="str">
        <f>IFERROR(VLOOKUP($V$7,'1°B'!$A$70:$BY$120,34,0),"")</f>
        <v/>
      </c>
      <c r="Q29" s="229" t="str">
        <f>IFERROR(VLOOKUP($V$7,'1°B'!$A$70:$BY$120,35,0),"")</f>
        <v/>
      </c>
      <c r="R29" s="190"/>
      <c r="S29" s="191"/>
    </row>
    <row r="30" spans="2:23" ht="173.25" customHeight="1">
      <c r="B30" s="240" t="s">
        <v>630</v>
      </c>
      <c r="C30" s="238" t="s">
        <v>631</v>
      </c>
      <c r="D30" s="190"/>
      <c r="E30" s="190"/>
      <c r="F30" s="190"/>
      <c r="G30" s="152" t="str">
        <f>IFERROR(VLOOKUP(V7,'1°B'!A13:CA44,37,0),"")</f>
        <v>B</v>
      </c>
      <c r="H30" s="229" t="str">
        <f>IFERROR(VLOOKUP(V7,'1°B'!A13:CA44,38,0),"")</f>
        <v>El estudiante  muestra necesidad en comunicarse en inglés. El volumen y la entonación en la pronunciación de las palabras requieren más tiempo de práctica</v>
      </c>
      <c r="I30" s="190"/>
      <c r="J30" s="190"/>
      <c r="K30" s="190"/>
      <c r="L30" s="152" t="str">
        <f>IFERROR(VLOOKUP($V$7,'1°B'!$A$41:$BY$53,37,0),"")</f>
        <v/>
      </c>
      <c r="M30" s="229" t="str">
        <f>IFERROR(VLOOKUP($V$7,'1°B'!$A$41:$BY$53,38,0),"")</f>
        <v/>
      </c>
      <c r="N30" s="190"/>
      <c r="O30" s="191"/>
      <c r="P30" s="149" t="str">
        <f>IFERROR(VLOOKUP($V$7,'1°B'!$A$70:$BY$120,37,0),"")</f>
        <v/>
      </c>
      <c r="Q30" s="229" t="str">
        <f>IFERROR(VLOOKUP($V$7,'1°B'!$A$70:$BY$120,38,0),"")</f>
        <v/>
      </c>
      <c r="R30" s="190"/>
      <c r="S30" s="191"/>
    </row>
    <row r="31" spans="2:23" ht="194.25" customHeight="1">
      <c r="B31" s="186"/>
      <c r="C31" s="238" t="s">
        <v>632</v>
      </c>
      <c r="D31" s="190"/>
      <c r="E31" s="190"/>
      <c r="F31" s="190"/>
      <c r="G31" s="152" t="str">
        <f>IFERROR(VLOOKUP(V7,'1°B'!A13:CA44,39,0),"")</f>
        <v>B</v>
      </c>
      <c r="H31" s="229" t="str">
        <f>IFERROR(VLOOKUP(V7,'1°B'!A13:CA44,40,0),"")</f>
        <v>El estudiante muestra necesidad en comprender los textos que lee en inglés, aún necesita reconocer relaciones lógicas (classroom language, all about me, my body) para comprenderlas.</v>
      </c>
      <c r="I31" s="190"/>
      <c r="J31" s="190"/>
      <c r="K31" s="190"/>
      <c r="L31" s="152" t="str">
        <f>IFERROR(VLOOKUP($V$7,'1°B'!$A$41:$BY$53,39,0),"")</f>
        <v/>
      </c>
      <c r="M31" s="229" t="str">
        <f>IFERROR(VLOOKUP($V$7,'1°B'!$A$41:$BY$53,40,0),"")</f>
        <v/>
      </c>
      <c r="N31" s="190"/>
      <c r="O31" s="191"/>
      <c r="P31" s="149" t="str">
        <f>IFERROR(VLOOKUP($V$7,'1°B'!$A$70:$BY$120,39,0),"")</f>
        <v/>
      </c>
      <c r="Q31" s="229" t="str">
        <f>IFERROR(VLOOKUP($V$7,'1°B'!$A$70:$BY$120,40,0),"")</f>
        <v/>
      </c>
      <c r="R31" s="190"/>
      <c r="S31" s="191"/>
    </row>
    <row r="32" spans="2:23" ht="190.5" customHeight="1">
      <c r="B32" s="187"/>
      <c r="C32" s="238" t="s">
        <v>633</v>
      </c>
      <c r="D32" s="190"/>
      <c r="E32" s="190"/>
      <c r="F32" s="190"/>
      <c r="G32" s="152" t="str">
        <f>IFERROR(VLOOKUP(V7,'1°B'!A13:CA44,41,0),"")</f>
        <v>A</v>
      </c>
      <c r="H32" s="229" t="str">
        <f>IFERROR(VLOOKUP(V7,'1°B'!A13:CA44,42,0),"")</f>
        <v xml:space="preserve">El estudiante escribe oraciones en inglés, relacionando sus ideas con vocabulario cotidiano y construcciones gramaticales simples. </v>
      </c>
      <c r="I32" s="190"/>
      <c r="J32" s="190"/>
      <c r="K32" s="190"/>
      <c r="L32" s="152" t="str">
        <f>IFERROR(VLOOKUP($V$7,'1°B'!$A$41:$BY$53,41,0),"")</f>
        <v/>
      </c>
      <c r="M32" s="229" t="str">
        <f>IFERROR(VLOOKUP($V$7,'1°B'!$A$41:$BY$53,42,0),"")</f>
        <v/>
      </c>
      <c r="N32" s="190"/>
      <c r="O32" s="191"/>
      <c r="P32" s="149" t="str">
        <f>IFERROR(VLOOKUP($V$7,'1°B'!$A$70:$BY$120,41,0),"")</f>
        <v/>
      </c>
      <c r="Q32" s="229" t="str">
        <f>IFERROR(VLOOKUP($V$7,'1°B'!$A$70:$BY$120,42,0),"")</f>
        <v/>
      </c>
      <c r="R32" s="190"/>
      <c r="S32" s="191"/>
    </row>
    <row r="33" spans="2:19" ht="180" customHeight="1">
      <c r="B33" s="240" t="s">
        <v>634</v>
      </c>
      <c r="C33" s="238" t="s">
        <v>635</v>
      </c>
      <c r="D33" s="190"/>
      <c r="E33" s="190"/>
      <c r="F33" s="190"/>
      <c r="G33" s="152" t="str">
        <f>IFERROR(VLOOKUP(V7,'1°B'!A13:CA44,44,0),"")</f>
        <v>B</v>
      </c>
      <c r="H33" s="229" t="str">
        <f>IFERROR(VLOOKUP(V7,'1°B'!A13:CA44,45,0),"")</f>
        <v>Tiene dificultades para resolver problemas de cantidad</v>
      </c>
      <c r="I33" s="190"/>
      <c r="J33" s="190"/>
      <c r="K33" s="190"/>
      <c r="L33" s="152" t="str">
        <f>IFERROR(VLOOKUP($V$7,'1°B'!$A$41:$BY$53,44,0),"")</f>
        <v/>
      </c>
      <c r="M33" s="229" t="str">
        <f>IFERROR(VLOOKUP($V$7,'1°B'!$A$41:$BY$53,45,0),"")</f>
        <v/>
      </c>
      <c r="N33" s="190"/>
      <c r="O33" s="191"/>
      <c r="P33" s="149" t="str">
        <f>IFERROR(VLOOKUP($V$7,'1°B'!$A$70:$BY$120,44,0),"")</f>
        <v/>
      </c>
      <c r="Q33" s="229" t="str">
        <f>IFERROR(VLOOKUP($V$7,'1°B'!$A$70:$BY$120,45,0),"")</f>
        <v/>
      </c>
      <c r="R33" s="190"/>
      <c r="S33" s="191"/>
    </row>
    <row r="34" spans="2:19" ht="185.25" customHeight="1">
      <c r="B34" s="186"/>
      <c r="C34" s="238" t="s">
        <v>636</v>
      </c>
      <c r="D34" s="190"/>
      <c r="E34" s="190"/>
      <c r="F34" s="190"/>
      <c r="G34" s="152" t="str">
        <f>IFERROR(VLOOKUP(V7,'1°B'!A13:CA44,46,0),"")</f>
        <v>B</v>
      </c>
      <c r="H34" s="229" t="str">
        <f>IFERROR(VLOOKUP(V7,'1°B'!A13:CA44,47,0),"")</f>
        <v>Tiene dificultades para resolver problemas de regularidad, equivalencia y cambio</v>
      </c>
      <c r="I34" s="190"/>
      <c r="J34" s="190"/>
      <c r="K34" s="190"/>
      <c r="L34" s="152" t="str">
        <f>IFERROR(VLOOKUP($V$7,'1°B'!$A$41:$BY$53,46,0),"")</f>
        <v/>
      </c>
      <c r="M34" s="229" t="str">
        <f>IFERROR(VLOOKUP($V$7,'1°B'!$A$41:$BY$53,47,0),"")</f>
        <v/>
      </c>
      <c r="N34" s="190"/>
      <c r="O34" s="191"/>
      <c r="P34" s="149" t="str">
        <f>IFERROR(VLOOKUP($V$7,'1°B'!$A$70:$BY$120,46,0),"")</f>
        <v/>
      </c>
      <c r="Q34" s="229" t="str">
        <f>IFERROR(VLOOKUP($V$7,'1°B'!$A$70:$BY$120,47,0),"")</f>
        <v/>
      </c>
      <c r="R34" s="190"/>
      <c r="S34" s="191"/>
    </row>
    <row r="35" spans="2:19" ht="199.5" customHeight="1">
      <c r="B35" s="186"/>
      <c r="C35" s="238" t="s">
        <v>637</v>
      </c>
      <c r="D35" s="190"/>
      <c r="E35" s="190"/>
      <c r="F35" s="190"/>
      <c r="G35" s="152" t="str">
        <f>IFERROR(VLOOKUP(V7,'1°B'!A13:CA44,48,0),"")</f>
        <v>B</v>
      </c>
      <c r="H35" s="229" t="str">
        <f>IFERROR(VLOOKUP(V7,'1°B'!A13:CA44,49,0),"")</f>
        <v>Tiene dificultades para resolver probemas de forma, movimiento y localización</v>
      </c>
      <c r="I35" s="190"/>
      <c r="J35" s="190"/>
      <c r="K35" s="190"/>
      <c r="L35" s="152" t="str">
        <f>IFERROR(VLOOKUP($V$7,'1°B'!$A$41:$BY$53,48,0),"")</f>
        <v/>
      </c>
      <c r="M35" s="229" t="str">
        <f>IFERROR(VLOOKUP($V$7,'1°B'!$A$41:$BY$53,49,0),"")</f>
        <v/>
      </c>
      <c r="N35" s="190"/>
      <c r="O35" s="191"/>
      <c r="P35" s="149" t="str">
        <f>IFERROR(VLOOKUP($V$7,'1°B'!$A$70:$BY$120,48,0),"")</f>
        <v/>
      </c>
      <c r="Q35" s="229" t="str">
        <f>IFERROR(VLOOKUP($V$7,'1°B'!$A$70:$BY$120,49,0),"")</f>
        <v/>
      </c>
      <c r="R35" s="190"/>
      <c r="S35" s="191"/>
    </row>
    <row r="36" spans="2:19" ht="199.5" customHeight="1">
      <c r="B36" s="187"/>
      <c r="C36" s="238" t="s">
        <v>638</v>
      </c>
      <c r="D36" s="190"/>
      <c r="E36" s="190"/>
      <c r="F36" s="190"/>
      <c r="G36" s="152" t="str">
        <f>IFERROR(VLOOKUP(V7,'1°B'!A13:CA44,50,0),"")</f>
        <v>B</v>
      </c>
      <c r="H36" s="229" t="str">
        <f>IFERROR(VLOOKUP(V7,'1°B'!A13:CA44,51,0),"")</f>
        <v>Tiene dificultades para resolver problemas de gestión de datos e incertidumbre</v>
      </c>
      <c r="I36" s="190"/>
      <c r="J36" s="190"/>
      <c r="K36" s="190"/>
      <c r="L36" s="152" t="str">
        <f>IFERROR(VLOOKUP($V$7,'1°B'!$A$41:$BY$53,50,0),"")</f>
        <v/>
      </c>
      <c r="M36" s="229" t="str">
        <f>IFERROR(VLOOKUP($V$7,'1°B'!$A$41:$BY$53,51,0),"")</f>
        <v/>
      </c>
      <c r="N36" s="190"/>
      <c r="O36" s="191"/>
      <c r="P36" s="149" t="str">
        <f>IFERROR(VLOOKUP($V$7,'1°B'!$A$70:$BY$120,50,0),"")</f>
        <v/>
      </c>
      <c r="Q36" s="229" t="str">
        <f>IFERROR(VLOOKUP($V$7,'1°B'!$A$70:$BY$120,51,0),"")</f>
        <v/>
      </c>
      <c r="R36" s="190"/>
      <c r="S36" s="191"/>
    </row>
    <row r="37" spans="2:19" ht="199.5" customHeight="1">
      <c r="B37" s="240" t="s">
        <v>639</v>
      </c>
      <c r="C37" s="238" t="s">
        <v>640</v>
      </c>
      <c r="D37" s="190"/>
      <c r="E37" s="190"/>
      <c r="F37" s="190"/>
      <c r="G37" s="152" t="str">
        <f>IFERROR(VLOOKUP(V7,'1°B'!A13:CA44,53,0),"")</f>
        <v>B</v>
      </c>
      <c r="H37" s="229" t="str">
        <f>IFERROR(VLOOKUP(V7,'1°B'!A13:CA44,54,0),"")</f>
        <v>Indaga a partir de preguntas e hipótesis que son verificables, presenta dificultad al identificar las variables y al plantear su hipótesis. Se sugiere mejorar algunas presiciones de las variables para plantear la hipótesis y recoger los datos de manera clara.</v>
      </c>
      <c r="I37" s="190"/>
      <c r="J37" s="190"/>
      <c r="K37" s="191"/>
      <c r="L37" s="152" t="str">
        <f>IFERROR(VLOOKUP($V$7,'1°B'!$A$41:$BY$53,53,0),"")</f>
        <v/>
      </c>
      <c r="M37" s="229" t="str">
        <f>IFERROR(VLOOKUP($V$7,'1°B'!$A$41:$BY$53,54,0),"")</f>
        <v/>
      </c>
      <c r="N37" s="190"/>
      <c r="O37" s="191"/>
      <c r="P37" s="149" t="str">
        <f>IFERROR(VLOOKUP($V$7,'1°B'!$A$70:$BY$120,53,0),"")</f>
        <v/>
      </c>
      <c r="Q37" s="229" t="str">
        <f>IFERROR(VLOOKUP($V$7,'1°B'!$A$70:$BY$120,54,0),"")</f>
        <v/>
      </c>
      <c r="R37" s="190"/>
      <c r="S37" s="191"/>
    </row>
    <row r="38" spans="2:19" ht="199.5" customHeight="1">
      <c r="B38" s="186"/>
      <c r="C38" s="238" t="s">
        <v>641</v>
      </c>
      <c r="D38" s="190"/>
      <c r="E38" s="190"/>
      <c r="F38" s="190"/>
      <c r="G38" s="152" t="str">
        <f>IFERROR(VLOOKUP(V7,'1°B'!A13:CA44,55,0),"")</f>
        <v>B</v>
      </c>
      <c r="H38" s="229" t="str">
        <f>IFERROR(VLOOKUP(V7,'1°B'!A13:CA44,56,0),"")</f>
        <v>Al explicar establece relaciones entre varios conceptos con respaldo y evidencia científica, los transfiere a nueva situaciones. Demuestra debilidad en defender su argumentación y postura. Pero, podrías esforzarte más.</v>
      </c>
      <c r="I38" s="190"/>
      <c r="J38" s="190"/>
      <c r="K38" s="190"/>
      <c r="L38" s="152" t="str">
        <f>IFERROR(VLOOKUP($V$7,'1°B'!$A$41:$BY$53,55,0),"")</f>
        <v/>
      </c>
      <c r="M38" s="229" t="str">
        <f>IFERROR(VLOOKUP($V$7,'1°B'!$A$41:$BY$53,56,0),"")</f>
        <v/>
      </c>
      <c r="N38" s="190"/>
      <c r="O38" s="191"/>
      <c r="P38" s="149" t="str">
        <f>IFERROR(VLOOKUP($V$7,'1°B'!$A$70:$BY$120,55,0),"")</f>
        <v/>
      </c>
      <c r="Q38" s="229" t="str">
        <f>IFERROR(VLOOKUP($V$7,'1°B'!$A$70:$BY$120,56,0),"")</f>
        <v/>
      </c>
      <c r="R38" s="190"/>
      <c r="S38" s="191"/>
    </row>
    <row r="39" spans="2:19" ht="199.5" customHeight="1">
      <c r="B39" s="187"/>
      <c r="C39" s="238" t="s">
        <v>642</v>
      </c>
      <c r="D39" s="190"/>
      <c r="E39" s="190"/>
      <c r="F39" s="190"/>
      <c r="G39" s="152" t="str">
        <f>IFERROR(VLOOKUP(V7,'1°B'!A13:CA44,57,0),"")</f>
        <v>A</v>
      </c>
      <c r="H39" s="229" t="str">
        <f>IFERROR(VLOOKUP(V7,'1°B'!A13:CA44,58,0),"")</f>
        <v>En la solución tecnológica propone alternativas, lo diseña, selecciona los materiales y herramientas, lo ejecuta, realiza sus ajustes y da a conocer los resultados de su alternativa de solución. !Sigue adelante!</v>
      </c>
      <c r="I39" s="190"/>
      <c r="J39" s="190"/>
      <c r="K39" s="190"/>
      <c r="L39" s="152" t="str">
        <f>IFERROR(VLOOKUP($V$7,'1°B'!$A$41:$BY$53,57,0),"")</f>
        <v/>
      </c>
      <c r="M39" s="229" t="str">
        <f>IFERROR(VLOOKUP($V$7,'1°B'!$A$41:$BY$53,58,0),"")</f>
        <v/>
      </c>
      <c r="N39" s="190"/>
      <c r="O39" s="191"/>
      <c r="P39" s="149" t="str">
        <f>IFERROR(VLOOKUP($V$7,'1°B'!$A$70:$BY$120,57,0),"")</f>
        <v/>
      </c>
      <c r="Q39" s="229" t="str">
        <f>IFERROR(VLOOKUP($V$7,'1°B'!$A$70:$BY$120,58,0),"")</f>
        <v/>
      </c>
      <c r="R39" s="190"/>
      <c r="S39" s="191"/>
    </row>
    <row r="40" spans="2:19" ht="199.5" customHeight="1">
      <c r="B40" s="240" t="s">
        <v>643</v>
      </c>
      <c r="C40" s="238" t="s">
        <v>644</v>
      </c>
      <c r="D40" s="190"/>
      <c r="E40" s="190"/>
      <c r="F40" s="190"/>
      <c r="G40" s="152" t="str">
        <f>IFERROR(VLOOKUP(V7,'1°B'!A13:CA44,60,0),"")</f>
        <v>B</v>
      </c>
      <c r="H40" s="229" t="str">
        <f>IFERROR(VLOOKUP(V7,'1°B'!A13:CA44,61,0),"")</f>
        <v xml:space="preserve">Ha expresado coherencia entre lo que cree, dice y hace en su compromiso personal con Dios por medio de la oración teniendo como ejemplo a Jesús. </v>
      </c>
      <c r="I40" s="190"/>
      <c r="J40" s="190"/>
      <c r="K40" s="190"/>
      <c r="L40" s="152" t="str">
        <f>IFERROR(VLOOKUP($V$7,'1°B'!$A$41:$BY$53,60,0),"")</f>
        <v/>
      </c>
      <c r="M40" s="229" t="str">
        <f>IFERROR(VLOOKUP($V$7,'1°B'!$A$41:$BY$53,61,0),"")</f>
        <v/>
      </c>
      <c r="N40" s="190"/>
      <c r="O40" s="191"/>
      <c r="P40" s="149" t="str">
        <f>IFERROR(VLOOKUP($V$7,'1°B'!$A$70:$BY$120,60,0),"")</f>
        <v/>
      </c>
      <c r="Q40" s="229" t="str">
        <f>IFERROR(VLOOKUP($V$7,'1°B'!$A$70:$BY$120,61,0),"")</f>
        <v/>
      </c>
      <c r="R40" s="190"/>
      <c r="S40" s="191"/>
    </row>
    <row r="41" spans="2:19" ht="199.5" customHeight="1">
      <c r="B41" s="187"/>
      <c r="C41" s="238" t="s">
        <v>645</v>
      </c>
      <c r="D41" s="190"/>
      <c r="E41" s="190"/>
      <c r="F41" s="190"/>
      <c r="G41" s="152" t="str">
        <f>IFERROR(VLOOKUP(V7,'1°B'!A13:CA44,62,0),"")</f>
        <v>B</v>
      </c>
      <c r="H41" s="229" t="str">
        <f>IFERROR(VLOOKUP(V7,'1°B'!A13:CA44,63,0),"")</f>
        <v>Ha logardo argumentar y comprender el Plan de Salvación descrito en la Biblia a partir del cumplimiento de la promesa de Salvación.</v>
      </c>
      <c r="I41" s="190"/>
      <c r="J41" s="190"/>
      <c r="K41" s="190"/>
      <c r="L41" s="152" t="str">
        <f>IFERROR(VLOOKUP($V$7,'1°B'!$A$41:$BY$53,62,0),"")</f>
        <v/>
      </c>
      <c r="M41" s="229" t="str">
        <f>IFERROR(VLOOKUP($V$7,'1°B'!$A$41:$BY$53,63,0),"")</f>
        <v/>
      </c>
      <c r="N41" s="190"/>
      <c r="O41" s="191"/>
      <c r="P41" s="149" t="str">
        <f>IFERROR(VLOOKUP($V$7,'1°B'!$A$70:$BY$120,62,0),"")</f>
        <v/>
      </c>
      <c r="Q41" s="229" t="str">
        <f>IFERROR(VLOOKUP($V$7,'1°B'!$A$70:$BY$120,63,0),"")</f>
        <v/>
      </c>
      <c r="R41" s="190"/>
      <c r="S41" s="191"/>
    </row>
    <row r="42" spans="2:19" ht="199.5" customHeight="1">
      <c r="B42" s="153" t="s">
        <v>646</v>
      </c>
      <c r="C42" s="238" t="s">
        <v>647</v>
      </c>
      <c r="D42" s="190"/>
      <c r="E42" s="190"/>
      <c r="F42" s="190"/>
      <c r="G42" s="152" t="str">
        <f>IFERROR(VLOOKUP(V7,'1°B'!A13:CA44,65,0),"")</f>
        <v>B</v>
      </c>
      <c r="H42" s="229" t="str">
        <f>IFERROR(VLOOKUP(V7,'1°B'!A13:CA44,66,0),"")</f>
        <v>GESTIONA PROYECTOS DE EMPRENDIMIENTO ECONÓMICA O SOCIAL, SIN EMBARGO, TIENE DIFICULTADES AL MOMENTO DE EVALUAR LOS LOGROS Y REALIZAR MEJORAS A SUS PROPUESTAS DE PROYECTO.</v>
      </c>
      <c r="I42" s="190"/>
      <c r="J42" s="190"/>
      <c r="K42" s="190"/>
      <c r="L42" s="152" t="str">
        <f>IFERROR(VLOOKUP($V$7,'1°B'!$A$41:$BY$53,65,0),"")</f>
        <v/>
      </c>
      <c r="M42" s="229" t="str">
        <f>IFERROR(VLOOKUP($V$7,'1°B'!$A$41:$BY$53,66,0),"")</f>
        <v/>
      </c>
      <c r="N42" s="190"/>
      <c r="O42" s="191"/>
      <c r="P42" s="149" t="str">
        <f>IFERROR(VLOOKUP($V$7,'1°B'!$A$70:$BY$120,65,0),"")</f>
        <v/>
      </c>
      <c r="Q42" s="229" t="str">
        <f>IFERROR(VLOOKUP($V$7,'1°B'!$A$70:$BY$120,66,0),"")</f>
        <v/>
      </c>
      <c r="R42" s="190"/>
      <c r="S42" s="191"/>
    </row>
    <row r="43" spans="2:19" ht="15.75" customHeight="1">
      <c r="B43" s="6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</row>
    <row r="44" spans="2:19" ht="15.75" customHeight="1"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</row>
    <row r="45" spans="2:19" ht="23.25" customHeight="1">
      <c r="B45" s="262" t="s">
        <v>11</v>
      </c>
      <c r="C45" s="204"/>
      <c r="D45" s="204"/>
      <c r="E45" s="204"/>
      <c r="F45" s="204"/>
      <c r="G45" s="230" t="s">
        <v>610</v>
      </c>
      <c r="H45" s="190"/>
      <c r="I45" s="190"/>
      <c r="J45" s="190"/>
      <c r="K45" s="191"/>
      <c r="L45" s="230" t="s">
        <v>611</v>
      </c>
      <c r="M45" s="190"/>
      <c r="N45" s="190"/>
      <c r="O45" s="190"/>
      <c r="P45" s="230" t="s">
        <v>612</v>
      </c>
      <c r="Q45" s="190"/>
      <c r="R45" s="190"/>
      <c r="S45" s="191"/>
    </row>
    <row r="46" spans="2:19" ht="53.25" customHeight="1">
      <c r="B46" s="219"/>
      <c r="C46" s="220"/>
      <c r="D46" s="220"/>
      <c r="E46" s="220"/>
      <c r="F46" s="220"/>
      <c r="G46" s="154" t="s">
        <v>613</v>
      </c>
      <c r="H46" s="232" t="s">
        <v>614</v>
      </c>
      <c r="I46" s="190"/>
      <c r="J46" s="190"/>
      <c r="K46" s="191"/>
      <c r="L46" s="154" t="s">
        <v>613</v>
      </c>
      <c r="M46" s="232" t="s">
        <v>614</v>
      </c>
      <c r="N46" s="190"/>
      <c r="O46" s="190"/>
      <c r="P46" s="154" t="s">
        <v>613</v>
      </c>
      <c r="Q46" s="232" t="s">
        <v>614</v>
      </c>
      <c r="R46" s="190"/>
      <c r="S46" s="191"/>
    </row>
    <row r="47" spans="2:19" ht="108.75" customHeight="1">
      <c r="B47" s="232" t="s">
        <v>648</v>
      </c>
      <c r="C47" s="190"/>
      <c r="D47" s="190"/>
      <c r="E47" s="190"/>
      <c r="F47" s="190"/>
      <c r="G47" s="152" t="str">
        <f>IFERROR(VLOOKUP(V7,'1°B'!A13:CA44,68,0),"")</f>
        <v>A</v>
      </c>
      <c r="H47" s="229" t="str">
        <f>IFERROR(VLOOKUP(V7,'1°B'!A13:CA44,69,0),"")</f>
        <v>Te desenvuelves en el campo virtual, desarrollando conocimientos actitudes y valores para elevar el nivel de tus aprendizajes.</v>
      </c>
      <c r="I47" s="190"/>
      <c r="J47" s="190"/>
      <c r="K47" s="190"/>
      <c r="L47" s="156" t="str">
        <f>IFERROR(VLOOKUP($V$7,'1°B'!$A$41:$BY$53,68,0),"")</f>
        <v/>
      </c>
      <c r="M47" s="229" t="str">
        <f>IFERROR(VLOOKUP($V$7,'1°B'!$A$41:$BY$53,69,0),"")</f>
        <v/>
      </c>
      <c r="N47" s="190"/>
      <c r="O47" s="191"/>
      <c r="P47" s="166" t="str">
        <f>IFERROR(VLOOKUP($V$7,'1°B'!$A$70:$BY$120,68,0),"")</f>
        <v/>
      </c>
      <c r="Q47" s="229" t="str">
        <f>IFERROR(VLOOKUP($V$7,'1°B'!$A$70:$BY$120,69,0),"")</f>
        <v/>
      </c>
      <c r="R47" s="190"/>
      <c r="S47" s="191"/>
    </row>
    <row r="48" spans="2:19" ht="112.5" customHeight="1">
      <c r="B48" s="232" t="s">
        <v>649</v>
      </c>
      <c r="C48" s="190"/>
      <c r="D48" s="190"/>
      <c r="E48" s="190"/>
      <c r="F48" s="190"/>
      <c r="G48" s="152" t="str">
        <f>IFERROR(VLOOKUP(V7,'1°B'!A13:CA44,70,0),"")</f>
        <v>B</v>
      </c>
      <c r="H48" s="229" t="str">
        <f>IFERROR(VLOOKUP(V7,'1°B'!A13:CA44,71,0),"")</f>
        <v>Gestionas aprendizajes, pero tienes que involucrarte más para lograr objetivos claros en el proceso de aprendizajes</v>
      </c>
      <c r="I48" s="190"/>
      <c r="J48" s="190"/>
      <c r="K48" s="190"/>
      <c r="L48" s="156" t="str">
        <f>IFERROR(VLOOKUP($V$7,'1°B'!$A$41:$BY$53,70,0),"")</f>
        <v/>
      </c>
      <c r="M48" s="229" t="str">
        <f>IFERROR(VLOOKUP($V$7,'1°B'!$A$41:$BY$53,71,0),"")</f>
        <v/>
      </c>
      <c r="N48" s="190"/>
      <c r="O48" s="191"/>
      <c r="P48" s="157" t="str">
        <f>IFERROR(VLOOKUP($V$7,'1°B'!$A$70:$BY$120,70,0),"")</f>
        <v/>
      </c>
      <c r="Q48" s="229" t="str">
        <f>IFERROR(VLOOKUP($V$7,'1°B'!$A$70:$BY$120,71,0),"")</f>
        <v/>
      </c>
      <c r="R48" s="190"/>
      <c r="S48" s="191"/>
    </row>
    <row r="49" spans="2:17" ht="15.75" customHeight="1"/>
    <row r="50" spans="2:17" ht="15.75" customHeight="1"/>
    <row r="51" spans="2:17" ht="15.75" customHeight="1">
      <c r="C51" s="258" t="s">
        <v>650</v>
      </c>
      <c r="D51" s="210"/>
      <c r="E51" s="210"/>
      <c r="F51" s="210"/>
      <c r="G51" s="210"/>
      <c r="H51" s="210"/>
      <c r="I51" s="210"/>
      <c r="J51" s="210"/>
      <c r="K51" s="210"/>
    </row>
    <row r="52" spans="2:17" ht="15.75" customHeight="1"/>
    <row r="53" spans="2:17" ht="19.5" customHeight="1">
      <c r="B53" s="6"/>
      <c r="C53" s="248" t="s">
        <v>651</v>
      </c>
      <c r="D53" s="204"/>
      <c r="E53" s="204"/>
      <c r="F53" s="218"/>
      <c r="G53" s="259" t="s">
        <v>12</v>
      </c>
      <c r="H53" s="190"/>
      <c r="I53" s="190"/>
      <c r="J53" s="190"/>
      <c r="K53" s="190"/>
      <c r="L53" s="233" t="s">
        <v>13</v>
      </c>
      <c r="M53" s="190"/>
      <c r="N53" s="190"/>
      <c r="O53" s="191"/>
      <c r="P53" s="234" t="s">
        <v>14</v>
      </c>
      <c r="Q53" s="218"/>
    </row>
    <row r="54" spans="2:17" ht="19.5" customHeight="1">
      <c r="B54" s="6"/>
      <c r="C54" s="219"/>
      <c r="D54" s="220"/>
      <c r="E54" s="220"/>
      <c r="F54" s="221"/>
      <c r="G54" s="235" t="s">
        <v>50</v>
      </c>
      <c r="H54" s="190"/>
      <c r="I54" s="191"/>
      <c r="J54" s="235" t="s">
        <v>51</v>
      </c>
      <c r="K54" s="191"/>
      <c r="L54" s="235" t="s">
        <v>50</v>
      </c>
      <c r="M54" s="191"/>
      <c r="N54" s="235" t="s">
        <v>51</v>
      </c>
      <c r="O54" s="191"/>
      <c r="P54" s="219"/>
      <c r="Q54" s="221"/>
    </row>
    <row r="55" spans="2:17" ht="30" customHeight="1">
      <c r="B55" s="6"/>
      <c r="C55" s="159" t="s">
        <v>610</v>
      </c>
      <c r="D55" s="160"/>
      <c r="E55" s="160"/>
      <c r="F55" s="161"/>
      <c r="G55" s="236">
        <f>IFERROR(VLOOKUP(V7,'1°B'!A13:CA40,73,0),"")</f>
        <v>0</v>
      </c>
      <c r="H55" s="190"/>
      <c r="I55" s="191"/>
      <c r="J55" s="236">
        <f>IFERROR(VLOOKUP(V7,'1°B'!A13:CA44,74,0),"")</f>
        <v>0</v>
      </c>
      <c r="K55" s="191"/>
      <c r="L55" s="236">
        <f>IFERROR(VLOOKUP(V7,'1°B'!A13:CA44,76,0),"")</f>
        <v>0</v>
      </c>
      <c r="M55" s="191"/>
      <c r="N55" s="236">
        <f>IFERROR(VLOOKUP(V7,'1°B'!A13:CA44,77,0),"")</f>
        <v>0</v>
      </c>
      <c r="O55" s="191"/>
      <c r="P55" s="237" t="str">
        <f>IFERROR(VLOOKUP(V7,'1°B'!A13:CA44,79,0),"")</f>
        <v>A</v>
      </c>
      <c r="Q55" s="191"/>
    </row>
    <row r="56" spans="2:17" ht="30" customHeight="1">
      <c r="B56" s="6"/>
      <c r="C56" s="255" t="s">
        <v>611</v>
      </c>
      <c r="D56" s="190"/>
      <c r="E56" s="190"/>
      <c r="F56" s="191"/>
      <c r="G56" s="236" t="str">
        <f>IFERROR(VLOOKUP($V$7,'1°B'!$A$41:$BY$53,73,0),"")</f>
        <v/>
      </c>
      <c r="H56" s="190"/>
      <c r="I56" s="191"/>
      <c r="J56" s="236" t="str">
        <f>IFERROR(VLOOKUP($V$7,'1°B'!$A$41:$BY$53,74,0),"")</f>
        <v/>
      </c>
      <c r="K56" s="191"/>
      <c r="L56" s="236" t="str">
        <f>IFERROR(VLOOKUP($V$7,'1°B'!$A$41:$BY$53,76,0),"")</f>
        <v/>
      </c>
      <c r="M56" s="191"/>
      <c r="N56" s="236" t="str">
        <f>IFERROR(VLOOKUP($V$7,'1°B'!$A$41:$BY$53,77,0),"")</f>
        <v/>
      </c>
      <c r="O56" s="191"/>
      <c r="P56" s="237"/>
      <c r="Q56" s="191"/>
    </row>
    <row r="57" spans="2:17" ht="30" customHeight="1">
      <c r="B57" s="6"/>
      <c r="C57" s="255" t="s">
        <v>612</v>
      </c>
      <c r="D57" s="190"/>
      <c r="E57" s="190"/>
      <c r="F57" s="191"/>
      <c r="G57" s="236" t="str">
        <f>IFERROR(VLOOKUP($V$7,'1°B'!$A$70:$BY$120,73,0),"")</f>
        <v/>
      </c>
      <c r="H57" s="190"/>
      <c r="I57" s="191"/>
      <c r="J57" s="236" t="str">
        <f>IFERROR(VLOOKUP($V$7,'1°B'!$A$70:$BY$120,74,0),"")</f>
        <v/>
      </c>
      <c r="K57" s="191"/>
      <c r="L57" s="236" t="str">
        <f>IFERROR(VLOOKUP($V$7,'1°B'!$A$70:$BY$120,76,0),"")</f>
        <v/>
      </c>
      <c r="M57" s="191"/>
      <c r="N57" s="236" t="str">
        <f>IFERROR(VLOOKUP($V$7,'1°B'!$A$70:$BY$120,77,0),"")</f>
        <v/>
      </c>
      <c r="O57" s="191"/>
      <c r="P57" s="237"/>
      <c r="Q57" s="191"/>
    </row>
    <row r="58" spans="2:17" ht="15.75" customHeight="1">
      <c r="B58" s="6"/>
    </row>
    <row r="59" spans="2:17" ht="15.75" customHeight="1">
      <c r="B59" s="6"/>
      <c r="C59" s="223" t="s">
        <v>652</v>
      </c>
      <c r="D59" s="204"/>
      <c r="E59" s="204"/>
      <c r="F59" s="218"/>
      <c r="G59" s="256"/>
      <c r="H59" s="204"/>
      <c r="I59" s="204"/>
      <c r="J59" s="204"/>
      <c r="K59" s="204"/>
      <c r="L59" s="218"/>
      <c r="M59" s="162"/>
      <c r="N59" s="162"/>
      <c r="O59" s="6"/>
    </row>
    <row r="60" spans="2:17" ht="15.75" customHeight="1">
      <c r="B60" s="6"/>
      <c r="C60" s="224"/>
      <c r="D60" s="210"/>
      <c r="E60" s="210"/>
      <c r="F60" s="184"/>
      <c r="G60" s="224"/>
      <c r="H60" s="210"/>
      <c r="I60" s="210"/>
      <c r="J60" s="210"/>
      <c r="K60" s="210"/>
      <c r="L60" s="184"/>
      <c r="M60" s="162"/>
      <c r="N60" s="162"/>
      <c r="O60" s="6"/>
    </row>
    <row r="61" spans="2:17" ht="15.75" customHeight="1">
      <c r="B61" s="6"/>
      <c r="C61" s="224"/>
      <c r="D61" s="210"/>
      <c r="E61" s="210"/>
      <c r="F61" s="184"/>
      <c r="G61" s="224"/>
      <c r="H61" s="210"/>
      <c r="I61" s="210"/>
      <c r="J61" s="210"/>
      <c r="K61" s="210"/>
      <c r="L61" s="184"/>
      <c r="M61" s="162"/>
      <c r="N61" s="162"/>
      <c r="O61" s="6"/>
    </row>
    <row r="62" spans="2:17" ht="15.75" customHeight="1">
      <c r="B62" s="6"/>
      <c r="C62" s="224"/>
      <c r="D62" s="210"/>
      <c r="E62" s="210"/>
      <c r="F62" s="184"/>
      <c r="G62" s="224"/>
      <c r="H62" s="210"/>
      <c r="I62" s="210"/>
      <c r="J62" s="210"/>
      <c r="K62" s="210"/>
      <c r="L62" s="184"/>
      <c r="M62" s="162"/>
      <c r="N62" s="162"/>
      <c r="O62" s="6"/>
    </row>
    <row r="63" spans="2:17" ht="15.75" customHeight="1">
      <c r="B63" s="6"/>
      <c r="C63" s="219"/>
      <c r="D63" s="220"/>
      <c r="E63" s="220"/>
      <c r="F63" s="221"/>
      <c r="G63" s="219"/>
      <c r="H63" s="220"/>
      <c r="I63" s="220"/>
      <c r="J63" s="220"/>
      <c r="K63" s="220"/>
      <c r="L63" s="221"/>
      <c r="M63" s="162"/>
      <c r="N63" s="162"/>
      <c r="O63" s="6"/>
    </row>
    <row r="64" spans="2:17" ht="15.75" customHeight="1">
      <c r="B64" s="6"/>
      <c r="C64" s="257" t="s">
        <v>653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9"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5:F46"/>
    <mergeCell ref="B47:F47"/>
    <mergeCell ref="B48:F48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5:K45"/>
    <mergeCell ref="H46:K46"/>
    <mergeCell ref="H47:K47"/>
    <mergeCell ref="H48:K48"/>
    <mergeCell ref="C51:K51"/>
    <mergeCell ref="C53:F54"/>
    <mergeCell ref="G53:K53"/>
    <mergeCell ref="G54:I54"/>
    <mergeCell ref="J54:K54"/>
    <mergeCell ref="C57:F57"/>
    <mergeCell ref="C59:F63"/>
    <mergeCell ref="G59:L63"/>
    <mergeCell ref="C64:N64"/>
    <mergeCell ref="G55:I55"/>
    <mergeCell ref="J55:K55"/>
    <mergeCell ref="C56:F56"/>
    <mergeCell ref="G56:I56"/>
    <mergeCell ref="J56:K56"/>
    <mergeCell ref="G57:I57"/>
    <mergeCell ref="J57:K57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25:O25"/>
    <mergeCell ref="M26:O26"/>
    <mergeCell ref="M33:O33"/>
    <mergeCell ref="Q33:S33"/>
    <mergeCell ref="N57:O57"/>
    <mergeCell ref="P57:Q57"/>
    <mergeCell ref="L55:M55"/>
    <mergeCell ref="N55:O55"/>
    <mergeCell ref="P55:Q55"/>
    <mergeCell ref="L56:M56"/>
    <mergeCell ref="N56:O56"/>
    <mergeCell ref="P56:Q56"/>
    <mergeCell ref="L57:M5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Q41:S41"/>
    <mergeCell ref="Q42:S42"/>
    <mergeCell ref="P45:S45"/>
    <mergeCell ref="Q46:S46"/>
    <mergeCell ref="M46:O46"/>
    <mergeCell ref="M47:O47"/>
    <mergeCell ref="L53:O53"/>
    <mergeCell ref="P53:Q54"/>
    <mergeCell ref="L54:M54"/>
    <mergeCell ref="N54:O54"/>
    <mergeCell ref="M41:O41"/>
    <mergeCell ref="M42:O42"/>
    <mergeCell ref="L45:O45"/>
    <mergeCell ref="Q47:S47"/>
    <mergeCell ref="Q48:S48"/>
    <mergeCell ref="M48:O48"/>
  </mergeCells>
  <printOptions horizontalCentered="1"/>
  <pageMargins left="0.11811023622047245" right="0.11811023622047245" top="0.11811023622047245" bottom="0.11811023622047245" header="0" footer="0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showGridLines="0" topLeftCell="B3" zoomScale="46" zoomScaleNormal="46" workbookViewId="0">
      <selection activeCell="W18" sqref="W18"/>
    </sheetView>
  </sheetViews>
  <sheetFormatPr baseColWidth="10" defaultColWidth="12.59765625" defaultRowHeight="15" customHeight="1"/>
  <cols>
    <col min="1" max="1" width="9.765625E-2" hidden="1" customWidth="1"/>
    <col min="2" max="2" width="8" customWidth="1"/>
    <col min="3" max="3" width="5.59765625" customWidth="1"/>
    <col min="4" max="4" width="6.09765625" customWidth="1"/>
    <col min="5" max="5" width="4.69921875" customWidth="1"/>
    <col min="6" max="6" width="6.69921875" customWidth="1"/>
    <col min="7" max="7" width="13.09765625" customWidth="1"/>
    <col min="8" max="8" width="2.19921875" customWidth="1"/>
    <col min="9" max="9" width="7.59765625" customWidth="1"/>
    <col min="10" max="10" width="8.19921875" customWidth="1"/>
    <col min="11" max="11" width="20.8984375" customWidth="1"/>
    <col min="12" max="12" width="14.09765625" customWidth="1"/>
    <col min="13" max="13" width="13.69921875" customWidth="1"/>
    <col min="14" max="14" width="9.5" customWidth="1"/>
    <col min="15" max="16" width="13.69921875" customWidth="1"/>
    <col min="17" max="17" width="14" customWidth="1"/>
    <col min="18" max="18" width="15.19921875" customWidth="1"/>
    <col min="19" max="19" width="17.09765625" customWidth="1"/>
    <col min="20" max="20" width="2.3984375" customWidth="1"/>
    <col min="21" max="21" width="3.09765625" customWidth="1"/>
    <col min="22" max="22" width="7.59765625" customWidth="1"/>
    <col min="23" max="23" width="15.59765625" customWidth="1"/>
    <col min="24" max="24" width="9.3984375" customWidth="1"/>
  </cols>
  <sheetData>
    <row r="1" spans="1:24" ht="3.75" hidden="1" customHeight="1">
      <c r="A1" s="6">
        <v>0</v>
      </c>
      <c r="B1" s="6" t="s">
        <v>590</v>
      </c>
    </row>
    <row r="2" spans="1:24" ht="1.5" hidden="1" customHeight="1">
      <c r="B2" s="143" t="s">
        <v>590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24" ht="15" customHeigh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X3" s="6">
        <v>4</v>
      </c>
    </row>
    <row r="4" spans="1:24" ht="15" customHeight="1">
      <c r="B4" s="241" t="s">
        <v>591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</row>
    <row r="5" spans="1:24" ht="15" customHeight="1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</row>
    <row r="7" spans="1:24" ht="15.75" customHeight="1">
      <c r="B7" s="249" t="s">
        <v>592</v>
      </c>
      <c r="C7" s="190"/>
      <c r="D7" s="190"/>
      <c r="E7" s="190"/>
      <c r="F7" s="191"/>
      <c r="G7" s="242" t="s">
        <v>593</v>
      </c>
      <c r="H7" s="190"/>
      <c r="I7" s="190"/>
      <c r="J7" s="190"/>
      <c r="K7" s="190"/>
      <c r="L7" s="191"/>
      <c r="M7" s="243" t="s">
        <v>594</v>
      </c>
      <c r="N7" s="218"/>
      <c r="O7" s="223" t="s">
        <v>595</v>
      </c>
      <c r="P7" s="204"/>
      <c r="Q7" s="204"/>
      <c r="R7" s="218"/>
      <c r="S7" s="244"/>
      <c r="U7" s="6"/>
      <c r="V7" s="245">
        <v>28</v>
      </c>
      <c r="W7" s="218"/>
    </row>
    <row r="8" spans="1:24" ht="15.75" customHeight="1">
      <c r="B8" s="249" t="s">
        <v>596</v>
      </c>
      <c r="C8" s="190"/>
      <c r="D8" s="190"/>
      <c r="E8" s="190"/>
      <c r="F8" s="191"/>
      <c r="G8" s="254" t="s">
        <v>597</v>
      </c>
      <c r="H8" s="190"/>
      <c r="I8" s="190"/>
      <c r="J8" s="190"/>
      <c r="K8" s="190"/>
      <c r="L8" s="191"/>
      <c r="M8" s="219"/>
      <c r="N8" s="221"/>
      <c r="O8" s="224"/>
      <c r="P8" s="210"/>
      <c r="Q8" s="210"/>
      <c r="R8" s="184"/>
      <c r="S8" s="186"/>
      <c r="U8" s="6"/>
      <c r="V8" s="224"/>
      <c r="W8" s="184"/>
    </row>
    <row r="9" spans="1:24" ht="15.75" customHeight="1">
      <c r="B9" s="249" t="s">
        <v>654</v>
      </c>
      <c r="C9" s="190"/>
      <c r="D9" s="190"/>
      <c r="E9" s="190"/>
      <c r="F9" s="191"/>
      <c r="G9" s="242" t="s">
        <v>599</v>
      </c>
      <c r="H9" s="190"/>
      <c r="I9" s="190"/>
      <c r="J9" s="190"/>
      <c r="K9" s="190"/>
      <c r="L9" s="191"/>
      <c r="M9" s="251" t="s">
        <v>600</v>
      </c>
      <c r="N9" s="191"/>
      <c r="O9" s="274" t="s">
        <v>655</v>
      </c>
      <c r="P9" s="190"/>
      <c r="Q9" s="190"/>
      <c r="R9" s="191"/>
      <c r="S9" s="186"/>
      <c r="U9" s="6"/>
      <c r="V9" s="224"/>
      <c r="W9" s="184"/>
    </row>
    <row r="10" spans="1:24" ht="15.75" customHeight="1">
      <c r="B10" s="249" t="s">
        <v>601</v>
      </c>
      <c r="C10" s="190"/>
      <c r="D10" s="190"/>
      <c r="E10" s="190"/>
      <c r="F10" s="190"/>
      <c r="G10" s="265" t="str">
        <f>+'1°C'!D7</f>
        <v>1°</v>
      </c>
      <c r="H10" s="220"/>
      <c r="I10" s="220"/>
      <c r="J10" s="220"/>
      <c r="K10" s="220"/>
      <c r="L10" s="221"/>
      <c r="M10" s="266" t="s">
        <v>602</v>
      </c>
      <c r="N10" s="191"/>
      <c r="O10" s="267" t="str">
        <f>+'1°C'!D8</f>
        <v>C</v>
      </c>
      <c r="P10" s="190"/>
      <c r="Q10" s="190"/>
      <c r="R10" s="191"/>
      <c r="S10" s="186"/>
      <c r="U10" s="6"/>
      <c r="V10" s="224"/>
      <c r="W10" s="184"/>
    </row>
    <row r="11" spans="1:24" ht="15.75" customHeight="1">
      <c r="B11" s="249" t="s">
        <v>603</v>
      </c>
      <c r="C11" s="190"/>
      <c r="D11" s="190"/>
      <c r="E11" s="190"/>
      <c r="F11" s="191"/>
      <c r="G11" s="250"/>
      <c r="H11" s="190"/>
      <c r="I11" s="190"/>
      <c r="J11" s="190"/>
      <c r="K11" s="191"/>
      <c r="L11" s="144" t="s">
        <v>604</v>
      </c>
      <c r="M11" s="246"/>
      <c r="N11" s="190"/>
      <c r="O11" s="190"/>
      <c r="P11" s="190"/>
      <c r="Q11" s="190"/>
      <c r="R11" s="191"/>
      <c r="S11" s="186"/>
      <c r="U11" s="6"/>
      <c r="V11" s="224"/>
      <c r="W11" s="184"/>
    </row>
    <row r="12" spans="1:24" ht="33.75" customHeight="1">
      <c r="B12" s="251" t="s">
        <v>605</v>
      </c>
      <c r="C12" s="190"/>
      <c r="D12" s="190"/>
      <c r="E12" s="190"/>
      <c r="F12" s="190"/>
      <c r="G12" s="145" t="str">
        <f>IFERROR(VLOOKUP(V7,'1°C'!A12:CA48,2,0),"")</f>
        <v>TAPULLIMA</v>
      </c>
      <c r="H12" s="146"/>
      <c r="I12" s="146" t="str">
        <f>IFERROR(VLOOKUP(V7,'1°C'!A12:CA48,3,0),"")</f>
        <v>YUYARIMA</v>
      </c>
      <c r="J12" s="146"/>
      <c r="K12" s="146" t="str">
        <f>IFERROR(VLOOKUP(V7,'1°C'!A12:CA48,4,0),"")</f>
        <v>WENDI PATRICIA</v>
      </c>
      <c r="L12" s="146"/>
      <c r="M12" s="146"/>
      <c r="N12" s="146"/>
      <c r="O12" s="146"/>
      <c r="P12" s="146"/>
      <c r="Q12" s="146"/>
      <c r="R12" s="147"/>
      <c r="S12" s="186"/>
      <c r="U12" s="6"/>
      <c r="V12" s="219"/>
      <c r="W12" s="221"/>
    </row>
    <row r="13" spans="1:24" ht="33.75" customHeight="1">
      <c r="B13" s="251" t="s">
        <v>606</v>
      </c>
      <c r="C13" s="190"/>
      <c r="D13" s="190"/>
      <c r="E13" s="190"/>
      <c r="F13" s="191"/>
      <c r="G13" s="249" t="str">
        <f>+'1°C'!C10</f>
        <v>PROF. JESÚS BRIHAM TORRES PAIMA</v>
      </c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  <c r="S13" s="187"/>
      <c r="U13" s="6"/>
      <c r="V13" s="247" t="s">
        <v>607</v>
      </c>
      <c r="W13" s="218"/>
    </row>
    <row r="14" spans="1:24" ht="15" customHeight="1">
      <c r="U14" s="6"/>
      <c r="V14" s="224"/>
      <c r="W14" s="184"/>
    </row>
    <row r="15" spans="1:24" ht="68.25" customHeight="1">
      <c r="B15" s="252" t="s">
        <v>608</v>
      </c>
      <c r="C15" s="253" t="s">
        <v>609</v>
      </c>
      <c r="D15" s="204"/>
      <c r="E15" s="204"/>
      <c r="F15" s="204"/>
      <c r="G15" s="233" t="s">
        <v>610</v>
      </c>
      <c r="H15" s="190"/>
      <c r="I15" s="190"/>
      <c r="J15" s="190"/>
      <c r="K15" s="190"/>
      <c r="L15" s="233" t="s">
        <v>611</v>
      </c>
      <c r="M15" s="190"/>
      <c r="N15" s="190"/>
      <c r="O15" s="190"/>
      <c r="P15" s="233" t="s">
        <v>612</v>
      </c>
      <c r="Q15" s="190"/>
      <c r="R15" s="190"/>
      <c r="S15" s="191"/>
      <c r="U15" s="6"/>
      <c r="V15" s="219"/>
      <c r="W15" s="221"/>
    </row>
    <row r="16" spans="1:24" ht="57.75" customHeight="1">
      <c r="B16" s="187"/>
      <c r="C16" s="219"/>
      <c r="D16" s="220"/>
      <c r="E16" s="220"/>
      <c r="F16" s="220"/>
      <c r="G16" s="148" t="s">
        <v>613</v>
      </c>
      <c r="H16" s="229" t="s">
        <v>614</v>
      </c>
      <c r="I16" s="190"/>
      <c r="J16" s="190"/>
      <c r="K16" s="190"/>
      <c r="L16" s="148" t="s">
        <v>613</v>
      </c>
      <c r="M16" s="229" t="s">
        <v>614</v>
      </c>
      <c r="N16" s="190"/>
      <c r="O16" s="190"/>
      <c r="P16" s="148" t="s">
        <v>613</v>
      </c>
      <c r="Q16" s="229" t="s">
        <v>614</v>
      </c>
      <c r="R16" s="190"/>
      <c r="S16" s="191"/>
      <c r="U16" s="6"/>
      <c r="V16" s="151"/>
      <c r="W16" s="6"/>
    </row>
    <row r="17" spans="2:23" ht="108.75" customHeight="1">
      <c r="B17" s="239" t="s">
        <v>615</v>
      </c>
      <c r="C17" s="238" t="s">
        <v>616</v>
      </c>
      <c r="D17" s="190"/>
      <c r="E17" s="190"/>
      <c r="F17" s="190"/>
      <c r="G17" s="152" t="str">
        <f>IFERROR(VLOOKUP(V7,'1°C'!A12:CA48,6,0),"")</f>
        <v>B</v>
      </c>
      <c r="H17" s="229" t="str">
        <f>IFERROR(VLOOKUP(V7,'1°C'!A12:CA48,7,0),"")</f>
        <v>El estudiante esta en proceso de lograr la competencia</v>
      </c>
      <c r="I17" s="190"/>
      <c r="J17" s="190"/>
      <c r="K17" s="190"/>
      <c r="L17" s="152" t="str">
        <f>IFERROR(VLOOKUP($V$7,'1°C'!$A$41:$BY$58,6,0),"")</f>
        <v/>
      </c>
      <c r="M17" s="229" t="str">
        <f>IFERROR(VLOOKUP($V$7,'1°C'!$A$41:$BY$58,7,0),"")</f>
        <v/>
      </c>
      <c r="N17" s="190"/>
      <c r="O17" s="191"/>
      <c r="P17" s="167" t="str">
        <f>IFERROR(VLOOKUP($V$7,'1°C'!$A$75:$BY$125,6,0),"")</f>
        <v/>
      </c>
      <c r="Q17" s="229"/>
      <c r="R17" s="190"/>
      <c r="S17" s="191"/>
      <c r="U17" s="6"/>
      <c r="V17" s="151"/>
      <c r="W17" s="6"/>
    </row>
    <row r="18" spans="2:23" ht="162" customHeight="1">
      <c r="B18" s="187"/>
      <c r="C18" s="238" t="s">
        <v>617</v>
      </c>
      <c r="D18" s="190"/>
      <c r="E18" s="190"/>
      <c r="F18" s="190"/>
      <c r="G18" s="152" t="str">
        <f>IFERROR(VLOOKUP(V7,'1°C'!A12:CA48,8,0),"")</f>
        <v>A</v>
      </c>
      <c r="H18" s="229" t="str">
        <f>IFERROR(VLOOKUP(V7,'1°C'!A12:CA48,9,0),"")</f>
        <v>El estudiante demostró capacidades para lograr la competencia</v>
      </c>
      <c r="I18" s="190"/>
      <c r="J18" s="190"/>
      <c r="K18" s="190"/>
      <c r="L18" s="152" t="str">
        <f>IFERROR(VLOOKUP($V$7,'1°C'!$A$41:$BY$58,8,0),"")</f>
        <v/>
      </c>
      <c r="M18" s="229" t="str">
        <f>IFERROR(VLOOKUP($V$7,'1°C'!$A$41:$BY$58,9,0),"")</f>
        <v/>
      </c>
      <c r="N18" s="190"/>
      <c r="O18" s="191"/>
      <c r="P18" s="149" t="str">
        <f>IFERROR(VLOOKUP($V$7,'1°C'!$A$75:$BY$125,8,0),"")</f>
        <v/>
      </c>
      <c r="Q18" s="229" t="str">
        <f>IFERROR(VLOOKUP($V$7,'1°C'!$A$75:$BY$125,9,0),"")</f>
        <v/>
      </c>
      <c r="R18" s="190"/>
      <c r="S18" s="191"/>
      <c r="U18" s="6"/>
      <c r="V18" s="151"/>
      <c r="W18" s="6"/>
    </row>
    <row r="19" spans="2:23" ht="127.5" customHeight="1">
      <c r="B19" s="240" t="s">
        <v>3</v>
      </c>
      <c r="C19" s="238" t="s">
        <v>618</v>
      </c>
      <c r="D19" s="190"/>
      <c r="E19" s="190"/>
      <c r="F19" s="190"/>
      <c r="G19" s="152" t="str">
        <f>IFERROR(VLOOKUP(V7,'1°C'!A12:CA48,11,0),"")</f>
        <v>B</v>
      </c>
      <c r="H19" s="229" t="str">
        <f>IFERROR(VLOOKUP(V7,'1°C'!A12:CA48,12,0),"")</f>
        <v xml:space="preserve">Está en proceso para lograr la competencia.  </v>
      </c>
      <c r="I19" s="190"/>
      <c r="J19" s="190"/>
      <c r="K19" s="190"/>
      <c r="L19" s="152" t="str">
        <f>IFERROR(VLOOKUP($V$7,'1°C'!$A$41:$BY$58,11,0),"")</f>
        <v/>
      </c>
      <c r="M19" s="229" t="str">
        <f>IFERROR(VLOOKUP($V$7,'1°C'!$A$41:$BY$58,12,0),"")</f>
        <v/>
      </c>
      <c r="N19" s="190"/>
      <c r="O19" s="191"/>
      <c r="P19" s="149" t="str">
        <f>IFERROR(VLOOKUP($V$7,'1°C'!$A$75:$BY$125,11,0),"")</f>
        <v/>
      </c>
      <c r="Q19" s="229" t="str">
        <f>IFERROR(VLOOKUP($V$7,'1°C'!$A$75:$BY$125,12,0),"")</f>
        <v/>
      </c>
      <c r="R19" s="190"/>
      <c r="S19" s="191"/>
      <c r="U19" s="6"/>
      <c r="V19" s="6"/>
      <c r="W19" s="6"/>
    </row>
    <row r="20" spans="2:23" ht="154.5" customHeight="1">
      <c r="B20" s="186"/>
      <c r="C20" s="238" t="s">
        <v>619</v>
      </c>
      <c r="D20" s="190"/>
      <c r="E20" s="190"/>
      <c r="F20" s="190"/>
      <c r="G20" s="152" t="str">
        <f>IFERROR(VLOOKUP(V7,'1°C'!A12:CA48,13,0),"")</f>
        <v>B</v>
      </c>
      <c r="H20" s="229" t="str">
        <f>IFERROR(VLOOKUP(V7,'1°C'!A12:CA48,14,0),"")</f>
        <v xml:space="preserve">Está en proceso para lograr la competencia.  </v>
      </c>
      <c r="I20" s="190"/>
      <c r="J20" s="190"/>
      <c r="K20" s="190"/>
      <c r="L20" s="152" t="str">
        <f>IFERROR(VLOOKUP($V$7,'1°C'!$A$41:$BY$58,13,0),"")</f>
        <v/>
      </c>
      <c r="M20" s="229" t="str">
        <f>IFERROR(VLOOKUP($V$7,'1°C'!$A$41:$BY$58,14,0),"")</f>
        <v/>
      </c>
      <c r="N20" s="190"/>
      <c r="O20" s="191"/>
      <c r="P20" s="149" t="str">
        <f>IFERROR(VLOOKUP($V$7,'1°C'!$A$75:$BY$125,13,0),"")</f>
        <v/>
      </c>
      <c r="Q20" s="229" t="str">
        <f>IFERROR(VLOOKUP($V$7,'1°C'!$A$75:$BY$125,14,0),"")</f>
        <v/>
      </c>
      <c r="R20" s="190"/>
      <c r="S20" s="191"/>
      <c r="U20" s="6"/>
      <c r="V20" s="6"/>
      <c r="W20" s="6"/>
    </row>
    <row r="21" spans="2:23" ht="168" customHeight="1">
      <c r="B21" s="187"/>
      <c r="C21" s="238" t="s">
        <v>620</v>
      </c>
      <c r="D21" s="190"/>
      <c r="E21" s="190"/>
      <c r="F21" s="190"/>
      <c r="G21" s="152" t="str">
        <f>IFERROR(VLOOKUP(V7,'1°C'!A12:CA48,15,0),"")</f>
        <v>B</v>
      </c>
      <c r="H21" s="229" t="str">
        <f>IFERROR(VLOOKUP(V7,'1°C'!A12:CA48,16,0),"")</f>
        <v xml:space="preserve">Está en proceso para lograr la competencia.  </v>
      </c>
      <c r="I21" s="190"/>
      <c r="J21" s="190"/>
      <c r="K21" s="190"/>
      <c r="L21" s="152" t="str">
        <f>IFERROR(VLOOKUP($V$7,'1°C'!$A$41:$BY$58,15,0),"")</f>
        <v/>
      </c>
      <c r="M21" s="229" t="str">
        <f>IFERROR(VLOOKUP($V$7,'1°C'!$A$41:$BY$58,16,0),"")</f>
        <v/>
      </c>
      <c r="N21" s="190"/>
      <c r="O21" s="191"/>
      <c r="P21" s="149" t="str">
        <f>IFERROR(VLOOKUP($V$7,'1°C'!$A$75:$BY$125,15,0),"")</f>
        <v/>
      </c>
      <c r="Q21" s="229" t="str">
        <f>IFERROR(VLOOKUP($V$7,'1°C'!$A$75:$BY$125,16,0),"")</f>
        <v/>
      </c>
      <c r="R21" s="190"/>
      <c r="S21" s="191"/>
    </row>
    <row r="22" spans="2:23" ht="137.25" customHeight="1">
      <c r="B22" s="240" t="s">
        <v>621</v>
      </c>
      <c r="C22" s="238" t="s">
        <v>622</v>
      </c>
      <c r="D22" s="190"/>
      <c r="E22" s="190"/>
      <c r="F22" s="190"/>
      <c r="G22" s="152" t="str">
        <f>IFERROR(VLOOKUP(V7,'1°C'!A12:CA48,18,0),"")</f>
        <v>A</v>
      </c>
      <c r="H22" s="229" t="str">
        <f>IFERROR(VLOOKUP(V7,'1°C'!A12:CA48,19,0),"")</f>
        <v>Demuestra tus  habilidades al entregar el testimonio</v>
      </c>
      <c r="I22" s="190"/>
      <c r="J22" s="190"/>
      <c r="K22" s="190"/>
      <c r="L22" s="152" t="str">
        <f>IFERROR(VLOOKUP($V$7,'1°C'!$A$41:$BY$58,18,0),"")</f>
        <v/>
      </c>
      <c r="M22" s="229" t="str">
        <f>IFERROR(VLOOKUP($V$7,'1°C'!$A$41:$BY$58,19,0),"")</f>
        <v/>
      </c>
      <c r="N22" s="190"/>
      <c r="O22" s="191"/>
      <c r="P22" s="149" t="str">
        <f>IFERROR(VLOOKUP($V$7,'1°C'!$A$75:$BY$125,18,0),"")</f>
        <v/>
      </c>
      <c r="Q22" s="229" t="str">
        <f>IFERROR(VLOOKUP($V$7,'1°C'!$A$75:$BY$125,19,0),"")</f>
        <v/>
      </c>
      <c r="R22" s="190"/>
      <c r="S22" s="191"/>
    </row>
    <row r="23" spans="2:23" ht="138.75" customHeight="1">
      <c r="B23" s="186"/>
      <c r="C23" s="238" t="s">
        <v>623</v>
      </c>
      <c r="D23" s="190"/>
      <c r="E23" s="190"/>
      <c r="F23" s="190"/>
      <c r="G23" s="152" t="str">
        <f>IFERROR(VLOOKUP(V7,'1°C'!A12:CA48,20,0),"")</f>
        <v>A</v>
      </c>
      <c r="H23" s="229" t="str">
        <f>IFERROR(VLOOKUP(V7,'1°C'!A12:CA48,21,0),"")</f>
        <v>nteractúas de manera positiva para mejorar el trabajo en equipo, dando soluciones en los juegos predeportivos aplicados al fútbol.</v>
      </c>
      <c r="I23" s="190"/>
      <c r="J23" s="190"/>
      <c r="K23" s="190"/>
      <c r="L23" s="152" t="str">
        <f>IFERROR(VLOOKUP($V$7,'1°C'!$A$41:$BY$58,20,0),"")</f>
        <v/>
      </c>
      <c r="M23" s="229" t="str">
        <f>IFERROR(VLOOKUP($V$7,'1°C'!$A$41:$BY$58,21,0),"")</f>
        <v/>
      </c>
      <c r="N23" s="190"/>
      <c r="O23" s="191"/>
      <c r="P23" s="149" t="str">
        <f>IFERROR(VLOOKUP($V$7,'1°C'!$A$75:$BY$125,20,0),"")</f>
        <v/>
      </c>
      <c r="Q23" s="229" t="str">
        <f>IFERROR(VLOOKUP($V$7,'1°C'!$A$75:$BY$125,21,0),"")</f>
        <v/>
      </c>
      <c r="R23" s="190"/>
      <c r="S23" s="191"/>
    </row>
    <row r="24" spans="2:23" ht="132.75" customHeight="1">
      <c r="B24" s="187"/>
      <c r="C24" s="238" t="s">
        <v>624</v>
      </c>
      <c r="D24" s="190"/>
      <c r="E24" s="190"/>
      <c r="F24" s="190"/>
      <c r="G24" s="152" t="str">
        <f>IFERROR(VLOOKUP(V7,'1°C'!A12:CA48,22,0),"")</f>
        <v>A</v>
      </c>
      <c r="H24" s="229" t="str">
        <f>IFERROR(VLOOKUP(V7,'1°C'!A12:CA48,23,0),"")</f>
        <v>Practicas con responsabilidad la técnica Fosbury Flop en el salto alto.</v>
      </c>
      <c r="I24" s="190"/>
      <c r="J24" s="190"/>
      <c r="K24" s="190"/>
      <c r="L24" s="152" t="str">
        <f>IFERROR(VLOOKUP($V$7,'1°C'!$A$41:$BY$58,22,0),"")</f>
        <v/>
      </c>
      <c r="M24" s="229" t="str">
        <f>IFERROR(VLOOKUP($V$7,'1°C'!$A$41:$BY$58,23,0),"")</f>
        <v/>
      </c>
      <c r="N24" s="190"/>
      <c r="O24" s="191"/>
      <c r="P24" s="149" t="str">
        <f>IFERROR(VLOOKUP($V$7,'1°C'!$A$75:$BY$125,22,0),"")</f>
        <v/>
      </c>
      <c r="Q24" s="229" t="str">
        <f>IFERROR(VLOOKUP($V$7,'1°C'!$A$75:$BY$125,23,0),"")</f>
        <v/>
      </c>
      <c r="R24" s="190"/>
      <c r="S24" s="191"/>
    </row>
    <row r="25" spans="2:23" ht="129" customHeight="1">
      <c r="B25" s="263" t="s">
        <v>4</v>
      </c>
      <c r="C25" s="238" t="s">
        <v>625</v>
      </c>
      <c r="D25" s="190"/>
      <c r="E25" s="190"/>
      <c r="F25" s="190"/>
      <c r="G25" s="152" t="str">
        <f>IFERROR(VLOOKUP(V7,'1°C'!A12:CA48,25,0),"")</f>
        <v>AD</v>
      </c>
      <c r="H25" s="229" t="str">
        <f>IFERROR(VLOOKUP(V7,'1°C'!A12:CA48,26,0),"")</f>
        <v>APRECIA  LAS DIVERSAS FUNCIONES QUE A CUMPLIDO EL ARTE</v>
      </c>
      <c r="I25" s="190"/>
      <c r="J25" s="190"/>
      <c r="K25" s="190"/>
      <c r="L25" s="152" t="str">
        <f>IFERROR(VLOOKUP($V$7,'1°C'!$A$41:$BY$58,25,0),"")</f>
        <v/>
      </c>
      <c r="M25" s="229" t="str">
        <f>IFERROR(VLOOKUP($V$7,'1°C'!$A$41:$BY$58,26,0),"")</f>
        <v/>
      </c>
      <c r="N25" s="190"/>
      <c r="O25" s="191"/>
      <c r="P25" s="149" t="str">
        <f>IFERROR(VLOOKUP($V$7,'1°C'!$A$75:$BY$125,25,0),"")</f>
        <v/>
      </c>
      <c r="Q25" s="229" t="str">
        <f>IFERROR(VLOOKUP($V$7,'1°C'!$A$75:$BY$125,26,0),"")</f>
        <v/>
      </c>
      <c r="R25" s="190"/>
      <c r="S25" s="191"/>
    </row>
    <row r="26" spans="2:23" ht="145.5" customHeight="1">
      <c r="B26" s="187"/>
      <c r="C26" s="238" t="s">
        <v>626</v>
      </c>
      <c r="D26" s="190"/>
      <c r="E26" s="190"/>
      <c r="F26" s="190"/>
      <c r="G26" s="152" t="str">
        <f>IFERROR(VLOOKUP(V7,'1°C'!A12:CA48,27,0),"")</f>
        <v>AD</v>
      </c>
      <c r="H26" s="229" t="str">
        <f>IFERROR(VLOOKUP(V7,'1°C'!A12:CA48,28,0),"")</f>
        <v>Crea proyectos artísticos que comunican de manera efectiva.</v>
      </c>
      <c r="I26" s="190"/>
      <c r="J26" s="190"/>
      <c r="K26" s="190"/>
      <c r="L26" s="152" t="str">
        <f>IFERROR(VLOOKUP($V$7,'1°C'!$A$41:$BY$58,27,0),"")</f>
        <v/>
      </c>
      <c r="M26" s="229" t="str">
        <f>IFERROR(VLOOKUP($V$7,'1°C'!$A$41:$BY$58,28,0),"")</f>
        <v/>
      </c>
      <c r="N26" s="190"/>
      <c r="O26" s="191"/>
      <c r="P26" s="149" t="str">
        <f>IFERROR(VLOOKUP($V$7,'1°C'!$A$75:$BY$125,27,0),"")</f>
        <v/>
      </c>
      <c r="Q26" s="229" t="str">
        <f>IFERROR(VLOOKUP($V$7,'1°C'!$A$75:$BY$125,28,0),"")</f>
        <v/>
      </c>
      <c r="R26" s="190"/>
      <c r="S26" s="191"/>
    </row>
    <row r="27" spans="2:23" ht="150.75" customHeight="1">
      <c r="B27" s="240" t="s">
        <v>5</v>
      </c>
      <c r="C27" s="238" t="s">
        <v>627</v>
      </c>
      <c r="D27" s="190"/>
      <c r="E27" s="190"/>
      <c r="F27" s="190"/>
      <c r="G27" s="152" t="str">
        <f>IFERROR(VLOOKUP(V7,'1°C'!A12:CA48,30,0),"")</f>
        <v>AD</v>
      </c>
      <c r="H27" s="229" t="str">
        <f>IFERROR(VLOOKUP(V7,'1°C'!A12:CA48,31,0),"")</f>
        <v>Logra alcancar un nivel muy destacado al realizar todas sus actividades, demuestra buen desempeño al realizar individualmente todas sus actividades.</v>
      </c>
      <c r="I27" s="190"/>
      <c r="J27" s="190"/>
      <c r="K27" s="190"/>
      <c r="L27" s="152" t="str">
        <f>IFERROR(VLOOKUP($V$7,'1°C'!$A$41:$BY$58,30,0),"")</f>
        <v/>
      </c>
      <c r="M27" s="229" t="str">
        <f>IFERROR(VLOOKUP($V$7,'1°C'!$A$41:$BY$58,31,0),"")</f>
        <v/>
      </c>
      <c r="N27" s="190"/>
      <c r="O27" s="191"/>
      <c r="P27" s="149" t="str">
        <f>IFERROR(VLOOKUP($V$7,'1°C'!$A$75:$BY$125,30,0),"")</f>
        <v/>
      </c>
      <c r="Q27" s="229" t="str">
        <f>IFERROR(VLOOKUP($V$7,'1°C'!$A$75:$BY$125,31,0),"")</f>
        <v/>
      </c>
      <c r="R27" s="190"/>
      <c r="S27" s="191"/>
    </row>
    <row r="28" spans="2:23" ht="153" customHeight="1">
      <c r="B28" s="186"/>
      <c r="C28" s="238" t="s">
        <v>628</v>
      </c>
      <c r="D28" s="190"/>
      <c r="E28" s="190"/>
      <c r="F28" s="190"/>
      <c r="G28" s="152" t="str">
        <f>IFERROR(VLOOKUP(V7,'1°C'!A12:CA48,32,0),"")</f>
        <v>A</v>
      </c>
      <c r="H28" s="229" t="str">
        <f>IFERROR(VLOOKUP(V7,'1°C'!A12:CA48,33,0),"")</f>
        <v>Logra alcanzar los aprendizajes esperados, realiza sus actividades de manera autónoma.</v>
      </c>
      <c r="I28" s="190"/>
      <c r="J28" s="190"/>
      <c r="K28" s="190"/>
      <c r="L28" s="152" t="str">
        <f>IFERROR(VLOOKUP($V$7,'1°C'!$A$41:$BY$58,32,0),"")</f>
        <v/>
      </c>
      <c r="M28" s="229" t="str">
        <f>IFERROR(VLOOKUP($V$7,'1°C'!$A$41:$BY$58,33,0),"")</f>
        <v/>
      </c>
      <c r="N28" s="190"/>
      <c r="O28" s="191"/>
      <c r="P28" s="149" t="str">
        <f>IFERROR(VLOOKUP($V$7,'1°C'!$A$75:$BY$125,32,0),"")</f>
        <v/>
      </c>
      <c r="Q28" s="229" t="str">
        <f>IFERROR(VLOOKUP($V$7,'1°C'!$A$75:$BY$125,33,0),"")</f>
        <v/>
      </c>
      <c r="R28" s="190"/>
      <c r="S28" s="191"/>
    </row>
    <row r="29" spans="2:23" ht="180.75" customHeight="1">
      <c r="B29" s="187"/>
      <c r="C29" s="238" t="s">
        <v>629</v>
      </c>
      <c r="D29" s="190"/>
      <c r="E29" s="190"/>
      <c r="F29" s="190"/>
      <c r="G29" s="168" t="s">
        <v>102</v>
      </c>
      <c r="H29" s="229" t="str">
        <f>IFERROR(VLOOKUP(V7,'1°C'!A12:CA48,35,0),"")</f>
        <v>Logra alcanzar los aprendizajes esperados, realiza sus actividades de manera autónoma.</v>
      </c>
      <c r="I29" s="190"/>
      <c r="J29" s="190"/>
      <c r="K29" s="190"/>
      <c r="L29" s="152" t="str">
        <f>IFERROR(VLOOKUP($V$7,'1°C'!$A$41:$BY$58,34,0),"")</f>
        <v/>
      </c>
      <c r="M29" s="229" t="str">
        <f>IFERROR(VLOOKUP($V$7,'1°C'!$A$41:$BY$58,35,0),"")</f>
        <v/>
      </c>
      <c r="N29" s="190"/>
      <c r="O29" s="191"/>
      <c r="P29" s="149" t="str">
        <f>IFERROR(VLOOKUP($V$7,'1°C'!$A$75:$BY$125,34,0),"")</f>
        <v/>
      </c>
      <c r="Q29" s="229" t="str">
        <f>IFERROR(VLOOKUP($V$7,'1°C'!$A$75:$BY$125,35,0),"")</f>
        <v/>
      </c>
      <c r="R29" s="190"/>
      <c r="S29" s="191"/>
    </row>
    <row r="30" spans="2:23" ht="173.25" customHeight="1">
      <c r="B30" s="240" t="s">
        <v>630</v>
      </c>
      <c r="C30" s="238" t="s">
        <v>631</v>
      </c>
      <c r="D30" s="190"/>
      <c r="E30" s="190"/>
      <c r="F30" s="190"/>
      <c r="G30" s="152" t="str">
        <f>IFERROR(VLOOKUP(V7,'1°C'!A12:CA48,37,0),"")</f>
        <v>C</v>
      </c>
      <c r="H30" s="229" t="str">
        <f>IFERROR(VLOOKUP(V7,'1°C'!A12:CA48,38,0),"")</f>
        <v>NO PRECISA DESARROLLO DE LA COMPETENCIA EN MENCION</v>
      </c>
      <c r="I30" s="190"/>
      <c r="J30" s="190"/>
      <c r="K30" s="190"/>
      <c r="L30" s="152" t="str">
        <f>IFERROR(VLOOKUP($V$7,'1°C'!$A$41:$BY$58,37,0),"")</f>
        <v/>
      </c>
      <c r="M30" s="229" t="str">
        <f>IFERROR(VLOOKUP($V$7,'1°C'!$A$41:$BY$58,38,0),"")</f>
        <v/>
      </c>
      <c r="N30" s="190"/>
      <c r="O30" s="191"/>
      <c r="P30" s="149" t="str">
        <f>IFERROR(VLOOKUP($V$7,'1°C'!$A$75:$BY$125,37,0),"")</f>
        <v/>
      </c>
      <c r="Q30" s="229" t="str">
        <f>IFERROR(VLOOKUP($V$7,'1°C'!$A$75:$BY$125,38,0),"")</f>
        <v/>
      </c>
      <c r="R30" s="190"/>
      <c r="S30" s="191"/>
    </row>
    <row r="31" spans="2:23" ht="194.25" customHeight="1">
      <c r="B31" s="186"/>
      <c r="C31" s="238" t="s">
        <v>632</v>
      </c>
      <c r="D31" s="190"/>
      <c r="E31" s="190"/>
      <c r="F31" s="190"/>
      <c r="G31" s="152" t="str">
        <f>IFERROR(VLOOKUP(V7,'1°C'!A12:CA48,39,0),"")</f>
        <v>C</v>
      </c>
      <c r="H31" s="229" t="str">
        <f>IFERROR(VLOOKUP(V7,'1°C'!A12:CA48,40,0),"")</f>
        <v>NO PRECISA EL DESARROLLO DE LA COMPETENCIA EN MENCION</v>
      </c>
      <c r="I31" s="190"/>
      <c r="J31" s="190"/>
      <c r="K31" s="190"/>
      <c r="L31" s="152" t="str">
        <f>IFERROR(VLOOKUP($V$7,'1°C'!$A$41:$BY$58,39,0),"")</f>
        <v/>
      </c>
      <c r="M31" s="229" t="str">
        <f>IFERROR(VLOOKUP($V$7,'1°C'!$A$41:$BY$58,40,0),"")</f>
        <v/>
      </c>
      <c r="N31" s="190"/>
      <c r="O31" s="191"/>
      <c r="P31" s="149" t="str">
        <f>IFERROR(VLOOKUP($V$7,'1°C'!$A$75:$BY$125,39,0),"")</f>
        <v/>
      </c>
      <c r="Q31" s="229" t="str">
        <f>IFERROR(VLOOKUP($V$7,'1°C'!$A$75:$BY$125,40,0),"")</f>
        <v/>
      </c>
      <c r="R31" s="190"/>
      <c r="S31" s="191"/>
    </row>
    <row r="32" spans="2:23" ht="190.5" customHeight="1">
      <c r="B32" s="187"/>
      <c r="C32" s="238" t="s">
        <v>633</v>
      </c>
      <c r="D32" s="190"/>
      <c r="E32" s="190"/>
      <c r="F32" s="190"/>
      <c r="G32" s="152" t="str">
        <f>IFERROR(VLOOKUP(V7,'1°C'!A12:CA48,41,0),"")</f>
        <v>B</v>
      </c>
      <c r="H32" s="229" t="str">
        <f>IFERROR(VLOOKUP(V7,'1°C'!A12:CA48,42,0),"")</f>
        <v>EL ESTUDIANTE ESCRIBE DE MANERA AUTONOMA DIVERSOS TIPOS DE TEXTOS .</v>
      </c>
      <c r="I32" s="190"/>
      <c r="J32" s="190"/>
      <c r="K32" s="190"/>
      <c r="L32" s="152" t="str">
        <f>IFERROR(VLOOKUP($V$7,'1°C'!$A$41:$BY$58,41,0),"")</f>
        <v/>
      </c>
      <c r="M32" s="229" t="str">
        <f>IFERROR(VLOOKUP($V$7,'1°C'!$A$41:$BY$58,42,0),"")</f>
        <v/>
      </c>
      <c r="N32" s="190"/>
      <c r="O32" s="191"/>
      <c r="P32" s="149" t="str">
        <f>IFERROR(VLOOKUP($V$7,'1°C'!$A$75:$BY$125,41,0),"")</f>
        <v/>
      </c>
      <c r="Q32" s="229" t="str">
        <f>IFERROR(VLOOKUP($V$7,'1°C'!$A$75:$BY$125,42,0),"")</f>
        <v/>
      </c>
      <c r="R32" s="190"/>
      <c r="S32" s="191"/>
    </row>
    <row r="33" spans="2:19" ht="114.75" customHeight="1">
      <c r="B33" s="240" t="s">
        <v>634</v>
      </c>
      <c r="C33" s="238" t="s">
        <v>635</v>
      </c>
      <c r="D33" s="190"/>
      <c r="E33" s="190"/>
      <c r="F33" s="190"/>
      <c r="G33" s="152" t="str">
        <f>IFERROR(VLOOKUP(V7,'1°C'!A12:CA48,44,0),"")</f>
        <v>A</v>
      </c>
      <c r="H33" s="229" t="str">
        <f>IFERROR(VLOOKUP(V7,'1°C'!A12:CA48,45,0),"")</f>
        <v>Resuelve operaciones matemáticos con datos referidos.</v>
      </c>
      <c r="I33" s="190"/>
      <c r="J33" s="190"/>
      <c r="K33" s="190"/>
      <c r="L33" s="152" t="str">
        <f>IFERROR(VLOOKUP($V$7,'1°C'!$A$41:$BY$58,44,0),"")</f>
        <v/>
      </c>
      <c r="M33" s="229" t="str">
        <f>IFERROR(VLOOKUP($V$7,'1°C'!$A$41:$BY$58,45,0),"")</f>
        <v/>
      </c>
      <c r="N33" s="190"/>
      <c r="O33" s="191"/>
      <c r="P33" s="149" t="str">
        <f>IFERROR(VLOOKUP($V$7,'1°C'!$A$75:$BY$125,44,0),"")</f>
        <v/>
      </c>
      <c r="Q33" s="229" t="str">
        <f>IFERROR(VLOOKUP($V$7,'1°C'!$A$75:$BY$125,45,0),"")</f>
        <v/>
      </c>
      <c r="R33" s="190"/>
      <c r="S33" s="191"/>
    </row>
    <row r="34" spans="2:19" ht="154.5" customHeight="1">
      <c r="B34" s="186"/>
      <c r="C34" s="238" t="s">
        <v>636</v>
      </c>
      <c r="D34" s="190"/>
      <c r="E34" s="190"/>
      <c r="F34" s="190"/>
      <c r="G34" s="152" t="str">
        <f>IFERROR(VLOOKUP(V7,'1°C'!A12:CA48,46,0),"")</f>
        <v>A</v>
      </c>
      <c r="H34" s="229" t="str">
        <f>IFERROR(VLOOKUP(V7,'1°C'!A12:CA48,47,0),"")</f>
        <v>Desarrolla problemas con facilidad .</v>
      </c>
      <c r="I34" s="190"/>
      <c r="J34" s="190"/>
      <c r="K34" s="190"/>
      <c r="L34" s="152" t="str">
        <f>IFERROR(VLOOKUP($V$7,'1°C'!$A$41:$BY$58,46,0),"")</f>
        <v/>
      </c>
      <c r="M34" s="229" t="str">
        <f>IFERROR(VLOOKUP($V$7,'1°C'!$A$41:$BY$58,47,0),"")</f>
        <v/>
      </c>
      <c r="N34" s="190"/>
      <c r="O34" s="191"/>
      <c r="P34" s="149" t="str">
        <f>IFERROR(VLOOKUP($V$7,'1°C'!$A$75:$BY$125,46,0),"")</f>
        <v/>
      </c>
      <c r="Q34" s="229" t="str">
        <f>IFERROR(VLOOKUP($V$7,'1°C'!$A$75:$BY$125,47,0),"")</f>
        <v/>
      </c>
      <c r="R34" s="190"/>
      <c r="S34" s="191"/>
    </row>
    <row r="35" spans="2:19" ht="199.5" customHeight="1">
      <c r="B35" s="186"/>
      <c r="C35" s="238" t="s">
        <v>637</v>
      </c>
      <c r="D35" s="190"/>
      <c r="E35" s="190"/>
      <c r="F35" s="190"/>
      <c r="G35" s="152" t="str">
        <f>IFERROR(VLOOKUP(V7,'1°C'!A12:CA48,48,0),"")</f>
        <v>A</v>
      </c>
      <c r="H35" s="229" t="str">
        <f>IFERROR(VLOOKUP(V7,'1°C'!A12:CA48,49,0),"")</f>
        <v>Resuelve problemas matemáticon usando potenciación.</v>
      </c>
      <c r="I35" s="190"/>
      <c r="J35" s="190"/>
      <c r="K35" s="190"/>
      <c r="L35" s="152" t="str">
        <f>IFERROR(VLOOKUP($V$7,'1°C'!$A$41:$BY$58,48,0),"")</f>
        <v/>
      </c>
      <c r="M35" s="229" t="str">
        <f>IFERROR(VLOOKUP($V$7,'1°C'!$A$41:$BY$58,49,0),"")</f>
        <v/>
      </c>
      <c r="N35" s="190"/>
      <c r="O35" s="191"/>
      <c r="P35" s="149" t="str">
        <f>IFERROR(VLOOKUP($V$7,'1°C'!$A$75:$BY$125,48,0),"")</f>
        <v/>
      </c>
      <c r="Q35" s="229" t="str">
        <f>IFERROR(VLOOKUP($V$7,'1°C'!$A$75:$BY$125,49,0),"")</f>
        <v/>
      </c>
      <c r="R35" s="190"/>
      <c r="S35" s="191"/>
    </row>
    <row r="36" spans="2:19" ht="199.5" customHeight="1">
      <c r="B36" s="187"/>
      <c r="C36" s="238" t="s">
        <v>638</v>
      </c>
      <c r="D36" s="190"/>
      <c r="E36" s="190"/>
      <c r="F36" s="190"/>
      <c r="G36" s="152" t="str">
        <f>IFERROR(VLOOKUP(V7,'1°C'!A12:CA48,50,0),"")</f>
        <v>A</v>
      </c>
      <c r="H36" s="229" t="str">
        <f>IFERROR(VLOOKUP(V7,'1°C'!A12:CA48,51,0),"")</f>
        <v>Va mejorando en las actividades académicas.</v>
      </c>
      <c r="I36" s="190"/>
      <c r="J36" s="190"/>
      <c r="K36" s="190"/>
      <c r="L36" s="152" t="str">
        <f>IFERROR(VLOOKUP($V$7,'1°C'!$A$41:$BY$58,50,0),"")</f>
        <v/>
      </c>
      <c r="M36" s="229" t="str">
        <f>IFERROR(VLOOKUP($V$7,'1°C'!$A$41:$BY$58,51,0),"")</f>
        <v/>
      </c>
      <c r="N36" s="190"/>
      <c r="O36" s="191"/>
      <c r="P36" s="149" t="str">
        <f>IFERROR(VLOOKUP($V$7,'1°C'!$A$75:$BY$125,50,0),"")</f>
        <v/>
      </c>
      <c r="Q36" s="229" t="str">
        <f>IFERROR(VLOOKUP($V$7,'1°C'!$A$75:$BY$125,51,0),"")</f>
        <v/>
      </c>
      <c r="R36" s="190"/>
      <c r="S36" s="191"/>
    </row>
    <row r="37" spans="2:19" ht="199.5" customHeight="1">
      <c r="B37" s="240" t="s">
        <v>639</v>
      </c>
      <c r="C37" s="238" t="s">
        <v>640</v>
      </c>
      <c r="D37" s="190"/>
      <c r="E37" s="190"/>
      <c r="F37" s="190"/>
      <c r="G37" s="152" t="str">
        <f>IFERROR(VLOOKUP(V7,'1°C'!A12:CA48,53,0),"")</f>
        <v>B</v>
      </c>
      <c r="H37" s="229" t="str">
        <f>IFERROR(VLOOKUP(V7,'1°C'!A12:CA48,54,0),"")</f>
        <v>Indaga a partir de preguntas e hipótesis que son verificables, presenta dificultad al identificar las variables y al plantear su hipótesis. Se sugiere mejorar algunas presiciones de las variables para plantear la hipótesis y recoger los datos de manera clara.</v>
      </c>
      <c r="I37" s="190"/>
      <c r="J37" s="190"/>
      <c r="K37" s="191"/>
      <c r="L37" s="152" t="str">
        <f>IFERROR(VLOOKUP($V$7,'1°C'!$A$41:$BY$58,53,0),"")</f>
        <v/>
      </c>
      <c r="M37" s="229" t="str">
        <f>IFERROR(VLOOKUP($V$7,'1°C'!$A$41:$BY$58,54,0),"")</f>
        <v/>
      </c>
      <c r="N37" s="190"/>
      <c r="O37" s="191"/>
      <c r="P37" s="149" t="str">
        <f>IFERROR(VLOOKUP($V$7,'1°C'!$A$75:$BY$125,53,0),"")</f>
        <v/>
      </c>
      <c r="Q37" s="229" t="str">
        <f>IFERROR(VLOOKUP($V$7,'1°C'!$A$75:$BY$125,54,0),"")</f>
        <v/>
      </c>
      <c r="R37" s="190"/>
      <c r="S37" s="191"/>
    </row>
    <row r="38" spans="2:19" ht="199.5" customHeight="1">
      <c r="B38" s="186"/>
      <c r="C38" s="238" t="s">
        <v>641</v>
      </c>
      <c r="D38" s="190"/>
      <c r="E38" s="190"/>
      <c r="F38" s="190"/>
      <c r="G38" s="152" t="str">
        <f>IFERROR(VLOOKUP(V7,'1°C'!A12:CA48,55,0),"")</f>
        <v>B</v>
      </c>
      <c r="H38" s="229" t="str">
        <f>IFERROR(VLOOKUP(V7,'1°C'!A12:CA48,56,0),"")</f>
        <v>Al explicar establece relaciones entre varios conceptos con respaldo y evidencia científica, los transfiere a nueva situaciones. Demuestra debilidad en defender su argumentación y postura. Pero, podrías esforzarte más.</v>
      </c>
      <c r="I38" s="190"/>
      <c r="J38" s="190"/>
      <c r="K38" s="190"/>
      <c r="L38" s="152" t="str">
        <f>IFERROR(VLOOKUP($V$7,'1°C'!$A$41:$BY$58,55,0),"")</f>
        <v/>
      </c>
      <c r="M38" s="229" t="str">
        <f>IFERROR(VLOOKUP($V$7,'1°C'!$A$41:$BY$58,56,0),"")</f>
        <v/>
      </c>
      <c r="N38" s="190"/>
      <c r="O38" s="191"/>
      <c r="P38" s="149" t="str">
        <f>IFERROR(VLOOKUP($V$7,'1°C'!$A$75:$BY$125,55,0),"")</f>
        <v/>
      </c>
      <c r="Q38" s="229" t="str">
        <f>IFERROR(VLOOKUP($V$7,'1°C'!$A$75:$BY$125,56,0),"")</f>
        <v/>
      </c>
      <c r="R38" s="190"/>
      <c r="S38" s="191"/>
    </row>
    <row r="39" spans="2:19" ht="199.5" customHeight="1">
      <c r="B39" s="187"/>
      <c r="C39" s="238" t="s">
        <v>642</v>
      </c>
      <c r="D39" s="190"/>
      <c r="E39" s="190"/>
      <c r="F39" s="190"/>
      <c r="G39" s="152" t="str">
        <f>IFERROR(VLOOKUP(V7,'1°C'!A12:CA48,57,0),"")</f>
        <v>A</v>
      </c>
      <c r="H39" s="229" t="str">
        <f>IFERROR(VLOOKUP(V7,'1°C'!A12:CA48,58,0),"")</f>
        <v>En la solución tecnológica propone alternativas, lo diseña, selecciona los materiales y herramientas, lo ejecuta, realiza sus ajustes y da a conocer los resultados de su alternativa de solución. !Sigue adelante!</v>
      </c>
      <c r="I39" s="190"/>
      <c r="J39" s="190"/>
      <c r="K39" s="190"/>
      <c r="L39" s="152" t="str">
        <f>IFERROR(VLOOKUP($V$7,'1°C'!$A$41:$BY$58,57,0),"")</f>
        <v/>
      </c>
      <c r="M39" s="229" t="str">
        <f>IFERROR(VLOOKUP($V$7,'1°C'!$A$41:$BY$58,58,0),"")</f>
        <v/>
      </c>
      <c r="N39" s="190"/>
      <c r="O39" s="191"/>
      <c r="P39" s="149" t="str">
        <f>IFERROR(VLOOKUP($V$7,'1°C'!$A$75:$BY$125,57,0),"")</f>
        <v/>
      </c>
      <c r="Q39" s="229" t="str">
        <f>IFERROR(VLOOKUP($V$7,'1°C'!$A$75:$BY$125,58,0),"")</f>
        <v/>
      </c>
      <c r="R39" s="190"/>
      <c r="S39" s="191"/>
    </row>
    <row r="40" spans="2:19" ht="199.5" customHeight="1">
      <c r="B40" s="240" t="s">
        <v>643</v>
      </c>
      <c r="C40" s="238" t="s">
        <v>644</v>
      </c>
      <c r="D40" s="190"/>
      <c r="E40" s="190"/>
      <c r="F40" s="190"/>
      <c r="G40" s="152" t="str">
        <f>IFERROR(VLOOKUP(V7,'1°C'!A12:CA48,60,0),"")</f>
        <v>C</v>
      </c>
      <c r="H40" s="229" t="str">
        <f>IFERROR(VLOOKUP(V7,'1°C'!A12:CA48,61,0),"")</f>
        <v>No ha tenido la oportunidad de participar en el proceso de aprendizaje por diversos motivos.</v>
      </c>
      <c r="I40" s="190"/>
      <c r="J40" s="190"/>
      <c r="K40" s="190"/>
      <c r="L40" s="152" t="str">
        <f>IFERROR(VLOOKUP($V$7,'1°C'!$A$41:$BY$58,60,0),"")</f>
        <v/>
      </c>
      <c r="M40" s="229" t="str">
        <f>IFERROR(VLOOKUP($V$7,'1°C'!$A$41:$BY$58,61,0),"")</f>
        <v/>
      </c>
      <c r="N40" s="190"/>
      <c r="O40" s="191"/>
      <c r="P40" s="149" t="str">
        <f>IFERROR(VLOOKUP($V$7,'1°C'!$A$75:$BY$125,60,0),"")</f>
        <v/>
      </c>
      <c r="Q40" s="229" t="str">
        <f>IFERROR(VLOOKUP($V$7,'1°C'!$A$75:$BY$125,61,0),"")</f>
        <v/>
      </c>
      <c r="R40" s="190"/>
      <c r="S40" s="191"/>
    </row>
    <row r="41" spans="2:19" ht="199.5" customHeight="1">
      <c r="B41" s="187"/>
      <c r="C41" s="238" t="s">
        <v>645</v>
      </c>
      <c r="D41" s="190"/>
      <c r="E41" s="190"/>
      <c r="F41" s="190"/>
      <c r="G41" s="152" t="str">
        <f>IFERROR(VLOOKUP(V7,'1°C'!A12:CA48,62,0),"")</f>
        <v>C</v>
      </c>
      <c r="H41" s="229" t="str">
        <f>IFERROR(VLOOKUP(V7,'1°C'!A12:CA48,63,0),"")</f>
        <v>No ha tenido la oportunidad de participar en el proceso de aprendizaje por diversos motivos.</v>
      </c>
      <c r="I41" s="190"/>
      <c r="J41" s="190"/>
      <c r="K41" s="190"/>
      <c r="L41" s="152" t="str">
        <f>IFERROR(VLOOKUP($V$7,'1°C'!$A$41:$BY$58,62,0),"")</f>
        <v/>
      </c>
      <c r="M41" s="229" t="str">
        <f>IFERROR(VLOOKUP($V$7,'1°C'!$A$41:$BY$58,63,0),"")</f>
        <v/>
      </c>
      <c r="N41" s="190"/>
      <c r="O41" s="191"/>
      <c r="P41" s="149" t="str">
        <f>IFERROR(VLOOKUP($V$7,'1°C'!$A$75:$BY$125,62,0),"")</f>
        <v/>
      </c>
      <c r="Q41" s="229" t="str">
        <f>IFERROR(VLOOKUP($V$7,'1°C'!$A$75:$BY$125,63,0),"")</f>
        <v/>
      </c>
      <c r="R41" s="190"/>
      <c r="S41" s="191"/>
    </row>
    <row r="42" spans="2:19" ht="199.5" customHeight="1">
      <c r="B42" s="153" t="s">
        <v>646</v>
      </c>
      <c r="C42" s="238" t="s">
        <v>647</v>
      </c>
      <c r="D42" s="190"/>
      <c r="E42" s="190"/>
      <c r="F42" s="190"/>
      <c r="G42" s="152" t="str">
        <f>IFERROR(VLOOKUP(V7,'1°C'!A12:CA48,65,0),"")</f>
        <v>B</v>
      </c>
      <c r="H42" s="229" t="str">
        <f>IFERROR(VLOOKUP(V7,'1°C'!A12:CA48,66,0),"")</f>
        <v>GESTIONA PROYECTOS DE EMPRENDIMIENTO ECONÓMICA O SOCIAL, SIN EMBARGO, TIENE DIFICULTADES AL MOMENTO DE EVALUAR LOS LOGROS Y REALIZAR MEJORAS A SUS PROPUESTAS DE PROYECTO.</v>
      </c>
      <c r="I42" s="190"/>
      <c r="J42" s="190"/>
      <c r="K42" s="190"/>
      <c r="L42" s="152" t="str">
        <f>IFERROR(VLOOKUP($V$7,'1°C'!$A$41:$BY$58,65,0),"")</f>
        <v/>
      </c>
      <c r="M42" s="229" t="str">
        <f>IFERROR(VLOOKUP($V$7,'1°C'!$A$41:$BY$58,66,0),"")</f>
        <v/>
      </c>
      <c r="N42" s="190"/>
      <c r="O42" s="191"/>
      <c r="P42" s="149" t="str">
        <f>IFERROR(VLOOKUP($V$7,'1°C'!$A$75:$BY$125,65,0),"")</f>
        <v/>
      </c>
      <c r="Q42" s="229" t="str">
        <f>IFERROR(VLOOKUP($V$7,'1°C'!$A$75:$BY$125,66,0),"")</f>
        <v/>
      </c>
      <c r="R42" s="190"/>
      <c r="S42" s="191"/>
    </row>
    <row r="43" spans="2:19" ht="15.75" customHeight="1">
      <c r="B43" s="6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</row>
    <row r="44" spans="2:19" ht="15.75" customHeight="1"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</row>
    <row r="45" spans="2:19" ht="23.25" customHeight="1">
      <c r="B45" s="262" t="s">
        <v>11</v>
      </c>
      <c r="C45" s="204"/>
      <c r="D45" s="204"/>
      <c r="E45" s="204"/>
      <c r="F45" s="204"/>
      <c r="G45" s="230" t="s">
        <v>610</v>
      </c>
      <c r="H45" s="190"/>
      <c r="I45" s="190"/>
      <c r="J45" s="190"/>
      <c r="K45" s="191"/>
      <c r="L45" s="230" t="s">
        <v>611</v>
      </c>
      <c r="M45" s="190"/>
      <c r="N45" s="190"/>
      <c r="O45" s="190"/>
      <c r="P45" s="230" t="s">
        <v>612</v>
      </c>
      <c r="Q45" s="190"/>
      <c r="R45" s="190"/>
      <c r="S45" s="191"/>
    </row>
    <row r="46" spans="2:19" ht="53.25" customHeight="1">
      <c r="B46" s="219"/>
      <c r="C46" s="220"/>
      <c r="D46" s="220"/>
      <c r="E46" s="220"/>
      <c r="F46" s="220"/>
      <c r="G46" s="154" t="s">
        <v>613</v>
      </c>
      <c r="H46" s="232" t="s">
        <v>614</v>
      </c>
      <c r="I46" s="190"/>
      <c r="J46" s="190"/>
      <c r="K46" s="191"/>
      <c r="L46" s="154" t="s">
        <v>613</v>
      </c>
      <c r="M46" s="232" t="s">
        <v>614</v>
      </c>
      <c r="N46" s="190"/>
      <c r="O46" s="190"/>
      <c r="P46" s="154" t="s">
        <v>613</v>
      </c>
      <c r="Q46" s="232" t="s">
        <v>614</v>
      </c>
      <c r="R46" s="190"/>
      <c r="S46" s="191"/>
    </row>
    <row r="47" spans="2:19" ht="87.75" customHeight="1">
      <c r="B47" s="232" t="s">
        <v>648</v>
      </c>
      <c r="C47" s="190"/>
      <c r="D47" s="190"/>
      <c r="E47" s="190"/>
      <c r="F47" s="190"/>
      <c r="G47" s="156" t="str">
        <f>IFERROR(VLOOKUP(V7,'1°C'!A12:CA48,68,0),"")</f>
        <v>A</v>
      </c>
      <c r="H47" s="229" t="str">
        <f>IFERROR(VLOOKUP(V7,'1°C'!A12:CA48,69,0),"")</f>
        <v>Te desenvuelves en el campo virtual, desarrollando conocimientos actitudes y valores para elevar el nivel de tus aprendizajes.</v>
      </c>
      <c r="I47" s="190"/>
      <c r="J47" s="190"/>
      <c r="K47" s="190"/>
      <c r="L47" s="156" t="str">
        <f>IFERROR(VLOOKUP($V$7,'1°C'!$A$41:$BY$58,68,0),"")</f>
        <v/>
      </c>
      <c r="M47" s="275" t="str">
        <f>IFERROR(VLOOKUP($V$7,'1°C'!$A$41:$BY$58,69,0),"")</f>
        <v/>
      </c>
      <c r="N47" s="190"/>
      <c r="O47" s="191"/>
      <c r="P47" s="166" t="str">
        <f>IFERROR(VLOOKUP($V$7,'1°C'!$A$75:$BY$125,68,0),"")</f>
        <v/>
      </c>
      <c r="Q47" s="276" t="str">
        <f>IFERROR(VLOOKUP($V$7,'1°C'!$A$75:$BY$125,69,0),"")</f>
        <v/>
      </c>
      <c r="R47" s="220"/>
      <c r="S47" s="221"/>
    </row>
    <row r="48" spans="2:19" ht="112.5" customHeight="1">
      <c r="B48" s="232" t="s">
        <v>649</v>
      </c>
      <c r="C48" s="190"/>
      <c r="D48" s="190"/>
      <c r="E48" s="190"/>
      <c r="F48" s="190"/>
      <c r="G48" s="156" t="str">
        <f>IFERROR(VLOOKUP(V7,'1°C'!A12:CA48,70,0),"")</f>
        <v>A</v>
      </c>
      <c r="H48" s="229" t="str">
        <f>IFERROR(VLOOKUP(V7,'1°C'!A12:CA48,71,0),"")</f>
        <v>Gestionas aprendizaje de manera autónoma, tomando en cuenta metas personales para mejorar tus aprendizajes.</v>
      </c>
      <c r="I48" s="190"/>
      <c r="J48" s="190"/>
      <c r="K48" s="190"/>
      <c r="L48" s="156" t="str">
        <f>IFERROR(VLOOKUP($V$7,'1°C'!$A$41:$BY$58,70,0),"")</f>
        <v/>
      </c>
      <c r="M48" s="275" t="str">
        <f>IFERROR(VLOOKUP($V$7,'1°C'!$A$41:$BY$58,71,0),"")</f>
        <v/>
      </c>
      <c r="N48" s="190"/>
      <c r="O48" s="191"/>
      <c r="P48" s="157" t="str">
        <f>IFERROR(VLOOKUP($V$7,'1°C'!$A$75:$BY$125,70,0),"")</f>
        <v/>
      </c>
      <c r="Q48" s="229" t="str">
        <f>IFERROR(VLOOKUP($V$7,'1°C'!$A$75:$BY$125,71,0),"")</f>
        <v/>
      </c>
      <c r="R48" s="190"/>
      <c r="S48" s="191"/>
    </row>
    <row r="49" spans="2:17" ht="15.75" customHeight="1"/>
    <row r="50" spans="2:17" ht="15.75" customHeight="1"/>
    <row r="51" spans="2:17" ht="15.75" customHeight="1">
      <c r="C51" s="258" t="s">
        <v>650</v>
      </c>
      <c r="D51" s="210"/>
      <c r="E51" s="210"/>
      <c r="F51" s="210"/>
      <c r="G51" s="210"/>
      <c r="H51" s="210"/>
      <c r="I51" s="210"/>
      <c r="J51" s="210"/>
      <c r="K51" s="210"/>
    </row>
    <row r="52" spans="2:17" ht="15.75" customHeight="1"/>
    <row r="53" spans="2:17" ht="19.5" customHeight="1">
      <c r="B53" s="6"/>
      <c r="C53" s="248" t="s">
        <v>651</v>
      </c>
      <c r="D53" s="204"/>
      <c r="E53" s="204"/>
      <c r="F53" s="218"/>
      <c r="G53" s="259" t="s">
        <v>12</v>
      </c>
      <c r="H53" s="190"/>
      <c r="I53" s="190"/>
      <c r="J53" s="190"/>
      <c r="K53" s="190"/>
      <c r="L53" s="233" t="s">
        <v>13</v>
      </c>
      <c r="M53" s="190"/>
      <c r="N53" s="190"/>
      <c r="O53" s="191"/>
      <c r="P53" s="234" t="s">
        <v>14</v>
      </c>
      <c r="Q53" s="218"/>
    </row>
    <row r="54" spans="2:17" ht="19.5" customHeight="1">
      <c r="B54" s="6"/>
      <c r="C54" s="219"/>
      <c r="D54" s="220"/>
      <c r="E54" s="220"/>
      <c r="F54" s="221"/>
      <c r="G54" s="235" t="s">
        <v>50</v>
      </c>
      <c r="H54" s="190"/>
      <c r="I54" s="191"/>
      <c r="J54" s="235" t="s">
        <v>51</v>
      </c>
      <c r="K54" s="191"/>
      <c r="L54" s="235" t="s">
        <v>50</v>
      </c>
      <c r="M54" s="191"/>
      <c r="N54" s="235" t="s">
        <v>51</v>
      </c>
      <c r="O54" s="191"/>
      <c r="P54" s="219"/>
      <c r="Q54" s="221"/>
    </row>
    <row r="55" spans="2:17" ht="30" customHeight="1">
      <c r="B55" s="6"/>
      <c r="C55" s="159" t="s">
        <v>610</v>
      </c>
      <c r="D55" s="160"/>
      <c r="E55" s="160"/>
      <c r="F55" s="161"/>
      <c r="G55" s="236">
        <f>IFERROR(VLOOKUP(V7,'1°C'!A12:CA48,73,0),"")</f>
        <v>0</v>
      </c>
      <c r="H55" s="190"/>
      <c r="I55" s="191"/>
      <c r="J55" s="236">
        <f>IFERROR(VLOOKUP(V7,'1°C'!A12:CA48,74,0),"")</f>
        <v>0</v>
      </c>
      <c r="K55" s="191"/>
      <c r="L55" s="236">
        <f>IFERROR(VLOOKUP(V7,'1°C'!A12:CA48,76,0),"")</f>
        <v>0</v>
      </c>
      <c r="M55" s="191"/>
      <c r="N55" s="236">
        <f>IFERROR(VLOOKUP(V7,'1°C'!A12:CA48,77,0),"")</f>
        <v>1</v>
      </c>
      <c r="O55" s="191"/>
      <c r="P55" s="237" t="str">
        <f>IFERROR(VLOOKUP(V7,'1°C'!A13:CA40,79,0),"")</f>
        <v>A</v>
      </c>
      <c r="Q55" s="191"/>
    </row>
    <row r="56" spans="2:17" ht="30" customHeight="1">
      <c r="B56" s="6"/>
      <c r="C56" s="255" t="s">
        <v>611</v>
      </c>
      <c r="D56" s="190"/>
      <c r="E56" s="190"/>
      <c r="F56" s="191"/>
      <c r="G56" s="236" t="str">
        <f>IFERROR(VLOOKUP($V$7,'1°C'!$A$41:$BY$58,73,0),"")</f>
        <v/>
      </c>
      <c r="H56" s="190"/>
      <c r="I56" s="191"/>
      <c r="J56" s="236" t="str">
        <f>IFERROR(VLOOKUP($V$7,'1°C'!$A$41:$BY$58,74,0),"")</f>
        <v/>
      </c>
      <c r="K56" s="191"/>
      <c r="L56" s="236" t="str">
        <f>IFERROR(VLOOKUP($V$7,'1°C'!$A$41:$BY$58,76,0),"")</f>
        <v/>
      </c>
      <c r="M56" s="191"/>
      <c r="N56" s="236" t="str">
        <f>IFERROR(VLOOKUP($V$7,'1°C'!$A$41:$BY$58,77,0),"")</f>
        <v/>
      </c>
      <c r="O56" s="191"/>
      <c r="P56" s="237"/>
      <c r="Q56" s="191"/>
    </row>
    <row r="57" spans="2:17" ht="30" customHeight="1">
      <c r="B57" s="6"/>
      <c r="C57" s="255" t="s">
        <v>612</v>
      </c>
      <c r="D57" s="190"/>
      <c r="E57" s="190"/>
      <c r="F57" s="191"/>
      <c r="G57" s="236" t="str">
        <f>IFERROR(VLOOKUP($V$7,'1°C'!$A$75:$BY$125,73,0),"")</f>
        <v/>
      </c>
      <c r="H57" s="190"/>
      <c r="I57" s="191"/>
      <c r="J57" s="236" t="str">
        <f>IFERROR(VLOOKUP($V$7,'1°C'!$A$75:$BY$125,74,0),"")</f>
        <v/>
      </c>
      <c r="K57" s="191"/>
      <c r="L57" s="236" t="str">
        <f>IFERROR(VLOOKUP($V$7,'1°C'!$A$75:$BY$125,76,0),"")</f>
        <v/>
      </c>
      <c r="M57" s="191"/>
      <c r="N57" s="236" t="str">
        <f>IFERROR(VLOOKUP($V$7,'1°C'!$A$75:$BY$125,77,0),"")</f>
        <v/>
      </c>
      <c r="O57" s="191"/>
      <c r="P57" s="237"/>
      <c r="Q57" s="191"/>
    </row>
    <row r="58" spans="2:17" ht="15.75" customHeight="1">
      <c r="B58" s="6"/>
    </row>
    <row r="59" spans="2:17" ht="15.75" customHeight="1">
      <c r="B59" s="6"/>
      <c r="C59" s="223" t="s">
        <v>652</v>
      </c>
      <c r="D59" s="204"/>
      <c r="E59" s="204"/>
      <c r="F59" s="218"/>
      <c r="G59" s="256"/>
      <c r="H59" s="204"/>
      <c r="I59" s="204"/>
      <c r="J59" s="204"/>
      <c r="K59" s="204"/>
      <c r="L59" s="218"/>
      <c r="M59" s="162"/>
      <c r="N59" s="162"/>
      <c r="O59" s="6"/>
    </row>
    <row r="60" spans="2:17" ht="15.75" customHeight="1">
      <c r="B60" s="6"/>
      <c r="C60" s="224"/>
      <c r="D60" s="210"/>
      <c r="E60" s="210"/>
      <c r="F60" s="184"/>
      <c r="G60" s="224"/>
      <c r="H60" s="210"/>
      <c r="I60" s="210"/>
      <c r="J60" s="210"/>
      <c r="K60" s="210"/>
      <c r="L60" s="184"/>
      <c r="M60" s="162"/>
      <c r="N60" s="162"/>
      <c r="O60" s="6"/>
    </row>
    <row r="61" spans="2:17" ht="15.75" customHeight="1">
      <c r="B61" s="6"/>
      <c r="C61" s="224"/>
      <c r="D61" s="210"/>
      <c r="E61" s="210"/>
      <c r="F61" s="184"/>
      <c r="G61" s="224"/>
      <c r="H61" s="210"/>
      <c r="I61" s="210"/>
      <c r="J61" s="210"/>
      <c r="K61" s="210"/>
      <c r="L61" s="184"/>
      <c r="M61" s="162"/>
      <c r="N61" s="162"/>
      <c r="O61" s="6"/>
    </row>
    <row r="62" spans="2:17" ht="15.75" customHeight="1">
      <c r="B62" s="6"/>
      <c r="C62" s="224"/>
      <c r="D62" s="210"/>
      <c r="E62" s="210"/>
      <c r="F62" s="184"/>
      <c r="G62" s="224"/>
      <c r="H62" s="210"/>
      <c r="I62" s="210"/>
      <c r="J62" s="210"/>
      <c r="K62" s="210"/>
      <c r="L62" s="184"/>
      <c r="M62" s="162"/>
      <c r="N62" s="162"/>
      <c r="O62" s="6"/>
    </row>
    <row r="63" spans="2:17" ht="15.75" customHeight="1">
      <c r="B63" s="6"/>
      <c r="C63" s="219"/>
      <c r="D63" s="220"/>
      <c r="E63" s="220"/>
      <c r="F63" s="221"/>
      <c r="G63" s="219"/>
      <c r="H63" s="220"/>
      <c r="I63" s="220"/>
      <c r="J63" s="220"/>
      <c r="K63" s="220"/>
      <c r="L63" s="221"/>
      <c r="M63" s="162"/>
      <c r="N63" s="162"/>
      <c r="O63" s="6"/>
    </row>
    <row r="64" spans="2:17" ht="15.75" customHeight="1">
      <c r="B64" s="6"/>
      <c r="C64" s="257" t="s">
        <v>653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9"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5:F46"/>
    <mergeCell ref="B47:F47"/>
    <mergeCell ref="B48:F48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5:K45"/>
    <mergeCell ref="H46:K46"/>
    <mergeCell ref="H47:K47"/>
    <mergeCell ref="H48:K48"/>
    <mergeCell ref="C51:K51"/>
    <mergeCell ref="C53:F54"/>
    <mergeCell ref="G53:K53"/>
    <mergeCell ref="G54:I54"/>
    <mergeCell ref="J54:K54"/>
    <mergeCell ref="C57:F57"/>
    <mergeCell ref="C59:F63"/>
    <mergeCell ref="G59:L63"/>
    <mergeCell ref="C64:N64"/>
    <mergeCell ref="G55:I55"/>
    <mergeCell ref="J55:K55"/>
    <mergeCell ref="C56:F56"/>
    <mergeCell ref="G56:I56"/>
    <mergeCell ref="J56:K56"/>
    <mergeCell ref="G57:I57"/>
    <mergeCell ref="J57:K57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25:O25"/>
    <mergeCell ref="M26:O26"/>
    <mergeCell ref="M33:O33"/>
    <mergeCell ref="Q33:S33"/>
    <mergeCell ref="N57:O57"/>
    <mergeCell ref="P57:Q57"/>
    <mergeCell ref="L55:M55"/>
    <mergeCell ref="N55:O55"/>
    <mergeCell ref="P55:Q55"/>
    <mergeCell ref="L56:M56"/>
    <mergeCell ref="N56:O56"/>
    <mergeCell ref="P56:Q56"/>
    <mergeCell ref="L57:M5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Q41:S41"/>
    <mergeCell ref="Q42:S42"/>
    <mergeCell ref="P45:S45"/>
    <mergeCell ref="Q46:S46"/>
    <mergeCell ref="M46:O46"/>
    <mergeCell ref="M47:O47"/>
    <mergeCell ref="L53:O53"/>
    <mergeCell ref="P53:Q54"/>
    <mergeCell ref="L54:M54"/>
    <mergeCell ref="N54:O54"/>
    <mergeCell ref="M41:O41"/>
    <mergeCell ref="M42:O42"/>
    <mergeCell ref="L45:O45"/>
    <mergeCell ref="Q47:S47"/>
    <mergeCell ref="Q48:S48"/>
    <mergeCell ref="M48:O48"/>
  </mergeCells>
  <printOptions horizontalCentered="1"/>
  <pageMargins left="0.11811023622047245" right="0.11811023622047245" top="0.11811023622047245" bottom="0.11811023622047245" header="0" footer="0"/>
  <pageSetup paperSize="9" scale="4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0"/>
  <sheetViews>
    <sheetView showGridLines="0" view="pageLayout" topLeftCell="B14" zoomScale="46" zoomScaleNormal="57" zoomScalePageLayoutView="46" workbookViewId="0">
      <selection activeCell="X18" sqref="X18"/>
    </sheetView>
  </sheetViews>
  <sheetFormatPr baseColWidth="10" defaultColWidth="12.59765625" defaultRowHeight="15" customHeight="1"/>
  <cols>
    <col min="1" max="1" width="9.765625E-2" hidden="1" customWidth="1"/>
    <col min="2" max="2" width="8" customWidth="1"/>
    <col min="3" max="3" width="5.59765625" customWidth="1"/>
    <col min="4" max="4" width="6.09765625" customWidth="1"/>
    <col min="5" max="5" width="4.69921875" customWidth="1"/>
    <col min="6" max="6" width="6.69921875" customWidth="1"/>
    <col min="7" max="7" width="11.5" customWidth="1"/>
    <col min="8" max="8" width="1.69921875" customWidth="1"/>
    <col min="9" max="9" width="7.59765625" customWidth="1"/>
    <col min="10" max="10" width="8.19921875" customWidth="1"/>
    <col min="11" max="11" width="20.8984375" customWidth="1"/>
    <col min="12" max="12" width="9.3984375" customWidth="1"/>
    <col min="13" max="13" width="13.69921875" customWidth="1"/>
    <col min="14" max="14" width="9.5" customWidth="1"/>
    <col min="15" max="16" width="13.69921875" customWidth="1"/>
    <col min="17" max="17" width="14" customWidth="1"/>
    <col min="18" max="18" width="12.8984375" customWidth="1"/>
    <col min="19" max="19" width="19.19921875" customWidth="1"/>
    <col min="20" max="20" width="2.3984375" customWidth="1"/>
    <col min="21" max="21" width="3.09765625" customWidth="1"/>
    <col min="22" max="22" width="7.59765625" customWidth="1"/>
    <col min="23" max="23" width="15.59765625" customWidth="1"/>
    <col min="24" max="24" width="9.3984375" customWidth="1"/>
  </cols>
  <sheetData>
    <row r="1" spans="1:24" ht="3.75" hidden="1" customHeight="1">
      <c r="A1" s="6">
        <v>0</v>
      </c>
      <c r="B1" s="6" t="s">
        <v>590</v>
      </c>
    </row>
    <row r="2" spans="1:24" ht="1.5" hidden="1" customHeight="1">
      <c r="B2" s="143" t="s">
        <v>590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24" ht="15" customHeight="1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X3" s="6">
        <v>4</v>
      </c>
    </row>
    <row r="4" spans="1:24" ht="15" customHeight="1">
      <c r="B4" s="241" t="s">
        <v>591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</row>
    <row r="5" spans="1:24" ht="15" customHeight="1"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</row>
    <row r="7" spans="1:24" ht="15.75" customHeight="1">
      <c r="B7" s="249" t="s">
        <v>592</v>
      </c>
      <c r="C7" s="190"/>
      <c r="D7" s="190"/>
      <c r="E7" s="190"/>
      <c r="F7" s="191"/>
      <c r="G7" s="242" t="s">
        <v>593</v>
      </c>
      <c r="H7" s="190"/>
      <c r="I7" s="190"/>
      <c r="J7" s="190"/>
      <c r="K7" s="190"/>
      <c r="L7" s="191"/>
      <c r="M7" s="243" t="s">
        <v>594</v>
      </c>
      <c r="N7" s="218"/>
      <c r="O7" s="223" t="s">
        <v>595</v>
      </c>
      <c r="P7" s="204"/>
      <c r="Q7" s="204"/>
      <c r="R7" s="218"/>
      <c r="S7" s="244"/>
      <c r="U7" s="6"/>
      <c r="V7" s="245">
        <v>9</v>
      </c>
      <c r="W7" s="218"/>
    </row>
    <row r="8" spans="1:24" ht="15.75" customHeight="1">
      <c r="B8" s="249" t="s">
        <v>596</v>
      </c>
      <c r="C8" s="190"/>
      <c r="D8" s="190"/>
      <c r="E8" s="190"/>
      <c r="F8" s="191"/>
      <c r="G8" s="254" t="s">
        <v>597</v>
      </c>
      <c r="H8" s="190"/>
      <c r="I8" s="190"/>
      <c r="J8" s="190"/>
      <c r="K8" s="190"/>
      <c r="L8" s="191"/>
      <c r="M8" s="219"/>
      <c r="N8" s="221"/>
      <c r="O8" s="224"/>
      <c r="P8" s="210"/>
      <c r="Q8" s="210"/>
      <c r="R8" s="184"/>
      <c r="S8" s="186"/>
      <c r="U8" s="6"/>
      <c r="V8" s="224"/>
      <c r="W8" s="184"/>
    </row>
    <row r="9" spans="1:24" ht="15.75" customHeight="1">
      <c r="B9" s="249" t="s">
        <v>654</v>
      </c>
      <c r="C9" s="190"/>
      <c r="D9" s="190"/>
      <c r="E9" s="190"/>
      <c r="F9" s="191"/>
      <c r="G9" s="242" t="s">
        <v>599</v>
      </c>
      <c r="H9" s="190"/>
      <c r="I9" s="190"/>
      <c r="J9" s="190"/>
      <c r="K9" s="190"/>
      <c r="L9" s="191"/>
      <c r="M9" s="251" t="s">
        <v>600</v>
      </c>
      <c r="N9" s="191"/>
      <c r="O9" s="274" t="s">
        <v>655</v>
      </c>
      <c r="P9" s="190"/>
      <c r="Q9" s="190"/>
      <c r="R9" s="191"/>
      <c r="S9" s="186"/>
      <c r="U9" s="6"/>
      <c r="V9" s="224"/>
      <c r="W9" s="184"/>
    </row>
    <row r="10" spans="1:24" ht="15.75" customHeight="1">
      <c r="B10" s="249" t="s">
        <v>601</v>
      </c>
      <c r="C10" s="190"/>
      <c r="D10" s="190"/>
      <c r="E10" s="190"/>
      <c r="F10" s="190"/>
      <c r="G10" s="265" t="str">
        <f>+'1°D'!D7</f>
        <v>1°</v>
      </c>
      <c r="H10" s="220"/>
      <c r="I10" s="220"/>
      <c r="J10" s="220"/>
      <c r="K10" s="220"/>
      <c r="L10" s="221"/>
      <c r="M10" s="266" t="s">
        <v>602</v>
      </c>
      <c r="N10" s="191"/>
      <c r="O10" s="267" t="str">
        <f>+'1°D'!D8</f>
        <v>D</v>
      </c>
      <c r="P10" s="190"/>
      <c r="Q10" s="190"/>
      <c r="R10" s="191"/>
      <c r="S10" s="186"/>
      <c r="U10" s="6"/>
      <c r="V10" s="224"/>
      <c r="W10" s="184"/>
    </row>
    <row r="11" spans="1:24" ht="15.75" customHeight="1">
      <c r="B11" s="249" t="s">
        <v>603</v>
      </c>
      <c r="C11" s="190"/>
      <c r="D11" s="190"/>
      <c r="E11" s="190"/>
      <c r="F11" s="191"/>
      <c r="G11" s="250"/>
      <c r="H11" s="190"/>
      <c r="I11" s="190"/>
      <c r="J11" s="190"/>
      <c r="K11" s="191"/>
      <c r="L11" s="144" t="s">
        <v>604</v>
      </c>
      <c r="M11" s="246"/>
      <c r="N11" s="190"/>
      <c r="O11" s="190"/>
      <c r="P11" s="190"/>
      <c r="Q11" s="190"/>
      <c r="R11" s="191"/>
      <c r="S11" s="186"/>
      <c r="U11" s="6"/>
      <c r="V11" s="224"/>
      <c r="W11" s="184"/>
    </row>
    <row r="12" spans="1:24" ht="33.75" customHeight="1">
      <c r="B12" s="251" t="s">
        <v>605</v>
      </c>
      <c r="C12" s="190"/>
      <c r="D12" s="190"/>
      <c r="E12" s="190"/>
      <c r="F12" s="190"/>
      <c r="G12" s="169" t="str">
        <f>IFERROR(VLOOKUP(V7,'1°D'!A12:CA44,2,0),"")</f>
        <v xml:space="preserve">IBAÑEZ  </v>
      </c>
      <c r="H12" s="170"/>
      <c r="I12" s="170" t="str">
        <f>IFERROR(VLOOKUP(V7,'1°D'!A12:CA44,3,0),"")</f>
        <v>MACAHUACHI</v>
      </c>
      <c r="J12" s="170"/>
      <c r="K12" s="170" t="str">
        <f>IFERROR(VLOOKUP(V7,'1°D'!A12:CA44,4,0),"")</f>
        <v>JESUS ALEXANDER</v>
      </c>
      <c r="L12" s="170"/>
      <c r="M12" s="146"/>
      <c r="N12" s="146"/>
      <c r="O12" s="146"/>
      <c r="P12" s="146"/>
      <c r="Q12" s="146"/>
      <c r="R12" s="147"/>
      <c r="S12" s="186"/>
      <c r="U12" s="6"/>
      <c r="V12" s="219"/>
      <c r="W12" s="221"/>
    </row>
    <row r="13" spans="1:24" ht="33.75" customHeight="1">
      <c r="B13" s="251" t="s">
        <v>606</v>
      </c>
      <c r="C13" s="190"/>
      <c r="D13" s="190"/>
      <c r="E13" s="190"/>
      <c r="F13" s="191"/>
      <c r="G13" s="277" t="str">
        <f>+'1°D'!C10</f>
        <v>PROF. OSCAR TERRONES BARDALES</v>
      </c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  <c r="S13" s="187"/>
      <c r="U13" s="6"/>
      <c r="V13" s="247" t="s">
        <v>656</v>
      </c>
      <c r="W13" s="218"/>
    </row>
    <row r="14" spans="1:24" ht="15" customHeight="1">
      <c r="U14" s="6"/>
      <c r="V14" s="224"/>
      <c r="W14" s="184"/>
    </row>
    <row r="15" spans="1:24" ht="68.25" customHeight="1">
      <c r="B15" s="252" t="s">
        <v>608</v>
      </c>
      <c r="C15" s="253" t="s">
        <v>609</v>
      </c>
      <c r="D15" s="204"/>
      <c r="E15" s="204"/>
      <c r="F15" s="204"/>
      <c r="G15" s="233" t="s">
        <v>610</v>
      </c>
      <c r="H15" s="190"/>
      <c r="I15" s="190"/>
      <c r="J15" s="190"/>
      <c r="K15" s="190"/>
      <c r="L15" s="233" t="s">
        <v>611</v>
      </c>
      <c r="M15" s="190"/>
      <c r="N15" s="190"/>
      <c r="O15" s="190"/>
      <c r="P15" s="233" t="s">
        <v>612</v>
      </c>
      <c r="Q15" s="190"/>
      <c r="R15" s="190"/>
      <c r="S15" s="191"/>
      <c r="U15" s="6"/>
      <c r="V15" s="219"/>
      <c r="W15" s="221"/>
    </row>
    <row r="16" spans="1:24" ht="57.75" customHeight="1">
      <c r="B16" s="187"/>
      <c r="C16" s="219"/>
      <c r="D16" s="220"/>
      <c r="E16" s="220"/>
      <c r="F16" s="220"/>
      <c r="G16" s="148" t="s">
        <v>613</v>
      </c>
      <c r="H16" s="229" t="s">
        <v>614</v>
      </c>
      <c r="I16" s="190"/>
      <c r="J16" s="190"/>
      <c r="K16" s="190"/>
      <c r="L16" s="148" t="s">
        <v>613</v>
      </c>
      <c r="M16" s="229" t="s">
        <v>614</v>
      </c>
      <c r="N16" s="190"/>
      <c r="O16" s="190"/>
      <c r="P16" s="148" t="s">
        <v>613</v>
      </c>
      <c r="Q16" s="229" t="s">
        <v>614</v>
      </c>
      <c r="R16" s="190"/>
      <c r="S16" s="191"/>
      <c r="U16" s="6"/>
      <c r="V16" s="165"/>
      <c r="W16" s="6"/>
    </row>
    <row r="17" spans="2:23" ht="111" customHeight="1">
      <c r="B17" s="239" t="s">
        <v>615</v>
      </c>
      <c r="C17" s="238" t="s">
        <v>616</v>
      </c>
      <c r="D17" s="190"/>
      <c r="E17" s="190"/>
      <c r="F17" s="190"/>
      <c r="G17" s="171" t="str">
        <f>IFERROR(VLOOKUP(V7,'1°D'!A12:CA44,6,0),"")</f>
        <v>B</v>
      </c>
      <c r="H17" s="278" t="str">
        <f>IFERROR(VLOOKUP(V7,'1°D'!A12:CA44,7,0),"")</f>
        <v>El estudiante esta en proceso de lograr la competencia</v>
      </c>
      <c r="I17" s="190"/>
      <c r="J17" s="190"/>
      <c r="K17" s="190"/>
      <c r="L17" s="156"/>
      <c r="M17" s="229"/>
      <c r="N17" s="190"/>
      <c r="O17" s="191"/>
      <c r="P17" s="167" t="str">
        <f>IFERROR(VLOOKUP($V$7,#REF!,6,0),"")</f>
        <v/>
      </c>
      <c r="Q17" s="229"/>
      <c r="R17" s="190"/>
      <c r="S17" s="191"/>
      <c r="U17" s="6"/>
      <c r="V17" s="165"/>
      <c r="W17" s="6"/>
    </row>
    <row r="18" spans="2:23" ht="162" customHeight="1">
      <c r="B18" s="187"/>
      <c r="C18" s="238" t="s">
        <v>617</v>
      </c>
      <c r="D18" s="190"/>
      <c r="E18" s="190"/>
      <c r="F18" s="190"/>
      <c r="G18" s="171" t="str">
        <f>IFERROR(VLOOKUP(V7,'1°D'!A12:CA44,8,0),"")</f>
        <v>C</v>
      </c>
      <c r="H18" s="278" t="str">
        <f>IFERROR(VLOOKUP(V7,'1°D'!A12:CA44,9,0),"")</f>
        <v>Esta en inicio para lograr la competencia</v>
      </c>
      <c r="I18" s="190"/>
      <c r="J18" s="190"/>
      <c r="K18" s="190"/>
      <c r="L18" s="156"/>
      <c r="M18" s="229"/>
      <c r="N18" s="190"/>
      <c r="O18" s="191"/>
      <c r="P18" s="149" t="str">
        <f>IFERROR(VLOOKUP($V$7,#REF!,8,0),"")</f>
        <v/>
      </c>
      <c r="Q18" s="229" t="str">
        <f>IFERROR(VLOOKUP($V$7,#REF!,9,0),"")</f>
        <v/>
      </c>
      <c r="R18" s="190"/>
      <c r="S18" s="191"/>
      <c r="U18" s="6"/>
      <c r="V18" s="165"/>
      <c r="W18" s="6"/>
    </row>
    <row r="19" spans="2:23" ht="110.25" customHeight="1">
      <c r="B19" s="240" t="s">
        <v>3</v>
      </c>
      <c r="C19" s="238" t="s">
        <v>618</v>
      </c>
      <c r="D19" s="190"/>
      <c r="E19" s="190"/>
      <c r="F19" s="190"/>
      <c r="G19" s="171" t="str">
        <f>IFERROR(VLOOKUP(V7,'1°D'!A12:CA44,11,0),"")</f>
        <v>B</v>
      </c>
      <c r="H19" s="278" t="str">
        <f>IFERROR(VLOOKUP(V7,'1°D'!A12:CA44,12,0),"")</f>
        <v xml:space="preserve">Está en proceso para lograr la competencia.  </v>
      </c>
      <c r="I19" s="190"/>
      <c r="J19" s="190"/>
      <c r="K19" s="190"/>
      <c r="L19" s="156"/>
      <c r="M19" s="229"/>
      <c r="N19" s="190"/>
      <c r="O19" s="191"/>
      <c r="P19" s="149" t="str">
        <f>IFERROR(VLOOKUP($V$7,#REF!,11,0),"")</f>
        <v/>
      </c>
      <c r="Q19" s="229" t="str">
        <f>IFERROR(VLOOKUP($V$7,#REF!,12,0),"")</f>
        <v/>
      </c>
      <c r="R19" s="190"/>
      <c r="S19" s="191"/>
      <c r="U19" s="6"/>
      <c r="V19" s="6"/>
      <c r="W19" s="6"/>
    </row>
    <row r="20" spans="2:23" ht="142.5" customHeight="1">
      <c r="B20" s="186"/>
      <c r="C20" s="238" t="s">
        <v>619</v>
      </c>
      <c r="D20" s="190"/>
      <c r="E20" s="190"/>
      <c r="F20" s="190"/>
      <c r="G20" s="171" t="str">
        <f>IFERROR(VLOOKUP(V7,'1°D'!A12:CA44,13,0),"")</f>
        <v>B</v>
      </c>
      <c r="H20" s="278" t="str">
        <f>IFERROR(VLOOKUP(V7,'1°D'!A12:CA44,14,0),"")</f>
        <v xml:space="preserve">Está en proceso para lograr la competencia.  </v>
      </c>
      <c r="I20" s="190"/>
      <c r="J20" s="190"/>
      <c r="K20" s="190"/>
      <c r="L20" s="156"/>
      <c r="M20" s="229"/>
      <c r="N20" s="190"/>
      <c r="O20" s="191"/>
      <c r="P20" s="149" t="str">
        <f>IFERROR(VLOOKUP($V$7,#REF!,13,0),"")</f>
        <v/>
      </c>
      <c r="Q20" s="229" t="str">
        <f>IFERROR(VLOOKUP($V$7,#REF!,14,0),"")</f>
        <v/>
      </c>
      <c r="R20" s="190"/>
      <c r="S20" s="191"/>
      <c r="U20" s="6"/>
      <c r="V20" s="6"/>
      <c r="W20" s="6"/>
    </row>
    <row r="21" spans="2:23" ht="168" customHeight="1">
      <c r="B21" s="187"/>
      <c r="C21" s="238" t="s">
        <v>620</v>
      </c>
      <c r="D21" s="190"/>
      <c r="E21" s="190"/>
      <c r="F21" s="190"/>
      <c r="G21" s="171" t="str">
        <f>IFERROR(VLOOKUP(V7,'1°D'!A12:CA44,15,0),"")</f>
        <v>B</v>
      </c>
      <c r="H21" s="278" t="str">
        <f>IFERROR(VLOOKUP(V7,'1°D'!A12:CA44,16,0),"")</f>
        <v xml:space="preserve">Está en proceso para lograr la competencia.  </v>
      </c>
      <c r="I21" s="190"/>
      <c r="J21" s="190"/>
      <c r="K21" s="190"/>
      <c r="L21" s="156"/>
      <c r="M21" s="229"/>
      <c r="N21" s="190"/>
      <c r="O21" s="191"/>
      <c r="P21" s="149" t="str">
        <f>IFERROR(VLOOKUP($V$7,#REF!,15,0),"")</f>
        <v/>
      </c>
      <c r="Q21" s="229" t="str">
        <f>IFERROR(VLOOKUP($V$7,#REF!,16,0),"")</f>
        <v/>
      </c>
      <c r="R21" s="190"/>
      <c r="S21" s="191"/>
    </row>
    <row r="22" spans="2:23" ht="137.25" customHeight="1">
      <c r="B22" s="240" t="s">
        <v>621</v>
      </c>
      <c r="C22" s="238" t="s">
        <v>622</v>
      </c>
      <c r="D22" s="190"/>
      <c r="E22" s="190"/>
      <c r="F22" s="190"/>
      <c r="G22" s="171" t="str">
        <f>IFERROR(VLOOKUP(V7,'1°D'!A12:CA44,18,0),"")</f>
        <v>B</v>
      </c>
      <c r="H22" s="278" t="str">
        <f>IFERROR(VLOOKUP(V7,'1°D'!A12:CA44,19,0),"")</f>
        <v>Demuestars interes en las practicas de la carrera de velocidad y revelos, a seguir practicando</v>
      </c>
      <c r="I22" s="190"/>
      <c r="J22" s="190"/>
      <c r="K22" s="190"/>
      <c r="L22" s="156"/>
      <c r="M22" s="229"/>
      <c r="N22" s="190"/>
      <c r="O22" s="191"/>
      <c r="P22" s="149" t="str">
        <f>IFERROR(VLOOKUP($V$7,#REF!,18,0),"")</f>
        <v/>
      </c>
      <c r="Q22" s="229" t="str">
        <f>IFERROR(VLOOKUP($V$7,#REF!,19,0),"")</f>
        <v/>
      </c>
      <c r="R22" s="190"/>
      <c r="S22" s="191"/>
    </row>
    <row r="23" spans="2:23" ht="114.75" customHeight="1">
      <c r="B23" s="186"/>
      <c r="C23" s="238" t="s">
        <v>623</v>
      </c>
      <c r="D23" s="190"/>
      <c r="E23" s="190"/>
      <c r="F23" s="190"/>
      <c r="G23" s="171" t="str">
        <f>IFERROR(VLOOKUP(V7,'1°D'!A12:CA44,20,0),"")</f>
        <v>C</v>
      </c>
      <c r="H23" s="278" t="str">
        <f>IFERROR(VLOOKUP(V7,'1°D'!A12:CA44,21,0),"")</f>
        <v>No participa de las actividades físicas, demostrando desinterés.</v>
      </c>
      <c r="I23" s="190"/>
      <c r="J23" s="190"/>
      <c r="K23" s="190"/>
      <c r="L23" s="156"/>
      <c r="M23" s="229"/>
      <c r="N23" s="190"/>
      <c r="O23" s="191"/>
      <c r="P23" s="149" t="str">
        <f>IFERROR(VLOOKUP($V$7,#REF!,20,0),"")</f>
        <v/>
      </c>
      <c r="Q23" s="229" t="str">
        <f>IFERROR(VLOOKUP($V$7,#REF!,21,0),"")</f>
        <v/>
      </c>
      <c r="R23" s="190"/>
      <c r="S23" s="191"/>
    </row>
    <row r="24" spans="2:23" ht="105" customHeight="1">
      <c r="B24" s="187"/>
      <c r="C24" s="238" t="s">
        <v>624</v>
      </c>
      <c r="D24" s="190"/>
      <c r="E24" s="190"/>
      <c r="F24" s="190"/>
      <c r="G24" s="172" t="str">
        <f>IFERROR(VLOOKUP(V7,'1°D'!A12:CA44,22,0),"")</f>
        <v>B</v>
      </c>
      <c r="H24" s="278" t="str">
        <f>IFERROR(VLOOKUP(V7,'1°D'!A12:CA44,23,0),"")</f>
        <v>Participas del salto alto, tienes que mejorar la técnica Fosbury Flop.</v>
      </c>
      <c r="I24" s="190"/>
      <c r="J24" s="190"/>
      <c r="K24" s="190"/>
      <c r="L24" s="152"/>
      <c r="M24" s="229"/>
      <c r="N24" s="190"/>
      <c r="O24" s="191"/>
      <c r="P24" s="149" t="str">
        <f>IFERROR(VLOOKUP($V$7,#REF!,22,0),"")</f>
        <v/>
      </c>
      <c r="Q24" s="229" t="str">
        <f>IFERROR(VLOOKUP($V$7,#REF!,23,0),"")</f>
        <v/>
      </c>
      <c r="R24" s="190"/>
      <c r="S24" s="191"/>
    </row>
    <row r="25" spans="2:23" ht="129" customHeight="1">
      <c r="B25" s="263" t="s">
        <v>4</v>
      </c>
      <c r="C25" s="238" t="s">
        <v>625</v>
      </c>
      <c r="D25" s="190"/>
      <c r="E25" s="190"/>
      <c r="F25" s="190"/>
      <c r="G25" s="171" t="str">
        <f>IFERROR(VLOOKUP(V7,'1°D'!A12:CA44,25,0),"")</f>
        <v>C</v>
      </c>
      <c r="H25" s="278" t="str">
        <f>IFERROR(VLOOKUP(V7,'1°D'!A12:CA44,26,0),"")</f>
        <v>Tiene dificultades para desarrollar la Apreciación de manera critica</v>
      </c>
      <c r="I25" s="190"/>
      <c r="J25" s="190"/>
      <c r="K25" s="190"/>
      <c r="L25" s="156"/>
      <c r="M25" s="229"/>
      <c r="N25" s="190"/>
      <c r="O25" s="191"/>
      <c r="P25" s="149" t="str">
        <f>IFERROR(VLOOKUP($V$7,#REF!,25,0),"")</f>
        <v/>
      </c>
      <c r="Q25" s="229" t="str">
        <f>IFERROR(VLOOKUP($V$7,#REF!,26,0),"")</f>
        <v/>
      </c>
      <c r="R25" s="190"/>
      <c r="S25" s="191"/>
    </row>
    <row r="26" spans="2:23" ht="145.5" customHeight="1">
      <c r="B26" s="187"/>
      <c r="C26" s="238" t="s">
        <v>626</v>
      </c>
      <c r="D26" s="190"/>
      <c r="E26" s="190"/>
      <c r="F26" s="190"/>
      <c r="G26" s="171" t="str">
        <f>IFERROR(VLOOKUP(V7,'1°D'!A12:CA44,27,0),"")</f>
        <v>C</v>
      </c>
      <c r="H26" s="278" t="str">
        <f>IFERROR(VLOOKUP(V7,'1°D'!A12:CA44,28,0),"")</f>
        <v>Tiene dificultades al crear proyectos  artísticos</v>
      </c>
      <c r="I26" s="190"/>
      <c r="J26" s="190"/>
      <c r="K26" s="190"/>
      <c r="L26" s="156"/>
      <c r="M26" s="229"/>
      <c r="N26" s="190"/>
      <c r="O26" s="191"/>
      <c r="P26" s="149" t="str">
        <f>IFERROR(VLOOKUP($V$7,#REF!,27,0),"")</f>
        <v/>
      </c>
      <c r="Q26" s="229" t="str">
        <f>IFERROR(VLOOKUP($V$7,#REF!,28,0),"")</f>
        <v/>
      </c>
      <c r="R26" s="190"/>
      <c r="S26" s="191"/>
    </row>
    <row r="27" spans="2:23" ht="150.75" customHeight="1">
      <c r="B27" s="240" t="s">
        <v>5</v>
      </c>
      <c r="C27" s="238" t="s">
        <v>627</v>
      </c>
      <c r="D27" s="190"/>
      <c r="E27" s="190"/>
      <c r="F27" s="190"/>
      <c r="G27" s="171" t="str">
        <f>IFERROR(VLOOKUP(V7,'1°D'!A12:CA44,30,0),"")</f>
        <v>AD</v>
      </c>
      <c r="H27" s="278" t="str">
        <f>IFERROR(VLOOKUP(V7,'1°D'!A12:CA44,31,0),"")</f>
        <v>Logra alcancar un nivel muy destacado al realizar todas sus actividades, demuestra buen desempeño al realizar individualmente todas sus actividades.</v>
      </c>
      <c r="I27" s="190"/>
      <c r="J27" s="190"/>
      <c r="K27" s="190"/>
      <c r="L27" s="156"/>
      <c r="M27" s="229"/>
      <c r="N27" s="190"/>
      <c r="O27" s="191"/>
      <c r="P27" s="149" t="str">
        <f>IFERROR(VLOOKUP($V$7,#REF!,30,0),"")</f>
        <v/>
      </c>
      <c r="Q27" s="229" t="str">
        <f>IFERROR(VLOOKUP($V$7,#REF!,31,0),"")</f>
        <v/>
      </c>
      <c r="R27" s="190"/>
      <c r="S27" s="191"/>
    </row>
    <row r="28" spans="2:23" ht="144" customHeight="1">
      <c r="B28" s="186"/>
      <c r="C28" s="238" t="s">
        <v>628</v>
      </c>
      <c r="D28" s="190"/>
      <c r="E28" s="190"/>
      <c r="F28" s="190"/>
      <c r="G28" s="171" t="str">
        <f>IFERROR(VLOOKUP(V7,'1°D'!A12:CA44,32,0),"")</f>
        <v>AD</v>
      </c>
      <c r="H28" s="278" t="str">
        <f>IFERROR(VLOOKUP(V7,'1°D'!A12:CA44,33,0),"")</f>
        <v>Logra alcancar un nivel muy destacado al realizar todas sus actividades, demuestra buen desempeño al realizar individualmente todas sus actividades.</v>
      </c>
      <c r="I28" s="190"/>
      <c r="J28" s="190"/>
      <c r="K28" s="190"/>
      <c r="L28" s="156"/>
      <c r="M28" s="229"/>
      <c r="N28" s="190"/>
      <c r="O28" s="191"/>
      <c r="P28" s="149" t="str">
        <f>IFERROR(VLOOKUP($V$7,#REF!,32,0),"")</f>
        <v/>
      </c>
      <c r="Q28" s="229" t="str">
        <f>IFERROR(VLOOKUP($V$7,#REF!,33,0),"")</f>
        <v/>
      </c>
      <c r="R28" s="190"/>
      <c r="S28" s="191"/>
    </row>
    <row r="29" spans="2:23" ht="140.25" customHeight="1">
      <c r="B29" s="187"/>
      <c r="C29" s="238" t="s">
        <v>629</v>
      </c>
      <c r="D29" s="190"/>
      <c r="E29" s="190"/>
      <c r="F29" s="190"/>
      <c r="G29" s="171" t="str">
        <f>IFERROR(VLOOKUP(V7,'1°D'!A12:CA44,34,0),"")</f>
        <v>AD</v>
      </c>
      <c r="H29" s="278" t="str">
        <f>IFERROR(VLOOKUP(V7,'1°D'!A12:CA44,35,0),"")</f>
        <v>Logra alcancar un nivel muy destacado al realizar todas sus actividades, demuestra buen desempeño al realizar individualmente todas sus actividades.</v>
      </c>
      <c r="I29" s="190"/>
      <c r="J29" s="190"/>
      <c r="K29" s="190"/>
      <c r="L29" s="156"/>
      <c r="M29" s="229"/>
      <c r="N29" s="190"/>
      <c r="O29" s="191"/>
      <c r="P29" s="149" t="str">
        <f>IFERROR(VLOOKUP($V$7,#REF!,34,0),"")</f>
        <v/>
      </c>
      <c r="Q29" s="229" t="str">
        <f>IFERROR(VLOOKUP($V$7,#REF!,35,0),"")</f>
        <v/>
      </c>
      <c r="R29" s="190"/>
      <c r="S29" s="191"/>
    </row>
    <row r="30" spans="2:23" ht="173.25" customHeight="1">
      <c r="B30" s="240" t="s">
        <v>630</v>
      </c>
      <c r="C30" s="238" t="s">
        <v>631</v>
      </c>
      <c r="D30" s="190"/>
      <c r="E30" s="190"/>
      <c r="F30" s="190"/>
      <c r="G30" s="171" t="str">
        <f>IFERROR(VLOOKUP(V7,'1°D'!A12:CA44,37,0),"")</f>
        <v>C</v>
      </c>
      <c r="H30" s="278" t="str">
        <f>IFERROR(VLOOKUP(V7,'1°D'!A12:CA44,38,0),"")</f>
        <v>NO LOGRO LA CAPACIDAD ESPERADA.</v>
      </c>
      <c r="I30" s="190"/>
      <c r="J30" s="190"/>
      <c r="K30" s="190"/>
      <c r="L30" s="156"/>
      <c r="M30" s="229"/>
      <c r="N30" s="190"/>
      <c r="O30" s="191"/>
      <c r="P30" s="149" t="str">
        <f>IFERROR(VLOOKUP($V$7,#REF!,37,0),"")</f>
        <v/>
      </c>
      <c r="Q30" s="229" t="str">
        <f>IFERROR(VLOOKUP($V$7,#REF!,38,0),"")</f>
        <v/>
      </c>
      <c r="R30" s="190"/>
      <c r="S30" s="191"/>
    </row>
    <row r="31" spans="2:23" ht="194.25" customHeight="1">
      <c r="B31" s="186"/>
      <c r="C31" s="238" t="s">
        <v>632</v>
      </c>
      <c r="D31" s="190"/>
      <c r="E31" s="190"/>
      <c r="F31" s="190"/>
      <c r="G31" s="171" t="str">
        <f>IFERROR(VLOOKUP(V7,'1°D'!A12:CA44,39,0),"")</f>
        <v>B</v>
      </c>
      <c r="H31" s="278" t="str">
        <f>IFERROR(VLOOKUP(V7,'1°D'!A12:CA44,40,0),"")</f>
        <v>EL ESTUDIANTE LOGRO DESARROLLAR LA COMPETENCIA LEE DIVERSOS TIPOS DE TEXTOS EN INGLES</v>
      </c>
      <c r="I31" s="190"/>
      <c r="J31" s="190"/>
      <c r="K31" s="190"/>
      <c r="L31" s="156"/>
      <c r="M31" s="229"/>
      <c r="N31" s="190"/>
      <c r="O31" s="191"/>
      <c r="P31" s="149" t="str">
        <f>IFERROR(VLOOKUP($V$7,#REF!,39,0),"")</f>
        <v/>
      </c>
      <c r="Q31" s="229" t="str">
        <f>IFERROR(VLOOKUP($V$7,#REF!,40,0),"")</f>
        <v/>
      </c>
      <c r="R31" s="190"/>
      <c r="S31" s="191"/>
    </row>
    <row r="32" spans="2:23" ht="190.5" customHeight="1">
      <c r="B32" s="187"/>
      <c r="C32" s="238" t="s">
        <v>633</v>
      </c>
      <c r="D32" s="190"/>
      <c r="E32" s="190"/>
      <c r="F32" s="190"/>
      <c r="G32" s="171" t="str">
        <f>IFERROR(VLOOKUP(V7,'1°D'!A12:CA44,41,0),"")</f>
        <v>C</v>
      </c>
      <c r="H32" s="278" t="str">
        <f>IFERROR(VLOOKUP(V7,'1°D'!A12:CA44,42,0),"")</f>
        <v>NO LOGRO LA COMPETENCIA ESPERADA</v>
      </c>
      <c r="I32" s="190"/>
      <c r="J32" s="190"/>
      <c r="K32" s="190"/>
      <c r="L32" s="156"/>
      <c r="M32" s="229"/>
      <c r="N32" s="190"/>
      <c r="O32" s="191"/>
      <c r="P32" s="149" t="str">
        <f>IFERROR(VLOOKUP($V$7,#REF!,41,0),"")</f>
        <v/>
      </c>
      <c r="Q32" s="229" t="str">
        <f>IFERROR(VLOOKUP($V$7,#REF!,42,0),"")</f>
        <v/>
      </c>
      <c r="R32" s="190"/>
      <c r="S32" s="191"/>
    </row>
    <row r="33" spans="2:19" ht="123.75" customHeight="1">
      <c r="B33" s="240" t="s">
        <v>634</v>
      </c>
      <c r="C33" s="238" t="s">
        <v>635</v>
      </c>
      <c r="D33" s="190"/>
      <c r="E33" s="190"/>
      <c r="F33" s="190"/>
      <c r="G33" s="171" t="str">
        <f>IFERROR(VLOOKUP(V7,'1°D'!A12:CA44,44,0),"")</f>
        <v>C</v>
      </c>
      <c r="H33" s="278" t="str">
        <f>IFERROR(VLOOKUP(V7,'1°D'!A12:CA44,45,0),"")</f>
        <v>Le falta desarrollar operaciones con multiplicaciones y divisiones .</v>
      </c>
      <c r="I33" s="190"/>
      <c r="J33" s="190"/>
      <c r="K33" s="190"/>
      <c r="L33" s="156"/>
      <c r="M33" s="229"/>
      <c r="N33" s="190"/>
      <c r="O33" s="191"/>
      <c r="P33" s="149" t="str">
        <f>IFERROR(VLOOKUP($V$7,#REF!,44,0),"")</f>
        <v/>
      </c>
      <c r="Q33" s="229" t="str">
        <f>IFERROR(VLOOKUP($V$7,#REF!,45,0),"")</f>
        <v/>
      </c>
      <c r="R33" s="190"/>
      <c r="S33" s="191"/>
    </row>
    <row r="34" spans="2:19" ht="153" customHeight="1">
      <c r="B34" s="186"/>
      <c r="C34" s="238" t="s">
        <v>636</v>
      </c>
      <c r="D34" s="190"/>
      <c r="E34" s="190"/>
      <c r="F34" s="190"/>
      <c r="G34" s="171" t="str">
        <f>IFERROR(VLOOKUP(V7,'1°D'!A12:CA44,46,0),"")</f>
        <v>C</v>
      </c>
      <c r="H34" s="278" t="str">
        <f>IFERROR(VLOOKUP(V7,'1°D'!A12:CA44,47,0),"")</f>
        <v>Falta apoyo en casa   ,practicar la tabla de multiplicar.</v>
      </c>
      <c r="I34" s="190"/>
      <c r="J34" s="190"/>
      <c r="K34" s="190"/>
      <c r="L34" s="156"/>
      <c r="M34" s="229"/>
      <c r="N34" s="190"/>
      <c r="O34" s="191"/>
      <c r="P34" s="149" t="str">
        <f>IFERROR(VLOOKUP($V$7,#REF!,46,0),"")</f>
        <v/>
      </c>
      <c r="Q34" s="229" t="str">
        <f>IFERROR(VLOOKUP($V$7,#REF!,47,0),"")</f>
        <v/>
      </c>
      <c r="R34" s="190"/>
      <c r="S34" s="191"/>
    </row>
    <row r="35" spans="2:19" ht="132.75" customHeight="1">
      <c r="B35" s="186"/>
      <c r="C35" s="238" t="s">
        <v>637</v>
      </c>
      <c r="D35" s="190"/>
      <c r="E35" s="190"/>
      <c r="F35" s="190"/>
      <c r="G35" s="171" t="str">
        <f>IFERROR(VLOOKUP(V7,'1°D'!A12:CA44,48,0),"")</f>
        <v>C</v>
      </c>
      <c r="H35" s="278" t="str">
        <f>IFERROR(VLOOKUP(V7,'1°D'!A12:CA44,49,0),"")</f>
        <v>No reconoce las operaciones combinadas usando la ley de signos.</v>
      </c>
      <c r="I35" s="190"/>
      <c r="J35" s="190"/>
      <c r="K35" s="190"/>
      <c r="L35" s="156"/>
      <c r="M35" s="229"/>
      <c r="N35" s="190"/>
      <c r="O35" s="191"/>
      <c r="P35" s="149" t="str">
        <f>IFERROR(VLOOKUP($V$7,#REF!,48,0),"")</f>
        <v/>
      </c>
      <c r="Q35" s="229" t="str">
        <f>IFERROR(VLOOKUP($V$7,#REF!,49,0),"")</f>
        <v/>
      </c>
      <c r="R35" s="190"/>
      <c r="S35" s="191"/>
    </row>
    <row r="36" spans="2:19" ht="131.25" customHeight="1">
      <c r="B36" s="187"/>
      <c r="C36" s="238" t="s">
        <v>638</v>
      </c>
      <c r="D36" s="190"/>
      <c r="E36" s="190"/>
      <c r="F36" s="190"/>
      <c r="G36" s="171" t="str">
        <f>IFERROR(VLOOKUP(V7,'1°D'!A12:CA44,50,0),"")</f>
        <v>C</v>
      </c>
      <c r="H36" s="278" t="str">
        <f>IFERROR(VLOOKUP(V7,'1°D'!A12:CA44,51,0),"")</f>
        <v>Falta más empeño en las operacion con datos agrupados.</v>
      </c>
      <c r="I36" s="190"/>
      <c r="J36" s="190"/>
      <c r="K36" s="190"/>
      <c r="L36" s="156"/>
      <c r="M36" s="229"/>
      <c r="N36" s="190"/>
      <c r="O36" s="191"/>
      <c r="P36" s="149" t="str">
        <f>IFERROR(VLOOKUP($V$7,#REF!,50,0),"")</f>
        <v/>
      </c>
      <c r="Q36" s="229" t="str">
        <f>IFERROR(VLOOKUP($V$7,#REF!,51,0),"")</f>
        <v/>
      </c>
      <c r="R36" s="190"/>
      <c r="S36" s="191"/>
    </row>
    <row r="37" spans="2:19" ht="159.75" customHeight="1">
      <c r="B37" s="240" t="s">
        <v>639</v>
      </c>
      <c r="C37" s="238" t="s">
        <v>640</v>
      </c>
      <c r="D37" s="190"/>
      <c r="E37" s="190"/>
      <c r="F37" s="190"/>
      <c r="G37" s="171" t="str">
        <f>IFERROR(VLOOKUP(V7,'1°D'!A12:CA44,53,0),"")</f>
        <v>B</v>
      </c>
      <c r="H37" s="278" t="str">
        <f>IFERROR(VLOOKUP(V7,'1°D'!A12:CA44,54,0),"")</f>
        <v>Indaga a partir de preguntas e hipótesis que son verificables, presenta dificultad al identificar las variables y al plantear su hipótesis. Se sugiere mejorar algunas presiciones de las variables para plantear la hipótesis y recoger los datos de manera clara.</v>
      </c>
      <c r="I37" s="190"/>
      <c r="J37" s="190"/>
      <c r="K37" s="191"/>
      <c r="L37" s="156"/>
      <c r="M37" s="229"/>
      <c r="N37" s="190"/>
      <c r="O37" s="191"/>
      <c r="P37" s="149" t="str">
        <f>IFERROR(VLOOKUP($V$7,#REF!,53,0),"")</f>
        <v/>
      </c>
      <c r="Q37" s="229" t="str">
        <f>IFERROR(VLOOKUP($V$7,#REF!,54,0),"")</f>
        <v/>
      </c>
      <c r="R37" s="190"/>
      <c r="S37" s="191"/>
    </row>
    <row r="38" spans="2:19" ht="199.5" customHeight="1">
      <c r="B38" s="186"/>
      <c r="C38" s="238" t="s">
        <v>641</v>
      </c>
      <c r="D38" s="190"/>
      <c r="E38" s="190"/>
      <c r="F38" s="190"/>
      <c r="G38" s="171" t="str">
        <f>IFERROR(VLOOKUP(V7,'1°D'!A12:CA44,55,0),"")</f>
        <v>B</v>
      </c>
      <c r="H38" s="278" t="str">
        <f>IFERROR(VLOOKUP(V7,'1°D'!A12:CA44,56,0),"")</f>
        <v>Al explicar establece relaciones entre varios conceptos con respaldo y evidencia científica, los transfiere a nueva situaciones. Demuestra debilidad en defender su argumentación y postura. Pero, podrías esforzarte más.</v>
      </c>
      <c r="I38" s="190"/>
      <c r="J38" s="190"/>
      <c r="K38" s="190"/>
      <c r="L38" s="156"/>
      <c r="M38" s="229"/>
      <c r="N38" s="190"/>
      <c r="O38" s="191"/>
      <c r="P38" s="149" t="str">
        <f>IFERROR(VLOOKUP($V$7,#REF!,55,0),"")</f>
        <v/>
      </c>
      <c r="Q38" s="229" t="str">
        <f>IFERROR(VLOOKUP($V$7,#REF!,56,0),"")</f>
        <v/>
      </c>
      <c r="R38" s="190"/>
      <c r="S38" s="191"/>
    </row>
    <row r="39" spans="2:19" ht="199.5" customHeight="1">
      <c r="B39" s="187"/>
      <c r="C39" s="238" t="s">
        <v>642</v>
      </c>
      <c r="D39" s="190"/>
      <c r="E39" s="190"/>
      <c r="F39" s="190"/>
      <c r="G39" s="171" t="str">
        <f>IFERROR(VLOOKUP(V7,'1°D'!A12:CA44,57,0),"")</f>
        <v>C</v>
      </c>
      <c r="H39" s="278" t="str">
        <f>IFERROR(VLOOKUP(V7,'1°D'!A12:CA44,58,0),"")</f>
        <v>Identificas problemas tecnológicos, sin embargo es necesario que propongas y construyas alternativas de solución a dichos problemas. Infórmate más leyendo otros proyectos similares.</v>
      </c>
      <c r="I39" s="190"/>
      <c r="J39" s="190"/>
      <c r="K39" s="190"/>
      <c r="L39" s="156"/>
      <c r="M39" s="229"/>
      <c r="N39" s="190"/>
      <c r="O39" s="191"/>
      <c r="P39" s="149" t="str">
        <f>IFERROR(VLOOKUP($V$7,#REF!,57,0),"")</f>
        <v/>
      </c>
      <c r="Q39" s="229" t="str">
        <f>IFERROR(VLOOKUP($V$7,#REF!,58,0),"")</f>
        <v/>
      </c>
      <c r="R39" s="190"/>
      <c r="S39" s="191"/>
    </row>
    <row r="40" spans="2:19" ht="199.5" customHeight="1">
      <c r="B40" s="240" t="s">
        <v>643</v>
      </c>
      <c r="C40" s="238" t="s">
        <v>644</v>
      </c>
      <c r="D40" s="190"/>
      <c r="E40" s="190"/>
      <c r="F40" s="190"/>
      <c r="G40" s="171" t="str">
        <f>IFERROR(VLOOKUP(V7,'1°D'!A12:CA44,60,0),"")</f>
        <v>B</v>
      </c>
      <c r="H40" s="278" t="str">
        <f>IFERROR(VLOOKUP(V7,'1°D'!A12:CA44,61,0),"")</f>
        <v xml:space="preserve">Ha expresado coherencia entre lo que cree, dice y hace en su compromiso personal con Dios por medio de la oración teniendo como ejemplo a Jesús. </v>
      </c>
      <c r="I40" s="190"/>
      <c r="J40" s="190"/>
      <c r="K40" s="190"/>
      <c r="L40" s="156"/>
      <c r="M40" s="229"/>
      <c r="N40" s="190"/>
      <c r="O40" s="191"/>
      <c r="P40" s="149" t="str">
        <f>IFERROR(VLOOKUP($V$7,#REF!,60,0),"")</f>
        <v/>
      </c>
      <c r="Q40" s="229" t="str">
        <f>IFERROR(VLOOKUP($V$7,#REF!,61,0),"")</f>
        <v/>
      </c>
      <c r="R40" s="190"/>
      <c r="S40" s="191"/>
    </row>
    <row r="41" spans="2:19" ht="199.5" customHeight="1">
      <c r="B41" s="187"/>
      <c r="C41" s="238" t="s">
        <v>645</v>
      </c>
      <c r="D41" s="190"/>
      <c r="E41" s="190"/>
      <c r="F41" s="190"/>
      <c r="G41" s="171" t="str">
        <f>IFERROR(VLOOKUP(V7,'1°D'!A12:CA44,62,0),"")</f>
        <v>C</v>
      </c>
      <c r="H41" s="278" t="str">
        <f>IFERROR(VLOOKUP(V7,'1°D'!A12:CA44,63,0),"")</f>
        <v>No ha tenido la oportunidad de participar en el proceso de aprendizaje por diversos motivos.</v>
      </c>
      <c r="I41" s="190"/>
      <c r="J41" s="190"/>
      <c r="K41" s="190"/>
      <c r="L41" s="156"/>
      <c r="M41" s="229"/>
      <c r="N41" s="190"/>
      <c r="O41" s="191"/>
      <c r="P41" s="149" t="str">
        <f>IFERROR(VLOOKUP($V$7,#REF!,62,0),"")</f>
        <v/>
      </c>
      <c r="Q41" s="229" t="str">
        <f>IFERROR(VLOOKUP($V$7,#REF!,63,0),"")</f>
        <v/>
      </c>
      <c r="R41" s="190"/>
      <c r="S41" s="191"/>
    </row>
    <row r="42" spans="2:19" ht="199.5" customHeight="1">
      <c r="B42" s="153" t="s">
        <v>646</v>
      </c>
      <c r="C42" s="238" t="s">
        <v>647</v>
      </c>
      <c r="D42" s="190"/>
      <c r="E42" s="190"/>
      <c r="F42" s="190"/>
      <c r="G42" s="171" t="str">
        <f>IFERROR(VLOOKUP(V7,'1°D'!A12:CA44,65,0),"")</f>
        <v>B</v>
      </c>
      <c r="H42" s="278" t="str">
        <f>IFERROR(VLOOKUP(V7,'1°D'!A12:CA44,66,0),"")</f>
        <v>Esta en proceso de lograr la competencia</v>
      </c>
      <c r="I42" s="190"/>
      <c r="J42" s="190"/>
      <c r="K42" s="190"/>
      <c r="L42" s="156"/>
      <c r="M42" s="229"/>
      <c r="N42" s="190"/>
      <c r="O42" s="191"/>
      <c r="P42" s="149" t="str">
        <f>IFERROR(VLOOKUP($V$7,#REF!,65,0),"")</f>
        <v/>
      </c>
      <c r="Q42" s="229" t="str">
        <f>IFERROR(VLOOKUP($V$7,#REF!,66,0),"")</f>
        <v/>
      </c>
      <c r="R42" s="190"/>
      <c r="S42" s="191"/>
    </row>
    <row r="43" spans="2:19" ht="15.75" customHeight="1">
      <c r="B43" s="6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</row>
    <row r="44" spans="2:19" ht="15.75" customHeight="1"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</row>
    <row r="45" spans="2:19" ht="23.25" customHeight="1">
      <c r="B45" s="262" t="s">
        <v>11</v>
      </c>
      <c r="C45" s="204"/>
      <c r="D45" s="204"/>
      <c r="E45" s="204"/>
      <c r="F45" s="204"/>
      <c r="G45" s="230" t="s">
        <v>610</v>
      </c>
      <c r="H45" s="190"/>
      <c r="I45" s="190"/>
      <c r="J45" s="190"/>
      <c r="K45" s="191"/>
      <c r="L45" s="230" t="s">
        <v>611</v>
      </c>
      <c r="M45" s="190"/>
      <c r="N45" s="190"/>
      <c r="O45" s="190"/>
      <c r="P45" s="230" t="s">
        <v>612</v>
      </c>
      <c r="Q45" s="190"/>
      <c r="R45" s="190"/>
      <c r="S45" s="191"/>
    </row>
    <row r="46" spans="2:19" ht="53.25" customHeight="1">
      <c r="B46" s="219"/>
      <c r="C46" s="220"/>
      <c r="D46" s="220"/>
      <c r="E46" s="220"/>
      <c r="F46" s="220"/>
      <c r="G46" s="154" t="s">
        <v>613</v>
      </c>
      <c r="H46" s="232" t="s">
        <v>614</v>
      </c>
      <c r="I46" s="190"/>
      <c r="J46" s="190"/>
      <c r="K46" s="191"/>
      <c r="L46" s="154" t="s">
        <v>613</v>
      </c>
      <c r="M46" s="232" t="s">
        <v>614</v>
      </c>
      <c r="N46" s="190"/>
      <c r="O46" s="190"/>
      <c r="P46" s="154" t="s">
        <v>613</v>
      </c>
      <c r="Q46" s="232" t="s">
        <v>614</v>
      </c>
      <c r="R46" s="190"/>
      <c r="S46" s="191"/>
    </row>
    <row r="47" spans="2:19" ht="108.75" customHeight="1">
      <c r="B47" s="232" t="s">
        <v>648</v>
      </c>
      <c r="C47" s="190"/>
      <c r="D47" s="190"/>
      <c r="E47" s="190"/>
      <c r="F47" s="190"/>
      <c r="G47" s="156" t="str">
        <f>IFERROR(VLOOKUP(V7,'1°D'!A12:CA44,68,0),"")</f>
        <v>A</v>
      </c>
      <c r="H47" s="229" t="str">
        <f>IFERROR(VLOOKUP(V7,'1°D'!A12:CA44,69,0),"")</f>
        <v>Reconoce e interactúa de modo significativo en los entornos virtuales tics</v>
      </c>
      <c r="I47" s="190"/>
      <c r="J47" s="190"/>
      <c r="K47" s="190"/>
      <c r="L47" s="156"/>
      <c r="M47" s="229"/>
      <c r="N47" s="190"/>
      <c r="O47" s="191"/>
      <c r="P47" s="166" t="str">
        <f>IFERROR(VLOOKUP($V$7,#REF!,68,0),"")</f>
        <v/>
      </c>
      <c r="Q47" s="276" t="str">
        <f>IFERROR(VLOOKUP($V$7,#REF!,69,0),"")</f>
        <v/>
      </c>
      <c r="R47" s="220"/>
      <c r="S47" s="221"/>
    </row>
    <row r="48" spans="2:19" ht="112.5" customHeight="1">
      <c r="B48" s="232" t="s">
        <v>649</v>
      </c>
      <c r="C48" s="190"/>
      <c r="D48" s="190"/>
      <c r="E48" s="190"/>
      <c r="F48" s="190"/>
      <c r="G48" s="156" t="str">
        <f>IFERROR(VLOOKUP(V7,'1°D'!A12:CA44,70,0),"")</f>
        <v>A</v>
      </c>
      <c r="H48" s="229" t="str">
        <f>IFERROR(VLOOKUP(V7,'1°D'!A12:CA44,71,0),"")</f>
        <v>LOGRA AFIANZAR SUS CONOCIMIENTOS DE FORMA AUTODIDACTA Y PRACTICA.</v>
      </c>
      <c r="I48" s="190"/>
      <c r="J48" s="190"/>
      <c r="K48" s="190"/>
      <c r="L48" s="156"/>
      <c r="M48" s="229"/>
      <c r="N48" s="190"/>
      <c r="O48" s="191"/>
      <c r="P48" s="157" t="str">
        <f>IFERROR(VLOOKUP($V$7,#REF!,70,0),"")</f>
        <v/>
      </c>
      <c r="Q48" s="229" t="str">
        <f>IFERROR(VLOOKUP($V$7,#REF!,71,0),"")</f>
        <v/>
      </c>
      <c r="R48" s="190"/>
      <c r="S48" s="191"/>
    </row>
    <row r="49" spans="2:17" ht="15.75" customHeight="1"/>
    <row r="50" spans="2:17" ht="15.75" customHeight="1"/>
    <row r="51" spans="2:17" ht="15.75" customHeight="1">
      <c r="C51" s="258" t="s">
        <v>650</v>
      </c>
      <c r="D51" s="210"/>
      <c r="E51" s="210"/>
      <c r="F51" s="210"/>
      <c r="G51" s="210"/>
      <c r="H51" s="210"/>
      <c r="I51" s="210"/>
      <c r="J51" s="210"/>
      <c r="K51" s="210"/>
    </row>
    <row r="52" spans="2:17" ht="15.75" customHeight="1"/>
    <row r="53" spans="2:17" ht="19.5" customHeight="1">
      <c r="B53" s="6"/>
      <c r="C53" s="248" t="s">
        <v>651</v>
      </c>
      <c r="D53" s="204"/>
      <c r="E53" s="204"/>
      <c r="F53" s="218"/>
      <c r="G53" s="259" t="s">
        <v>12</v>
      </c>
      <c r="H53" s="190"/>
      <c r="I53" s="190"/>
      <c r="J53" s="190"/>
      <c r="K53" s="190"/>
      <c r="L53" s="233" t="s">
        <v>13</v>
      </c>
      <c r="M53" s="190"/>
      <c r="N53" s="190"/>
      <c r="O53" s="191"/>
      <c r="P53" s="234" t="s">
        <v>14</v>
      </c>
      <c r="Q53" s="218"/>
    </row>
    <row r="54" spans="2:17" ht="19.5" customHeight="1">
      <c r="B54" s="6"/>
      <c r="C54" s="219"/>
      <c r="D54" s="220"/>
      <c r="E54" s="220"/>
      <c r="F54" s="221"/>
      <c r="G54" s="235" t="s">
        <v>50</v>
      </c>
      <c r="H54" s="190"/>
      <c r="I54" s="191"/>
      <c r="J54" s="235" t="s">
        <v>51</v>
      </c>
      <c r="K54" s="191"/>
      <c r="L54" s="235" t="s">
        <v>50</v>
      </c>
      <c r="M54" s="191"/>
      <c r="N54" s="235" t="s">
        <v>51</v>
      </c>
      <c r="O54" s="191"/>
      <c r="P54" s="219"/>
      <c r="Q54" s="221"/>
    </row>
    <row r="55" spans="2:17" ht="30" customHeight="1">
      <c r="B55" s="6"/>
      <c r="C55" s="159" t="s">
        <v>610</v>
      </c>
      <c r="D55" s="160"/>
      <c r="E55" s="160"/>
      <c r="F55" s="161"/>
      <c r="G55" s="236">
        <f>IFERROR(VLOOKUP(V7,'1°D'!A12:CA44,73,0),"")</f>
        <v>0</v>
      </c>
      <c r="H55" s="190"/>
      <c r="I55" s="191"/>
      <c r="J55" s="236">
        <f>IFERROR(VLOOKUP(V7,'1°D'!A12:CA44,74,0),"")</f>
        <v>3</v>
      </c>
      <c r="K55" s="191"/>
      <c r="L55" s="236">
        <f>IFERROR(VLOOKUP(V7,'1°D'!A12:CA44,76,0),"")</f>
        <v>0</v>
      </c>
      <c r="M55" s="191"/>
      <c r="N55" s="236">
        <f>IFERROR(VLOOKUP(V7,'1°D'!A12:CA44,77,0),"")</f>
        <v>2</v>
      </c>
      <c r="O55" s="191"/>
      <c r="P55" s="237" t="str">
        <f>IFERROR(VLOOKUP(V7,'1°D'!A13:CA44,79,0),"")</f>
        <v>A</v>
      </c>
      <c r="Q55" s="191"/>
    </row>
    <row r="56" spans="2:17" ht="30" customHeight="1">
      <c r="B56" s="6"/>
      <c r="C56" s="255" t="s">
        <v>611</v>
      </c>
      <c r="D56" s="190"/>
      <c r="E56" s="190"/>
      <c r="F56" s="191"/>
      <c r="G56" s="236"/>
      <c r="H56" s="190"/>
      <c r="I56" s="191"/>
      <c r="J56" s="236"/>
      <c r="K56" s="191"/>
      <c r="L56" s="236"/>
      <c r="M56" s="191"/>
      <c r="N56" s="236"/>
      <c r="O56" s="191"/>
      <c r="P56" s="237"/>
      <c r="Q56" s="191"/>
    </row>
    <row r="57" spans="2:17" ht="30" customHeight="1">
      <c r="B57" s="6"/>
      <c r="C57" s="255" t="s">
        <v>612</v>
      </c>
      <c r="D57" s="190"/>
      <c r="E57" s="190"/>
      <c r="F57" s="191"/>
      <c r="G57" s="236" t="str">
        <f>IFERROR(VLOOKUP($V$7,#REF!,73,0),"")</f>
        <v/>
      </c>
      <c r="H57" s="190"/>
      <c r="I57" s="191"/>
      <c r="J57" s="236" t="str">
        <f>IFERROR(VLOOKUP($V$7,#REF!,74,0),"")</f>
        <v/>
      </c>
      <c r="K57" s="191"/>
      <c r="L57" s="236" t="str">
        <f>IFERROR(VLOOKUP($V$7,#REF!,76,0),"")</f>
        <v/>
      </c>
      <c r="M57" s="191"/>
      <c r="N57" s="236" t="str">
        <f>IFERROR(VLOOKUP($V$7,#REF!,77,0),"")</f>
        <v/>
      </c>
      <c r="O57" s="191"/>
      <c r="P57" s="237"/>
      <c r="Q57" s="191"/>
    </row>
    <row r="58" spans="2:17" ht="15.75" customHeight="1">
      <c r="B58" s="6"/>
    </row>
    <row r="59" spans="2:17" ht="15.75" customHeight="1">
      <c r="B59" s="6"/>
      <c r="C59" s="223" t="s">
        <v>652</v>
      </c>
      <c r="D59" s="204"/>
      <c r="E59" s="204"/>
      <c r="F59" s="218"/>
      <c r="G59" s="256"/>
      <c r="H59" s="204"/>
      <c r="I59" s="204"/>
      <c r="J59" s="204"/>
      <c r="K59" s="204"/>
      <c r="L59" s="218"/>
      <c r="M59" s="162"/>
      <c r="N59" s="162"/>
      <c r="O59" s="6"/>
    </row>
    <row r="60" spans="2:17" ht="15.75" customHeight="1">
      <c r="B60" s="6"/>
      <c r="C60" s="224"/>
      <c r="D60" s="210"/>
      <c r="E60" s="210"/>
      <c r="F60" s="184"/>
      <c r="G60" s="224"/>
      <c r="H60" s="210"/>
      <c r="I60" s="210"/>
      <c r="J60" s="210"/>
      <c r="K60" s="210"/>
      <c r="L60" s="184"/>
      <c r="M60" s="162"/>
      <c r="N60" s="162"/>
      <c r="O60" s="6"/>
    </row>
    <row r="61" spans="2:17" ht="15.75" customHeight="1">
      <c r="B61" s="6"/>
      <c r="C61" s="224"/>
      <c r="D61" s="210"/>
      <c r="E61" s="210"/>
      <c r="F61" s="184"/>
      <c r="G61" s="224"/>
      <c r="H61" s="210"/>
      <c r="I61" s="210"/>
      <c r="J61" s="210"/>
      <c r="K61" s="210"/>
      <c r="L61" s="184"/>
      <c r="M61" s="162"/>
      <c r="N61" s="162"/>
      <c r="O61" s="6"/>
    </row>
    <row r="62" spans="2:17" ht="15.75" customHeight="1">
      <c r="B62" s="6"/>
      <c r="C62" s="224"/>
      <c r="D62" s="210"/>
      <c r="E62" s="210"/>
      <c r="F62" s="184"/>
      <c r="G62" s="224"/>
      <c r="H62" s="210"/>
      <c r="I62" s="210"/>
      <c r="J62" s="210"/>
      <c r="K62" s="210"/>
      <c r="L62" s="184"/>
      <c r="M62" s="162"/>
      <c r="N62" s="162"/>
      <c r="O62" s="6"/>
    </row>
    <row r="63" spans="2:17" ht="15.75" customHeight="1">
      <c r="B63" s="6"/>
      <c r="C63" s="219"/>
      <c r="D63" s="220"/>
      <c r="E63" s="220"/>
      <c r="F63" s="221"/>
      <c r="G63" s="219"/>
      <c r="H63" s="220"/>
      <c r="I63" s="220"/>
      <c r="J63" s="220"/>
      <c r="K63" s="220"/>
      <c r="L63" s="221"/>
      <c r="M63" s="162"/>
      <c r="N63" s="162"/>
      <c r="O63" s="6"/>
    </row>
    <row r="64" spans="2:17" ht="15.75" customHeight="1">
      <c r="B64" s="6"/>
      <c r="C64" s="257" t="s">
        <v>653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9">
    <mergeCell ref="G9:L9"/>
    <mergeCell ref="M9:N9"/>
    <mergeCell ref="O9:R9"/>
    <mergeCell ref="B10:F10"/>
    <mergeCell ref="G10:L10"/>
    <mergeCell ref="M10:N10"/>
    <mergeCell ref="O10:R10"/>
    <mergeCell ref="C29:F29"/>
    <mergeCell ref="C30:F30"/>
    <mergeCell ref="Q28:S28"/>
    <mergeCell ref="Q29:S29"/>
    <mergeCell ref="Q21:S21"/>
    <mergeCell ref="Q22:S22"/>
    <mergeCell ref="Q23:S23"/>
    <mergeCell ref="Q24:S24"/>
    <mergeCell ref="Q25:S25"/>
    <mergeCell ref="Q26:S26"/>
    <mergeCell ref="Q27:S27"/>
    <mergeCell ref="B22:B24"/>
    <mergeCell ref="C22:F22"/>
    <mergeCell ref="C23:F23"/>
    <mergeCell ref="C24:F24"/>
    <mergeCell ref="M16:O16"/>
    <mergeCell ref="M17:O17"/>
    <mergeCell ref="C31:F31"/>
    <mergeCell ref="C32:F32"/>
    <mergeCell ref="B25:B26"/>
    <mergeCell ref="C25:F25"/>
    <mergeCell ref="C26:F26"/>
    <mergeCell ref="B27:B29"/>
    <mergeCell ref="C27:F27"/>
    <mergeCell ref="C28:F28"/>
    <mergeCell ref="B30:B32"/>
    <mergeCell ref="C38:F38"/>
    <mergeCell ref="C39:F39"/>
    <mergeCell ref="B40:B41"/>
    <mergeCell ref="C40:F40"/>
    <mergeCell ref="C41:F41"/>
    <mergeCell ref="C42:F42"/>
    <mergeCell ref="B45:F46"/>
    <mergeCell ref="B47:F47"/>
    <mergeCell ref="B48:F48"/>
    <mergeCell ref="B33:B36"/>
    <mergeCell ref="C33:F33"/>
    <mergeCell ref="C34:F34"/>
    <mergeCell ref="C35:F35"/>
    <mergeCell ref="C36:F36"/>
    <mergeCell ref="B37:B39"/>
    <mergeCell ref="C37:F37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  <mergeCell ref="H40:K40"/>
    <mergeCell ref="H41:K41"/>
    <mergeCell ref="H42:K42"/>
    <mergeCell ref="G45:K45"/>
    <mergeCell ref="H46:K46"/>
    <mergeCell ref="H47:K47"/>
    <mergeCell ref="H48:K48"/>
    <mergeCell ref="C51:K51"/>
    <mergeCell ref="C53:F54"/>
    <mergeCell ref="G53:K53"/>
    <mergeCell ref="G54:I54"/>
    <mergeCell ref="J54:K54"/>
    <mergeCell ref="C57:F57"/>
    <mergeCell ref="C59:F63"/>
    <mergeCell ref="G59:L63"/>
    <mergeCell ref="C64:N64"/>
    <mergeCell ref="G55:I55"/>
    <mergeCell ref="J55:K55"/>
    <mergeCell ref="C56:F56"/>
    <mergeCell ref="G56:I56"/>
    <mergeCell ref="J56:K56"/>
    <mergeCell ref="G57:I57"/>
    <mergeCell ref="J57:K57"/>
    <mergeCell ref="B4:S5"/>
    <mergeCell ref="G7:L7"/>
    <mergeCell ref="M7:N8"/>
    <mergeCell ref="O7:R8"/>
    <mergeCell ref="S7:S13"/>
    <mergeCell ref="V7:W12"/>
    <mergeCell ref="M11:R11"/>
    <mergeCell ref="V13:W15"/>
    <mergeCell ref="G15:K15"/>
    <mergeCell ref="L15:O15"/>
    <mergeCell ref="P15:S15"/>
    <mergeCell ref="B11:F11"/>
    <mergeCell ref="G11:K11"/>
    <mergeCell ref="B13:F13"/>
    <mergeCell ref="G13:R13"/>
    <mergeCell ref="B7:F7"/>
    <mergeCell ref="B12:F12"/>
    <mergeCell ref="B15:B16"/>
    <mergeCell ref="C15:F16"/>
    <mergeCell ref="H16:K16"/>
    <mergeCell ref="Q16:S16"/>
    <mergeCell ref="B8:F8"/>
    <mergeCell ref="G8:L8"/>
    <mergeCell ref="B9:F9"/>
    <mergeCell ref="M24:O24"/>
    <mergeCell ref="C20:F20"/>
    <mergeCell ref="C21:F21"/>
    <mergeCell ref="B17:B18"/>
    <mergeCell ref="C17:F17"/>
    <mergeCell ref="B19:B21"/>
    <mergeCell ref="Q17:S17"/>
    <mergeCell ref="C18:F18"/>
    <mergeCell ref="C19:F19"/>
    <mergeCell ref="M18:O18"/>
    <mergeCell ref="Q18:S18"/>
    <mergeCell ref="M19:O19"/>
    <mergeCell ref="Q19:S19"/>
    <mergeCell ref="Q20:S20"/>
    <mergeCell ref="M20:O20"/>
    <mergeCell ref="M21:O21"/>
    <mergeCell ref="M22:O22"/>
    <mergeCell ref="M23:O23"/>
    <mergeCell ref="M25:O25"/>
    <mergeCell ref="M26:O26"/>
    <mergeCell ref="M33:O33"/>
    <mergeCell ref="Q33:S33"/>
    <mergeCell ref="N57:O57"/>
    <mergeCell ref="P57:Q57"/>
    <mergeCell ref="L55:M55"/>
    <mergeCell ref="N55:O55"/>
    <mergeCell ref="P55:Q55"/>
    <mergeCell ref="L56:M56"/>
    <mergeCell ref="N56:O56"/>
    <mergeCell ref="P56:Q56"/>
    <mergeCell ref="L57:M57"/>
    <mergeCell ref="Q31:S31"/>
    <mergeCell ref="Q32:S32"/>
    <mergeCell ref="M27:O27"/>
    <mergeCell ref="M28:O28"/>
    <mergeCell ref="M29:O29"/>
    <mergeCell ref="M30:O30"/>
    <mergeCell ref="Q30:S30"/>
    <mergeCell ref="M31:O31"/>
    <mergeCell ref="M32:O32"/>
    <mergeCell ref="M34:O34"/>
    <mergeCell ref="Q34:S34"/>
    <mergeCell ref="M35:O35"/>
    <mergeCell ref="Q35:S35"/>
    <mergeCell ref="M36:O36"/>
    <mergeCell ref="Q36:S36"/>
    <mergeCell ref="Q37:S37"/>
    <mergeCell ref="M37:O37"/>
    <mergeCell ref="M38:O38"/>
    <mergeCell ref="M39:O39"/>
    <mergeCell ref="M40:O40"/>
    <mergeCell ref="Q38:S38"/>
    <mergeCell ref="Q39:S39"/>
    <mergeCell ref="Q40:S40"/>
    <mergeCell ref="Q41:S41"/>
    <mergeCell ref="Q42:S42"/>
    <mergeCell ref="P45:S45"/>
    <mergeCell ref="Q46:S46"/>
    <mergeCell ref="M46:O46"/>
    <mergeCell ref="M47:O47"/>
    <mergeCell ref="L53:O53"/>
    <mergeCell ref="P53:Q54"/>
    <mergeCell ref="L54:M54"/>
    <mergeCell ref="N54:O54"/>
    <mergeCell ref="M41:O41"/>
    <mergeCell ref="M42:O42"/>
    <mergeCell ref="L45:O45"/>
    <mergeCell ref="Q47:S47"/>
    <mergeCell ref="Q48:S48"/>
    <mergeCell ref="M48:O48"/>
  </mergeCells>
  <printOptions horizontalCentered="1"/>
  <pageMargins left="0.11811023622047245" right="0.11811023622047245" top="0.11811023622047245" bottom="0.11811023622047245" header="0" footer="0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1°A</vt:lpstr>
      <vt:lpstr>1°B</vt:lpstr>
      <vt:lpstr>1°C</vt:lpstr>
      <vt:lpstr>1°D</vt:lpstr>
      <vt:lpstr>BOLETA 1°A</vt:lpstr>
      <vt:lpstr>BOLETA 1°B</vt:lpstr>
      <vt:lpstr>BOLETA 1°C</vt:lpstr>
      <vt:lpstr>BOLETA 1°D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Frank Del Águila Ruíz</cp:lastModifiedBy>
  <cp:lastPrinted>2023-06-27T12:38:27Z</cp:lastPrinted>
  <dcterms:modified xsi:type="dcterms:W3CDTF">2023-08-26T05:40:06Z</dcterms:modified>
</cp:coreProperties>
</file>