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ml.chartshapes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40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1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2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3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4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9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0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1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2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3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4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5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6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7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8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9.xml" ContentType="application/vnd.openxmlformats-officedocument.drawing+xml"/>
  <Override PartName="/xl/charts/chart59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81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82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83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84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85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86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87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88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89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90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10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9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9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9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9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9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9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9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10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10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10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10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10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10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10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10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10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11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11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1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465" yWindow="1245" windowWidth="24555" windowHeight="12945" tabRatio="706" activeTab="1"/>
  </bookViews>
  <sheets>
    <sheet name="Ga - GaAs" sheetId="6" r:id="rId1"/>
    <sheet name="Gallium - GaSb" sheetId="9" r:id="rId2"/>
    <sheet name=" Indium - InAs" sheetId="7" r:id="rId3"/>
    <sheet name=" In - InSb " sheetId="14" r:id="rId4"/>
    <sheet name="Al- AlAs" sheetId="12" r:id="rId5"/>
    <sheet name="Al - AlSb" sheetId="13" r:id="rId6"/>
    <sheet name="Bismuth Cell" sheetId="8" r:id="rId7"/>
    <sheet name="As-Valve" sheetId="3" r:id="rId8"/>
    <sheet name="Sb-Valve" sheetId="10" r:id="rId9"/>
  </sheets>
  <calcPr calcId="162913"/>
</workbook>
</file>

<file path=xl/calcChain.xml><?xml version="1.0" encoding="utf-8"?>
<calcChain xmlns="http://schemas.openxmlformats.org/spreadsheetml/2006/main">
  <c r="H33" i="14" l="1"/>
  <c r="D33" i="14"/>
  <c r="E33" i="14" s="1"/>
  <c r="H32" i="14"/>
  <c r="E32" i="14"/>
  <c r="D32" i="14"/>
  <c r="H31" i="14"/>
  <c r="D31" i="14"/>
  <c r="E31" i="14" s="1"/>
  <c r="H167" i="7"/>
  <c r="H166" i="7"/>
  <c r="H165" i="7"/>
  <c r="E158" i="7"/>
  <c r="E159" i="7"/>
  <c r="E160" i="7"/>
  <c r="E161" i="7"/>
  <c r="E162" i="7"/>
  <c r="E163" i="7"/>
  <c r="E164" i="7"/>
  <c r="E165" i="7"/>
  <c r="E166" i="7"/>
  <c r="E167" i="7"/>
  <c r="E157" i="7"/>
  <c r="D167" i="7"/>
  <c r="D166" i="7"/>
  <c r="D165" i="7"/>
  <c r="E19" i="14" l="1"/>
  <c r="D68" i="13" l="1"/>
  <c r="E68" i="13" s="1"/>
  <c r="D67" i="13"/>
  <c r="E67" i="13" s="1"/>
  <c r="D34" i="12"/>
  <c r="E34" i="12"/>
  <c r="D33" i="12"/>
  <c r="E33" i="12" s="1"/>
  <c r="R292" i="8"/>
  <c r="D205" i="9"/>
  <c r="E205" i="9" s="1"/>
  <c r="D204" i="9"/>
  <c r="E204" i="9"/>
  <c r="W267" i="6"/>
  <c r="D32" i="12"/>
  <c r="E32" i="12"/>
  <c r="N999" i="10"/>
  <c r="G992" i="10"/>
  <c r="G993" i="10"/>
  <c r="G994" i="10"/>
  <c r="G991" i="10"/>
  <c r="D203" i="9"/>
  <c r="E203" i="9"/>
  <c r="D202" i="9"/>
  <c r="E202" i="9"/>
  <c r="G945" i="10" l="1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43" i="10"/>
  <c r="G944" i="10"/>
  <c r="E29" i="12"/>
  <c r="E30" i="12"/>
  <c r="E31" i="12"/>
  <c r="D29" i="12"/>
  <c r="D30" i="12"/>
  <c r="D31" i="12"/>
  <c r="E60" i="13"/>
  <c r="E61" i="13"/>
  <c r="E62" i="13"/>
  <c r="E63" i="13"/>
  <c r="E64" i="13"/>
  <c r="E65" i="13"/>
  <c r="E66" i="13"/>
  <c r="D60" i="13"/>
  <c r="D61" i="13"/>
  <c r="D62" i="13"/>
  <c r="D63" i="13"/>
  <c r="D64" i="13"/>
  <c r="D65" i="13"/>
  <c r="D66" i="13"/>
  <c r="D30" i="14"/>
  <c r="D29" i="14"/>
  <c r="H164" i="7"/>
  <c r="H163" i="7"/>
  <c r="D164" i="7"/>
  <c r="D163" i="7"/>
  <c r="D201" i="9"/>
  <c r="E201" i="9"/>
  <c r="E195" i="9"/>
  <c r="E196" i="9"/>
  <c r="E197" i="9"/>
  <c r="E198" i="9"/>
  <c r="E199" i="9"/>
  <c r="E200" i="9"/>
  <c r="E194" i="9"/>
  <c r="D195" i="9"/>
  <c r="D196" i="9"/>
  <c r="D197" i="9"/>
  <c r="D198" i="9"/>
  <c r="D199" i="9"/>
  <c r="D200" i="9"/>
  <c r="D194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W239" i="6"/>
  <c r="U71" i="13" l="1"/>
  <c r="W71" i="13"/>
  <c r="V66" i="13"/>
  <c r="L740" i="3" l="1"/>
  <c r="O967" i="10"/>
  <c r="G942" i="10" l="1"/>
  <c r="G941" i="10"/>
  <c r="G940" i="10"/>
  <c r="G939" i="10"/>
  <c r="G938" i="10"/>
  <c r="G937" i="10"/>
  <c r="G936" i="10"/>
  <c r="G935" i="10"/>
  <c r="G934" i="10"/>
  <c r="G933" i="10"/>
  <c r="G932" i="10"/>
  <c r="G931" i="10"/>
  <c r="G930" i="10"/>
  <c r="D28" i="12"/>
  <c r="E28" i="12" s="1"/>
  <c r="F730" i="3" l="1"/>
  <c r="F729" i="3"/>
  <c r="F728" i="3"/>
  <c r="F709" i="3"/>
  <c r="F708" i="3"/>
  <c r="F707" i="3"/>
  <c r="F706" i="3"/>
  <c r="F726" i="3"/>
  <c r="F725" i="3"/>
  <c r="F724" i="3"/>
  <c r="O929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E52" i="13" l="1"/>
  <c r="E53" i="13"/>
  <c r="D52" i="13"/>
  <c r="D53" i="13"/>
  <c r="E57" i="13"/>
  <c r="E58" i="13"/>
  <c r="E59" i="13"/>
  <c r="D57" i="13"/>
  <c r="D58" i="13"/>
  <c r="D59" i="13"/>
  <c r="G915" i="10"/>
  <c r="G914" i="10"/>
  <c r="G913" i="10"/>
  <c r="G912" i="10"/>
  <c r="G911" i="10"/>
  <c r="G910" i="10"/>
  <c r="G909" i="10"/>
  <c r="G902" i="10"/>
  <c r="G903" i="10"/>
  <c r="G904" i="10"/>
  <c r="G905" i="10"/>
  <c r="G906" i="10"/>
  <c r="G907" i="10"/>
  <c r="G908" i="10"/>
  <c r="M65" i="13"/>
  <c r="U63" i="13"/>
  <c r="D51" i="13"/>
  <c r="E51" i="13"/>
  <c r="V905" i="10"/>
  <c r="G901" i="10"/>
  <c r="G900" i="10"/>
  <c r="G899" i="10"/>
  <c r="G898" i="10"/>
  <c r="G897" i="10"/>
  <c r="G896" i="10"/>
  <c r="G895" i="10"/>
  <c r="F705" i="3"/>
  <c r="F704" i="3"/>
  <c r="F703" i="3"/>
  <c r="D56" i="13"/>
  <c r="E56" i="13" s="1"/>
  <c r="D55" i="13"/>
  <c r="E55" i="13" s="1"/>
  <c r="D54" i="13"/>
  <c r="E54" i="13" s="1"/>
  <c r="E50" i="13"/>
  <c r="D50" i="13"/>
  <c r="D49" i="13"/>
  <c r="E49" i="13" s="1"/>
  <c r="E48" i="13"/>
  <c r="D48" i="13"/>
  <c r="D47" i="13"/>
  <c r="E47" i="13" s="1"/>
  <c r="D46" i="13"/>
  <c r="E46" i="13" s="1"/>
  <c r="D45" i="13"/>
  <c r="E45" i="13" s="1"/>
  <c r="D27" i="12"/>
  <c r="E27" i="12"/>
  <c r="D26" i="12"/>
  <c r="E26" i="12"/>
  <c r="D25" i="12"/>
  <c r="E25" i="12"/>
  <c r="D28" i="14"/>
  <c r="D27" i="14"/>
  <c r="D26" i="14"/>
  <c r="D25" i="14"/>
  <c r="D24" i="14"/>
  <c r="D23" i="14"/>
  <c r="H162" i="7"/>
  <c r="H161" i="7"/>
  <c r="H160" i="7"/>
  <c r="H158" i="7"/>
  <c r="H159" i="7"/>
  <c r="H157" i="7"/>
  <c r="D162" i="7"/>
  <c r="D161" i="7"/>
  <c r="D160" i="7"/>
  <c r="G253" i="6"/>
  <c r="D254" i="6"/>
  <c r="E254" i="6"/>
  <c r="D253" i="6"/>
  <c r="E253" i="6" s="1"/>
  <c r="G894" i="10" l="1"/>
  <c r="G893" i="10"/>
  <c r="G892" i="10"/>
  <c r="G891" i="10"/>
  <c r="G890" i="10"/>
  <c r="G889" i="10"/>
  <c r="G888" i="10"/>
  <c r="L717" i="3"/>
  <c r="F702" i="3"/>
  <c r="F701" i="3"/>
  <c r="F700" i="3"/>
  <c r="F699" i="3"/>
  <c r="F698" i="3"/>
  <c r="F697" i="3"/>
  <c r="M184" i="9"/>
  <c r="G887" i="10" l="1"/>
  <c r="G886" i="10"/>
  <c r="G885" i="10"/>
  <c r="G884" i="10"/>
  <c r="G883" i="10"/>
  <c r="G882" i="10"/>
  <c r="G881" i="10"/>
  <c r="F691" i="3" l="1"/>
  <c r="F692" i="3"/>
  <c r="F693" i="3"/>
  <c r="F694" i="3"/>
  <c r="F695" i="3"/>
  <c r="F696" i="3"/>
  <c r="F690" i="3"/>
  <c r="G252" i="6"/>
  <c r="D24" i="12"/>
  <c r="E24" i="12"/>
  <c r="D23" i="12"/>
  <c r="E23" i="12"/>
  <c r="D252" i="6"/>
  <c r="E252" i="6"/>
  <c r="G251" i="6"/>
  <c r="D251" i="6"/>
  <c r="E251" i="6" s="1"/>
  <c r="D22" i="12"/>
  <c r="E22" i="12" s="1"/>
  <c r="G874" i="10" l="1"/>
  <c r="G875" i="10"/>
  <c r="G876" i="10"/>
  <c r="G877" i="10"/>
  <c r="G878" i="10"/>
  <c r="G879" i="10"/>
  <c r="G880" i="10"/>
  <c r="D20" i="12"/>
  <c r="E20" i="12"/>
  <c r="D21" i="12"/>
  <c r="E21" i="12"/>
  <c r="D19" i="12"/>
  <c r="E19" i="12" s="1"/>
  <c r="E178" i="9" l="1"/>
  <c r="D178" i="9"/>
  <c r="D157" i="7"/>
  <c r="D158" i="7"/>
  <c r="D159" i="7"/>
  <c r="D248" i="6"/>
  <c r="E248" i="6"/>
  <c r="D249" i="6"/>
  <c r="E249" i="6" s="1"/>
  <c r="D250" i="6"/>
  <c r="E250" i="6"/>
  <c r="G245" i="6"/>
  <c r="G246" i="6"/>
  <c r="G248" i="6"/>
  <c r="G249" i="6"/>
  <c r="G250" i="6"/>
  <c r="C270" i="8"/>
  <c r="D270" i="8"/>
  <c r="F270" i="8"/>
  <c r="C271" i="8"/>
  <c r="D271" i="8"/>
  <c r="F271" i="8"/>
  <c r="C272" i="8"/>
  <c r="D272" i="8" s="1"/>
  <c r="F272" i="8"/>
  <c r="C273" i="8"/>
  <c r="D273" i="8" s="1"/>
  <c r="F273" i="8"/>
  <c r="C274" i="8"/>
  <c r="D274" i="8"/>
  <c r="F274" i="8"/>
  <c r="C275" i="8"/>
  <c r="D275" i="8" s="1"/>
  <c r="F275" i="8"/>
  <c r="C276" i="8"/>
  <c r="D276" i="8" s="1"/>
  <c r="F276" i="8"/>
  <c r="C277" i="8"/>
  <c r="D277" i="8"/>
  <c r="F277" i="8"/>
  <c r="C278" i="8"/>
  <c r="D278" i="8"/>
  <c r="F278" i="8"/>
  <c r="C279" i="8"/>
  <c r="D279" i="8"/>
  <c r="F279" i="8"/>
  <c r="G872" i="10" l="1"/>
  <c r="G871" i="10"/>
  <c r="G870" i="10"/>
  <c r="G869" i="10"/>
  <c r="G868" i="10"/>
  <c r="G867" i="10"/>
  <c r="G866" i="10"/>
  <c r="C264" i="8"/>
  <c r="D264" i="8" s="1"/>
  <c r="C265" i="8"/>
  <c r="D265" i="8" s="1"/>
  <c r="C266" i="8"/>
  <c r="D266" i="8" s="1"/>
  <c r="C267" i="8"/>
  <c r="D267" i="8" s="1"/>
  <c r="C268" i="8"/>
  <c r="D268" i="8" s="1"/>
  <c r="F264" i="8"/>
  <c r="F265" i="8"/>
  <c r="F266" i="8"/>
  <c r="F267" i="8"/>
  <c r="F268" i="8"/>
  <c r="S283" i="8"/>
  <c r="M187" i="9" l="1"/>
  <c r="S280" i="8"/>
  <c r="O260" i="8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F682" i="3"/>
  <c r="F683" i="3"/>
  <c r="F684" i="3"/>
  <c r="F685" i="3"/>
  <c r="F686" i="3"/>
  <c r="F687" i="3"/>
  <c r="F688" i="3"/>
  <c r="D43" i="13"/>
  <c r="E43" i="13"/>
  <c r="C260" i="8" l="1"/>
  <c r="D260" i="8" s="1"/>
  <c r="C261" i="8"/>
  <c r="D261" i="8" s="1"/>
  <c r="C262" i="8"/>
  <c r="D262" i="8" s="1"/>
  <c r="C263" i="8"/>
  <c r="D263" i="8" s="1"/>
  <c r="F260" i="8"/>
  <c r="F261" i="8"/>
  <c r="F262" i="8"/>
  <c r="F263" i="8"/>
  <c r="D42" i="13"/>
  <c r="E42" i="13"/>
  <c r="E173" i="9"/>
  <c r="E174" i="9"/>
  <c r="D173" i="9"/>
  <c r="D174" i="9"/>
  <c r="F681" i="3"/>
  <c r="F680" i="3"/>
  <c r="F679" i="3"/>
  <c r="F678" i="3"/>
  <c r="F677" i="3"/>
  <c r="F676" i="3"/>
  <c r="F675" i="3"/>
  <c r="G845" i="10"/>
  <c r="G846" i="10"/>
  <c r="G847" i="10"/>
  <c r="G848" i="10"/>
  <c r="G849" i="10"/>
  <c r="G850" i="10"/>
  <c r="G851" i="10"/>
  <c r="G844" i="10"/>
  <c r="G843" i="10"/>
  <c r="G842" i="10"/>
  <c r="G841" i="10"/>
  <c r="G840" i="10"/>
  <c r="G839" i="10"/>
  <c r="G838" i="10"/>
  <c r="X851" i="10"/>
  <c r="Q66" i="10" l="1"/>
  <c r="Q62" i="10"/>
  <c r="D172" i="9"/>
  <c r="E172" i="9" s="1"/>
  <c r="D171" i="9"/>
  <c r="E171" i="9"/>
  <c r="D40" i="13"/>
  <c r="E40" i="13"/>
  <c r="G41" i="13"/>
  <c r="D41" i="13"/>
  <c r="E41" i="13" s="1"/>
  <c r="C257" i="8"/>
  <c r="D257" i="8" s="1"/>
  <c r="C258" i="8"/>
  <c r="D258" i="8" s="1"/>
  <c r="C259" i="8"/>
  <c r="D259" i="8" s="1"/>
  <c r="F257" i="8"/>
  <c r="F258" i="8"/>
  <c r="F259" i="8"/>
  <c r="G837" i="10"/>
  <c r="G836" i="10"/>
  <c r="G835" i="10"/>
  <c r="G834" i="10"/>
  <c r="G833" i="10"/>
  <c r="G832" i="10"/>
  <c r="G831" i="10"/>
  <c r="F674" i="3"/>
  <c r="F673" i="3"/>
  <c r="F672" i="3"/>
  <c r="F671" i="3"/>
  <c r="F670" i="3"/>
  <c r="F669" i="3"/>
  <c r="F668" i="3"/>
  <c r="L688" i="3" l="1"/>
  <c r="F661" i="3"/>
  <c r="F662" i="3"/>
  <c r="F663" i="3"/>
  <c r="F664" i="3"/>
  <c r="F665" i="3"/>
  <c r="F666" i="3"/>
  <c r="F667" i="3"/>
  <c r="G830" i="10"/>
  <c r="G829" i="10"/>
  <c r="G828" i="10"/>
  <c r="G827" i="10"/>
  <c r="G826" i="10"/>
  <c r="G825" i="10"/>
  <c r="G824" i="10"/>
  <c r="D170" i="9"/>
  <c r="E170" i="9"/>
  <c r="G39" i="13"/>
  <c r="G38" i="13"/>
  <c r="G37" i="13"/>
  <c r="D39" i="13"/>
  <c r="E39" i="13" s="1"/>
  <c r="D38" i="13"/>
  <c r="E38" i="13"/>
  <c r="D37" i="13"/>
  <c r="E37" i="13" s="1"/>
  <c r="G36" i="13" l="1"/>
  <c r="D36" i="13"/>
  <c r="E36" i="13" s="1"/>
  <c r="F660" i="3"/>
  <c r="F659" i="3"/>
  <c r="F658" i="3"/>
  <c r="F657" i="3"/>
  <c r="F656" i="3"/>
  <c r="F655" i="3"/>
  <c r="F654" i="3"/>
  <c r="G823" i="10"/>
  <c r="G822" i="10"/>
  <c r="G821" i="10"/>
  <c r="G820" i="10"/>
  <c r="D246" i="6" l="1"/>
  <c r="E246" i="6" s="1"/>
  <c r="D17" i="12"/>
  <c r="E17" i="12"/>
  <c r="U181" i="6"/>
  <c r="U184" i="6" l="1"/>
  <c r="V181" i="6"/>
  <c r="W181" i="6"/>
  <c r="G35" i="13"/>
  <c r="D35" i="13"/>
  <c r="E35" i="13"/>
  <c r="F653" i="3"/>
  <c r="F652" i="3"/>
  <c r="F651" i="3"/>
  <c r="F650" i="3"/>
  <c r="F649" i="3"/>
  <c r="F648" i="3"/>
  <c r="F647" i="3"/>
  <c r="G819" i="10"/>
  <c r="G818" i="10"/>
  <c r="G817" i="10"/>
  <c r="G816" i="10"/>
  <c r="G815" i="10"/>
  <c r="G814" i="10"/>
  <c r="G813" i="10"/>
  <c r="D16" i="12" l="1"/>
  <c r="E16" i="12" s="1"/>
  <c r="D15" i="12"/>
  <c r="E15" i="12"/>
  <c r="G34" i="13"/>
  <c r="D34" i="13"/>
  <c r="E34" i="13" s="1"/>
  <c r="F646" i="3"/>
  <c r="F645" i="3"/>
  <c r="F644" i="3"/>
  <c r="F643" i="3"/>
  <c r="F642" i="3"/>
  <c r="F641" i="3"/>
  <c r="F640" i="3"/>
  <c r="G812" i="10"/>
  <c r="G811" i="10"/>
  <c r="G810" i="10"/>
  <c r="G809" i="10"/>
  <c r="G808" i="10"/>
  <c r="G807" i="10"/>
  <c r="G806" i="10"/>
  <c r="G33" i="13" l="1"/>
  <c r="G32" i="13"/>
  <c r="D33" i="13"/>
  <c r="E33" i="13"/>
  <c r="D32" i="13"/>
  <c r="E32" i="13" s="1"/>
  <c r="M637" i="3"/>
  <c r="F639" i="3"/>
  <c r="F638" i="3"/>
  <c r="F637" i="3"/>
  <c r="F636" i="3"/>
  <c r="F635" i="3"/>
  <c r="F634" i="3"/>
  <c r="F633" i="3"/>
  <c r="N851" i="10"/>
  <c r="G805" i="10"/>
  <c r="G804" i="10"/>
  <c r="G803" i="10"/>
  <c r="G802" i="10"/>
  <c r="G801" i="10"/>
  <c r="G800" i="10"/>
  <c r="G799" i="10"/>
  <c r="F626" i="3" l="1"/>
  <c r="F627" i="3"/>
  <c r="F628" i="3"/>
  <c r="F629" i="3"/>
  <c r="F630" i="3"/>
  <c r="F631" i="3"/>
  <c r="F632" i="3"/>
  <c r="G776" i="10" l="1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H155" i="7"/>
  <c r="D155" i="7"/>
  <c r="E155" i="7"/>
  <c r="H154" i="7"/>
  <c r="E164" i="9"/>
  <c r="E167" i="9"/>
  <c r="E168" i="9"/>
  <c r="D164" i="9"/>
  <c r="D165" i="9"/>
  <c r="E165" i="9" s="1"/>
  <c r="D166" i="9"/>
  <c r="E166" i="9" s="1"/>
  <c r="D167" i="9"/>
  <c r="D168" i="9"/>
  <c r="D169" i="9"/>
  <c r="E169" i="9" s="1"/>
  <c r="D154" i="7" l="1"/>
  <c r="E154" i="7"/>
  <c r="D163" i="9" l="1"/>
  <c r="E163" i="9"/>
  <c r="H153" i="7"/>
  <c r="D153" i="7"/>
  <c r="E153" i="7"/>
  <c r="G775" i="10"/>
  <c r="G774" i="10"/>
  <c r="G773" i="10"/>
  <c r="G772" i="10"/>
  <c r="G771" i="10"/>
  <c r="G770" i="10"/>
  <c r="G769" i="10"/>
  <c r="G768" i="10"/>
  <c r="G767" i="10"/>
  <c r="G766" i="10"/>
  <c r="G765" i="10"/>
  <c r="H150" i="7"/>
  <c r="H151" i="7"/>
  <c r="H152" i="7"/>
  <c r="H149" i="7"/>
  <c r="D152" i="7"/>
  <c r="E152" i="7"/>
  <c r="D151" i="7"/>
  <c r="E151" i="7"/>
  <c r="D150" i="7"/>
  <c r="E150" i="7"/>
  <c r="D149" i="7"/>
  <c r="E149" i="7"/>
  <c r="H21" i="14" l="1"/>
  <c r="D21" i="14"/>
  <c r="E21" i="14"/>
  <c r="H18" i="14"/>
  <c r="H19" i="14"/>
  <c r="H20" i="14"/>
  <c r="D20" i="14"/>
  <c r="E20" i="14"/>
  <c r="D19" i="14"/>
  <c r="D18" i="14"/>
  <c r="E18" i="14" s="1"/>
  <c r="F617" i="3"/>
  <c r="F618" i="3"/>
  <c r="F619" i="3"/>
  <c r="F620" i="3"/>
  <c r="F621" i="3"/>
  <c r="F622" i="3"/>
  <c r="F623" i="3"/>
  <c r="F624" i="3"/>
  <c r="F625" i="3"/>
  <c r="H17" i="14"/>
  <c r="D17" i="14"/>
  <c r="E17" i="14" s="1"/>
  <c r="H16" i="14"/>
  <c r="D16" i="14"/>
  <c r="E16" i="14" s="1"/>
  <c r="H15" i="14"/>
  <c r="D15" i="14"/>
  <c r="E15" i="14" s="1"/>
  <c r="H14" i="14"/>
  <c r="D14" i="14"/>
  <c r="E14" i="14" s="1"/>
  <c r="H13" i="14"/>
  <c r="D13" i="14"/>
  <c r="E13" i="14" s="1"/>
  <c r="H12" i="14"/>
  <c r="D12" i="14"/>
  <c r="E12" i="14" s="1"/>
  <c r="H11" i="14"/>
  <c r="D11" i="14"/>
  <c r="E11" i="14" s="1"/>
  <c r="H10" i="14"/>
  <c r="D10" i="14"/>
  <c r="E10" i="14" s="1"/>
  <c r="S9" i="14"/>
  <c r="O9" i="14"/>
  <c r="H9" i="14"/>
  <c r="D9" i="14"/>
  <c r="E9" i="14" s="1"/>
  <c r="H8" i="14"/>
  <c r="D8" i="14"/>
  <c r="E8" i="14" s="1"/>
  <c r="H7" i="14"/>
  <c r="D7" i="14"/>
  <c r="E7" i="14" s="1"/>
  <c r="H6" i="14"/>
  <c r="D6" i="14"/>
  <c r="E6" i="14" s="1"/>
  <c r="H4" i="14"/>
  <c r="D4" i="14"/>
  <c r="E4" i="14" s="1"/>
  <c r="H3" i="14"/>
  <c r="D3" i="14"/>
  <c r="E3" i="14" s="1"/>
  <c r="G755" i="10" l="1"/>
  <c r="G756" i="10"/>
  <c r="G757" i="10"/>
  <c r="G758" i="10"/>
  <c r="G759" i="10"/>
  <c r="G760" i="10"/>
  <c r="G761" i="10"/>
  <c r="G762" i="10"/>
  <c r="G763" i="10"/>
  <c r="G764" i="10"/>
  <c r="H148" i="7" l="1"/>
  <c r="D162" i="9"/>
  <c r="E162" i="9"/>
  <c r="D148" i="7"/>
  <c r="E148" i="7"/>
  <c r="Q146" i="7" l="1"/>
  <c r="S146" i="7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40" i="10"/>
  <c r="H147" i="7"/>
  <c r="D147" i="7"/>
  <c r="E147" i="7" s="1"/>
  <c r="H146" i="7"/>
  <c r="G739" i="10"/>
  <c r="G738" i="10"/>
  <c r="G737" i="10"/>
  <c r="G736" i="10"/>
  <c r="G735" i="10"/>
  <c r="G734" i="10"/>
  <c r="G733" i="10"/>
  <c r="G732" i="10"/>
  <c r="G731" i="10"/>
  <c r="D161" i="9"/>
  <c r="E161" i="9"/>
  <c r="G31" i="13"/>
  <c r="D31" i="13"/>
  <c r="E31" i="13"/>
  <c r="D160" i="9"/>
  <c r="E160" i="9"/>
  <c r="T719" i="10" l="1"/>
  <c r="R143" i="7"/>
  <c r="N720" i="10"/>
  <c r="L152" i="9"/>
  <c r="N152" i="9"/>
  <c r="P152" i="9" s="1"/>
  <c r="Q152" i="9" s="1"/>
  <c r="D146" i="7" l="1"/>
  <c r="E146" i="7"/>
  <c r="H145" i="7"/>
  <c r="D159" i="9"/>
  <c r="E159" i="9" s="1"/>
  <c r="P140" i="7"/>
  <c r="D145" i="7"/>
  <c r="E145" i="7"/>
  <c r="H144" i="7"/>
  <c r="R149" i="9"/>
  <c r="N149" i="9"/>
  <c r="O609" i="3"/>
  <c r="T140" i="7"/>
  <c r="D144" i="7"/>
  <c r="E144" i="7"/>
  <c r="G725" i="10"/>
  <c r="G726" i="10"/>
  <c r="G727" i="10"/>
  <c r="G728" i="10"/>
  <c r="G729" i="10"/>
  <c r="G730" i="10"/>
  <c r="G724" i="10"/>
  <c r="H141" i="7"/>
  <c r="H142" i="7"/>
  <c r="H143" i="7"/>
  <c r="E143" i="7"/>
  <c r="D143" i="7"/>
  <c r="O604" i="3"/>
  <c r="P604" i="3" s="1"/>
  <c r="K606" i="3"/>
  <c r="J606" i="3"/>
  <c r="I606" i="3"/>
  <c r="D158" i="9"/>
  <c r="E158" i="9" s="1"/>
  <c r="K155" i="9"/>
  <c r="F616" i="3" l="1"/>
  <c r="F615" i="3"/>
  <c r="F614" i="3"/>
  <c r="F613" i="3"/>
  <c r="F612" i="3"/>
  <c r="F611" i="3"/>
  <c r="F610" i="3"/>
  <c r="F609" i="3"/>
  <c r="D142" i="7"/>
  <c r="D141" i="7"/>
  <c r="D140" i="7"/>
  <c r="F592" i="3"/>
  <c r="D139" i="7" l="1"/>
  <c r="E139" i="7" s="1"/>
  <c r="G6" i="12"/>
  <c r="G7" i="12"/>
  <c r="G8" i="12"/>
  <c r="G9" i="12"/>
  <c r="G10" i="12"/>
  <c r="G11" i="12"/>
  <c r="G12" i="12"/>
  <c r="G13" i="12"/>
  <c r="G14" i="12"/>
  <c r="D14" i="12" l="1"/>
  <c r="E14" i="12"/>
  <c r="D13" i="12"/>
  <c r="E13" i="12"/>
  <c r="D12" i="12"/>
  <c r="E12" i="12" s="1"/>
  <c r="G723" i="10"/>
  <c r="G722" i="10"/>
  <c r="G721" i="10"/>
  <c r="G720" i="10"/>
  <c r="G719" i="10"/>
  <c r="G718" i="10"/>
  <c r="G717" i="10"/>
  <c r="G716" i="10"/>
  <c r="G715" i="10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D245" i="6"/>
  <c r="E245" i="6"/>
  <c r="G244" i="6" l="1"/>
  <c r="M109" i="9"/>
  <c r="P108" i="9" s="1"/>
  <c r="P109" i="9" s="1"/>
  <c r="E140" i="7"/>
  <c r="E141" i="7"/>
  <c r="E142" i="7"/>
  <c r="H137" i="7"/>
  <c r="H138" i="7"/>
  <c r="H139" i="7"/>
  <c r="H140" i="7"/>
  <c r="D157" i="9"/>
  <c r="E157" i="9" s="1"/>
  <c r="D156" i="9"/>
  <c r="E156" i="9"/>
  <c r="D138" i="7"/>
  <c r="E138" i="7"/>
  <c r="H136" i="7"/>
  <c r="D137" i="7"/>
  <c r="E137" i="7" s="1"/>
  <c r="D136" i="7"/>
  <c r="E136" i="7" s="1"/>
  <c r="L594" i="3" l="1"/>
  <c r="F591" i="3"/>
  <c r="F590" i="3"/>
  <c r="F589" i="3"/>
  <c r="F588" i="3"/>
  <c r="F587" i="3"/>
  <c r="F586" i="3"/>
  <c r="G714" i="10"/>
  <c r="G713" i="10"/>
  <c r="G712" i="10"/>
  <c r="G711" i="10"/>
  <c r="G710" i="10"/>
  <c r="G709" i="10"/>
  <c r="G708" i="10"/>
  <c r="D155" i="9"/>
  <c r="E155" i="9"/>
  <c r="H135" i="7"/>
  <c r="D135" i="7"/>
  <c r="E135" i="7"/>
  <c r="H134" i="7"/>
  <c r="D134" i="7"/>
  <c r="E134" i="7" s="1"/>
  <c r="D154" i="9"/>
  <c r="E154" i="9"/>
  <c r="D153" i="9"/>
  <c r="E153" i="9"/>
  <c r="D152" i="9"/>
  <c r="E152" i="9"/>
  <c r="D151" i="9"/>
  <c r="E151" i="9"/>
  <c r="D150" i="9"/>
  <c r="E150" i="9" s="1"/>
  <c r="G707" i="10"/>
  <c r="G706" i="10"/>
  <c r="G705" i="10"/>
  <c r="G704" i="10"/>
  <c r="G703" i="10"/>
  <c r="G702" i="10"/>
  <c r="G701" i="10"/>
  <c r="G700" i="10" l="1"/>
  <c r="G699" i="10"/>
  <c r="G698" i="10"/>
  <c r="G697" i="10"/>
  <c r="G696" i="10"/>
  <c r="G695" i="10"/>
  <c r="G694" i="10"/>
  <c r="G693" i="10"/>
  <c r="G692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3" i="10" l="1"/>
  <c r="G674" i="10"/>
  <c r="G675" i="10"/>
  <c r="G676" i="10"/>
  <c r="G677" i="10"/>
  <c r="G678" i="10"/>
  <c r="G679" i="10"/>
  <c r="F585" i="3"/>
  <c r="F584" i="3"/>
  <c r="D244" i="6"/>
  <c r="E244" i="6" s="1"/>
  <c r="G30" i="13" l="1"/>
  <c r="G29" i="13"/>
  <c r="D30" i="13"/>
  <c r="E30" i="13" s="1"/>
  <c r="D29" i="13"/>
  <c r="E29" i="13" s="1"/>
  <c r="D149" i="9"/>
  <c r="E149" i="9"/>
  <c r="D148" i="9"/>
  <c r="E148" i="9" s="1"/>
  <c r="D147" i="9"/>
  <c r="E147" i="9"/>
  <c r="F583" i="3"/>
  <c r="F582" i="3"/>
  <c r="F581" i="3"/>
  <c r="F580" i="3"/>
  <c r="F579" i="3"/>
  <c r="F578" i="3"/>
  <c r="F577" i="3"/>
  <c r="G672" i="10"/>
  <c r="G671" i="10"/>
  <c r="G670" i="10"/>
  <c r="G669" i="10"/>
  <c r="G668" i="10"/>
  <c r="G667" i="10"/>
  <c r="G666" i="10"/>
  <c r="G665" i="10"/>
  <c r="G664" i="10"/>
  <c r="G663" i="10"/>
  <c r="G662" i="10"/>
  <c r="G661" i="10"/>
  <c r="G660" i="10"/>
  <c r="G659" i="10"/>
  <c r="C246" i="8"/>
  <c r="D246" i="8" s="1"/>
  <c r="C247" i="8"/>
  <c r="D247" i="8" s="1"/>
  <c r="C248" i="8"/>
  <c r="D248" i="8" s="1"/>
  <c r="C249" i="8"/>
  <c r="C250" i="8"/>
  <c r="D250" i="8" s="1"/>
  <c r="C251" i="8"/>
  <c r="D251" i="8" s="1"/>
  <c r="C252" i="8"/>
  <c r="D252" i="8" s="1"/>
  <c r="C253" i="8"/>
  <c r="D253" i="8" s="1"/>
  <c r="C254" i="8"/>
  <c r="D254" i="8" s="1"/>
  <c r="C255" i="8"/>
  <c r="D255" i="8" s="1"/>
  <c r="C256" i="8"/>
  <c r="D256" i="8" s="1"/>
  <c r="D249" i="8"/>
  <c r="F246" i="8"/>
  <c r="F247" i="8"/>
  <c r="F248" i="8"/>
  <c r="F249" i="8"/>
  <c r="F250" i="8"/>
  <c r="F251" i="8"/>
  <c r="F252" i="8"/>
  <c r="F253" i="8"/>
  <c r="F254" i="8"/>
  <c r="F255" i="8"/>
  <c r="F256" i="8"/>
  <c r="G28" i="13" l="1"/>
  <c r="G27" i="13"/>
  <c r="D28" i="13"/>
  <c r="E28" i="13" s="1"/>
  <c r="D27" i="13"/>
  <c r="E27" i="13"/>
  <c r="D146" i="9"/>
  <c r="E146" i="9"/>
  <c r="D145" i="9"/>
  <c r="E145" i="9"/>
  <c r="G652" i="10"/>
  <c r="G653" i="10"/>
  <c r="G654" i="10"/>
  <c r="G655" i="10"/>
  <c r="G656" i="10"/>
  <c r="G657" i="10"/>
  <c r="G658" i="10"/>
  <c r="G651" i="10"/>
  <c r="G650" i="10"/>
  <c r="G649" i="10"/>
  <c r="G648" i="10"/>
  <c r="G647" i="10"/>
  <c r="G646" i="10"/>
  <c r="G645" i="10"/>
  <c r="G243" i="6" l="1"/>
  <c r="D243" i="6"/>
  <c r="E243" i="6"/>
  <c r="G644" i="10"/>
  <c r="G643" i="10"/>
  <c r="G642" i="10"/>
  <c r="G641" i="10"/>
  <c r="G640" i="10"/>
  <c r="G639" i="10"/>
  <c r="G638" i="10"/>
  <c r="M8" i="13"/>
  <c r="G242" i="6"/>
  <c r="D144" i="9"/>
  <c r="E144" i="9"/>
  <c r="G26" i="13"/>
  <c r="AC35" i="13"/>
  <c r="N8" i="13"/>
  <c r="D11" i="12"/>
  <c r="E11" i="12"/>
  <c r="D143" i="9"/>
  <c r="E143" i="9"/>
  <c r="D242" i="6"/>
  <c r="E242" i="6"/>
  <c r="D26" i="13"/>
  <c r="E26" i="13"/>
  <c r="D142" i="9"/>
  <c r="E142" i="9"/>
  <c r="D132" i="9"/>
  <c r="E132" i="9" s="1"/>
  <c r="D133" i="9"/>
  <c r="E133" i="9" s="1"/>
  <c r="D134" i="9"/>
  <c r="D135" i="9"/>
  <c r="E135" i="9" s="1"/>
  <c r="D136" i="9"/>
  <c r="E136" i="9" s="1"/>
  <c r="D137" i="9"/>
  <c r="E137" i="9" s="1"/>
  <c r="D138" i="9"/>
  <c r="D139" i="9"/>
  <c r="E139" i="9" s="1"/>
  <c r="D141" i="9"/>
  <c r="E141" i="9" s="1"/>
  <c r="E134" i="9"/>
  <c r="E138" i="9"/>
  <c r="M573" i="3" l="1"/>
  <c r="F576" i="3"/>
  <c r="F575" i="3"/>
  <c r="F574" i="3"/>
  <c r="F573" i="3"/>
  <c r="F572" i="3"/>
  <c r="F571" i="3"/>
  <c r="F570" i="3"/>
  <c r="G25" i="13"/>
  <c r="D25" i="13"/>
  <c r="E25" i="13"/>
  <c r="G637" i="10"/>
  <c r="G636" i="10"/>
  <c r="G635" i="10"/>
  <c r="G634" i="10"/>
  <c r="G633" i="10"/>
  <c r="G632" i="10"/>
  <c r="G631" i="10"/>
  <c r="G630" i="10"/>
  <c r="G629" i="10"/>
  <c r="G628" i="10"/>
  <c r="G627" i="10"/>
  <c r="G626" i="10"/>
  <c r="G625" i="10"/>
  <c r="G624" i="10"/>
  <c r="G623" i="10"/>
  <c r="G622" i="10"/>
  <c r="G621" i="10"/>
  <c r="G620" i="10"/>
  <c r="G619" i="10"/>
  <c r="G618" i="10"/>
  <c r="G617" i="10"/>
  <c r="G616" i="10" l="1"/>
  <c r="G615" i="10"/>
  <c r="G614" i="10"/>
  <c r="G613" i="10"/>
  <c r="G612" i="10"/>
  <c r="G611" i="10"/>
  <c r="G610" i="10"/>
  <c r="G24" i="13"/>
  <c r="D24" i="13"/>
  <c r="E24" i="13" s="1"/>
  <c r="G609" i="10"/>
  <c r="G608" i="10"/>
  <c r="G607" i="10"/>
  <c r="G606" i="10"/>
  <c r="G605" i="10"/>
  <c r="G604" i="10"/>
  <c r="G603" i="10"/>
  <c r="G23" i="13" l="1"/>
  <c r="G22" i="13"/>
  <c r="G21" i="13"/>
  <c r="D23" i="13"/>
  <c r="E23" i="13" s="1"/>
  <c r="D22" i="13"/>
  <c r="E22" i="13"/>
  <c r="D21" i="13"/>
  <c r="E21" i="13" s="1"/>
  <c r="G602" i="10"/>
  <c r="G601" i="10"/>
  <c r="G600" i="10"/>
  <c r="G599" i="10"/>
  <c r="G598" i="10"/>
  <c r="G597" i="10"/>
  <c r="G596" i="10"/>
  <c r="F569" i="3"/>
  <c r="F568" i="3"/>
  <c r="F567" i="3"/>
  <c r="F566" i="3"/>
  <c r="F565" i="3"/>
  <c r="F564" i="3"/>
  <c r="F563" i="3"/>
  <c r="N643" i="10" l="1"/>
  <c r="G595" i="10"/>
  <c r="G594" i="10"/>
  <c r="G593" i="10"/>
  <c r="G592" i="10"/>
  <c r="G591" i="10"/>
  <c r="G590" i="10"/>
  <c r="G589" i="10"/>
  <c r="G20" i="13"/>
  <c r="G19" i="13"/>
  <c r="G18" i="13"/>
  <c r="D20" i="13"/>
  <c r="E20" i="13" s="1"/>
  <c r="D19" i="13"/>
  <c r="E19" i="13" s="1"/>
  <c r="D18" i="13"/>
  <c r="E18" i="13" s="1"/>
  <c r="F562" i="3"/>
  <c r="F561" i="3"/>
  <c r="F560" i="3"/>
  <c r="F559" i="3"/>
  <c r="F558" i="3"/>
  <c r="F557" i="3"/>
  <c r="F556" i="3"/>
  <c r="G588" i="10"/>
  <c r="G587" i="10"/>
  <c r="G586" i="10"/>
  <c r="G585" i="10"/>
  <c r="G584" i="10"/>
  <c r="G583" i="10"/>
  <c r="G582" i="10"/>
  <c r="G241" i="6"/>
  <c r="D241" i="6"/>
  <c r="E241" i="6" s="1"/>
  <c r="D130" i="9" l="1"/>
  <c r="E130" i="9" s="1"/>
  <c r="D129" i="9"/>
  <c r="E129" i="9"/>
  <c r="G581" i="10"/>
  <c r="G580" i="10"/>
  <c r="G579" i="10"/>
  <c r="G578" i="10"/>
  <c r="G577" i="10"/>
  <c r="G576" i="10"/>
  <c r="G575" i="10"/>
  <c r="D133" i="7" l="1"/>
  <c r="E133" i="7" s="1"/>
  <c r="H133" i="7"/>
  <c r="H132" i="7"/>
  <c r="H131" i="7"/>
  <c r="D132" i="7"/>
  <c r="E132" i="7" s="1"/>
  <c r="D131" i="7"/>
  <c r="E131" i="7" s="1"/>
  <c r="H130" i="7"/>
  <c r="D130" i="7"/>
  <c r="E130" i="7" s="1"/>
  <c r="G574" i="10"/>
  <c r="G573" i="10"/>
  <c r="G572" i="10"/>
  <c r="G571" i="10"/>
  <c r="G570" i="10"/>
  <c r="G569" i="10"/>
  <c r="G568" i="10"/>
  <c r="D128" i="9"/>
  <c r="E128" i="9"/>
  <c r="H128" i="7"/>
  <c r="H129" i="7"/>
  <c r="D128" i="7"/>
  <c r="E128" i="7" s="1"/>
  <c r="D129" i="7"/>
  <c r="E129" i="7" s="1"/>
  <c r="D127" i="9" l="1"/>
  <c r="E127" i="9"/>
  <c r="F555" i="3" l="1"/>
  <c r="F554" i="3"/>
  <c r="F553" i="3"/>
  <c r="F552" i="3"/>
  <c r="F551" i="3"/>
  <c r="F550" i="3"/>
  <c r="F549" i="3"/>
  <c r="G567" i="10"/>
  <c r="G566" i="10"/>
  <c r="G565" i="10"/>
  <c r="G564" i="10"/>
  <c r="G563" i="10"/>
  <c r="G562" i="10"/>
  <c r="G561" i="10"/>
  <c r="D126" i="9"/>
  <c r="E126" i="9"/>
  <c r="D125" i="9"/>
  <c r="E125" i="9" s="1"/>
  <c r="G17" i="13"/>
  <c r="D17" i="13"/>
  <c r="E17" i="13"/>
  <c r="G560" i="10" l="1"/>
  <c r="G559" i="10"/>
  <c r="G558" i="10"/>
  <c r="G557" i="10"/>
  <c r="G556" i="10"/>
  <c r="G555" i="10"/>
  <c r="G554" i="10"/>
  <c r="G16" i="13"/>
  <c r="D16" i="13"/>
  <c r="E16" i="13"/>
  <c r="D124" i="9"/>
  <c r="E124" i="9"/>
  <c r="D123" i="9"/>
  <c r="E123" i="9" s="1"/>
  <c r="G15" i="13" l="1"/>
  <c r="D15" i="13"/>
  <c r="E15" i="13" s="1"/>
  <c r="D122" i="9"/>
  <c r="E122" i="9" s="1"/>
  <c r="D121" i="9"/>
  <c r="E121" i="9"/>
  <c r="D120" i="9"/>
  <c r="E120" i="9"/>
  <c r="G547" i="10" l="1"/>
  <c r="G548" i="10"/>
  <c r="G549" i="10"/>
  <c r="G550" i="10"/>
  <c r="G551" i="10"/>
  <c r="G552" i="10"/>
  <c r="G553" i="10"/>
  <c r="G14" i="13" l="1"/>
  <c r="D14" i="13"/>
  <c r="E14" i="13"/>
  <c r="D119" i="9"/>
  <c r="E119" i="9"/>
  <c r="G540" i="10"/>
  <c r="G541" i="10"/>
  <c r="G542" i="10"/>
  <c r="G543" i="10"/>
  <c r="G544" i="10"/>
  <c r="G545" i="10"/>
  <c r="G546" i="10"/>
  <c r="G533" i="10" l="1"/>
  <c r="G534" i="10"/>
  <c r="G535" i="10"/>
  <c r="G536" i="10"/>
  <c r="G537" i="10"/>
  <c r="G538" i="10"/>
  <c r="G539" i="10"/>
  <c r="G13" i="13"/>
  <c r="D13" i="13"/>
  <c r="E13" i="13" s="1"/>
  <c r="D118" i="9"/>
  <c r="E118" i="9" s="1"/>
  <c r="D117" i="9" l="1"/>
  <c r="E117" i="9" s="1"/>
  <c r="M548" i="3"/>
  <c r="G12" i="13"/>
  <c r="D12" i="13"/>
  <c r="E12" i="13" s="1"/>
  <c r="D116" i="9"/>
  <c r="E116" i="9" s="1"/>
  <c r="D115" i="9"/>
  <c r="E115" i="9" s="1"/>
  <c r="F548" i="3"/>
  <c r="F547" i="3"/>
  <c r="F546" i="3"/>
  <c r="F545" i="3"/>
  <c r="F544" i="3"/>
  <c r="F543" i="3"/>
  <c r="F542" i="3"/>
  <c r="G532" i="10"/>
  <c r="G531" i="10"/>
  <c r="G530" i="10"/>
  <c r="G529" i="10"/>
  <c r="G528" i="10"/>
  <c r="G527" i="10"/>
  <c r="G526" i="10"/>
  <c r="G236" i="6" l="1"/>
  <c r="G235" i="6"/>
  <c r="D236" i="6"/>
  <c r="E236" i="6"/>
  <c r="D235" i="6"/>
  <c r="E235" i="6" s="1"/>
  <c r="G240" i="6"/>
  <c r="D240" i="6"/>
  <c r="E240" i="6"/>
  <c r="G519" i="10" l="1"/>
  <c r="G520" i="10"/>
  <c r="G521" i="10"/>
  <c r="G522" i="10"/>
  <c r="G523" i="10"/>
  <c r="G524" i="10"/>
  <c r="G525" i="10"/>
  <c r="G518" i="10"/>
  <c r="G517" i="10"/>
  <c r="G516" i="10"/>
  <c r="G515" i="10"/>
  <c r="G514" i="10"/>
  <c r="G513" i="10"/>
  <c r="G512" i="10"/>
  <c r="G11" i="13"/>
  <c r="D11" i="13"/>
  <c r="E11" i="13"/>
  <c r="D114" i="9"/>
  <c r="E114" i="9" s="1"/>
  <c r="N112" i="9" l="1"/>
  <c r="P112" i="9" s="1"/>
  <c r="Q112" i="9" s="1"/>
  <c r="L112" i="9"/>
  <c r="M22" i="9"/>
  <c r="D113" i="9"/>
  <c r="E113" i="9" s="1"/>
  <c r="D112" i="9"/>
  <c r="E112" i="9"/>
  <c r="F541" i="3"/>
  <c r="F532" i="3"/>
  <c r="F533" i="3"/>
  <c r="F534" i="3"/>
  <c r="F535" i="3"/>
  <c r="F536" i="3"/>
  <c r="F537" i="3"/>
  <c r="F538" i="3"/>
  <c r="F539" i="3"/>
  <c r="F540" i="3"/>
  <c r="G511" i="10" l="1"/>
  <c r="G510" i="10"/>
  <c r="G509" i="10"/>
  <c r="G508" i="10"/>
  <c r="G507" i="10"/>
  <c r="G506" i="10"/>
  <c r="G505" i="10"/>
  <c r="G10" i="13"/>
  <c r="D10" i="13"/>
  <c r="E10" i="13"/>
  <c r="C240" i="8"/>
  <c r="D240" i="8" s="1"/>
  <c r="C241" i="8"/>
  <c r="D241" i="8" s="1"/>
  <c r="C242" i="8"/>
  <c r="D242" i="8" s="1"/>
  <c r="C243" i="8"/>
  <c r="D243" i="8" s="1"/>
  <c r="C244" i="8"/>
  <c r="D244" i="8" s="1"/>
  <c r="C245" i="8"/>
  <c r="D245" i="8" s="1"/>
  <c r="F240" i="8"/>
  <c r="F241" i="8"/>
  <c r="F242" i="8"/>
  <c r="F243" i="8"/>
  <c r="F244" i="8"/>
  <c r="F245" i="8"/>
  <c r="D111" i="9"/>
  <c r="E111" i="9"/>
  <c r="D110" i="9"/>
  <c r="E110" i="9"/>
  <c r="G504" i="10" l="1"/>
  <c r="G503" i="10"/>
  <c r="G502" i="10"/>
  <c r="G501" i="10"/>
  <c r="G500" i="10"/>
  <c r="G499" i="10"/>
  <c r="G498" i="10"/>
  <c r="G9" i="13"/>
  <c r="D9" i="13"/>
  <c r="E9" i="13" s="1"/>
  <c r="D109" i="9"/>
  <c r="E109" i="9"/>
  <c r="D108" i="9"/>
  <c r="E108" i="9" s="1"/>
  <c r="G497" i="10" l="1"/>
  <c r="G496" i="10"/>
  <c r="G495" i="10"/>
  <c r="G494" i="10"/>
  <c r="G493" i="10"/>
  <c r="G492" i="10"/>
  <c r="G491" i="10"/>
  <c r="D107" i="9"/>
  <c r="E107" i="9"/>
  <c r="F531" i="3" l="1"/>
  <c r="F530" i="3"/>
  <c r="F529" i="3"/>
  <c r="F528" i="3"/>
  <c r="F527" i="3"/>
  <c r="F526" i="3"/>
  <c r="G239" i="6"/>
  <c r="D239" i="6"/>
  <c r="E239" i="6"/>
  <c r="AC16" i="13" l="1"/>
  <c r="D106" i="9"/>
  <c r="E106" i="9"/>
  <c r="G484" i="10"/>
  <c r="G485" i="10"/>
  <c r="G486" i="10"/>
  <c r="G487" i="10"/>
  <c r="G488" i="10"/>
  <c r="G489" i="10"/>
  <c r="G490" i="10"/>
  <c r="G483" i="10"/>
  <c r="G482" i="10"/>
  <c r="G481" i="10"/>
  <c r="G480" i="10"/>
  <c r="G479" i="10"/>
  <c r="G478" i="10"/>
  <c r="G477" i="10"/>
  <c r="L16" i="13"/>
  <c r="G6" i="13"/>
  <c r="G7" i="13"/>
  <c r="G8" i="13"/>
  <c r="D6" i="13"/>
  <c r="E6" i="13" s="1"/>
  <c r="D7" i="13"/>
  <c r="E7" i="13" s="1"/>
  <c r="D8" i="13"/>
  <c r="E8" i="13" s="1"/>
  <c r="D10" i="12" l="1"/>
  <c r="E10" i="12" s="1"/>
  <c r="G238" i="6"/>
  <c r="D238" i="6"/>
  <c r="E238" i="6"/>
  <c r="G237" i="6"/>
  <c r="D237" i="6"/>
  <c r="E237" i="6"/>
  <c r="F525" i="3"/>
  <c r="F524" i="3"/>
  <c r="F523" i="3"/>
  <c r="F522" i="3"/>
  <c r="F521" i="3"/>
  <c r="F520" i="3"/>
  <c r="G4" i="13" l="1"/>
  <c r="G5" i="13"/>
  <c r="D4" i="13"/>
  <c r="E4" i="13" s="1"/>
  <c r="D5" i="13"/>
  <c r="E5" i="13" s="1"/>
  <c r="G3" i="13"/>
  <c r="E3" i="13"/>
  <c r="D3" i="13"/>
  <c r="D105" i="9"/>
  <c r="E105" i="9"/>
  <c r="D104" i="9"/>
  <c r="E104" i="9"/>
  <c r="D103" i="9"/>
  <c r="E103" i="9" s="1"/>
  <c r="G234" i="6" l="1"/>
  <c r="G233" i="6"/>
  <c r="D234" i="6"/>
  <c r="E234" i="6"/>
  <c r="D233" i="6"/>
  <c r="E233" i="6" s="1"/>
  <c r="D9" i="12"/>
  <c r="E9" i="12"/>
  <c r="N8" i="12" l="1"/>
  <c r="M8" i="12"/>
  <c r="G232" i="6" l="1"/>
  <c r="G231" i="6"/>
  <c r="G230" i="6"/>
  <c r="G229" i="6"/>
  <c r="D232" i="6"/>
  <c r="E232" i="6" s="1"/>
  <c r="D231" i="6"/>
  <c r="E231" i="6"/>
  <c r="D230" i="6"/>
  <c r="E230" i="6"/>
  <c r="D229" i="6"/>
  <c r="E229" i="6"/>
  <c r="G3" i="12"/>
  <c r="D8" i="12"/>
  <c r="E8" i="12" s="1"/>
  <c r="D7" i="12"/>
  <c r="E7" i="12" s="1"/>
  <c r="D6" i="12"/>
  <c r="E6" i="12" s="1"/>
  <c r="G5" i="12"/>
  <c r="D5" i="12"/>
  <c r="E5" i="12" s="1"/>
  <c r="G4" i="12"/>
  <c r="D4" i="12"/>
  <c r="E4" i="12" s="1"/>
  <c r="D3" i="12"/>
  <c r="E3" i="12" s="1"/>
  <c r="G471" i="10"/>
  <c r="G472" i="10"/>
  <c r="G473" i="10"/>
  <c r="G474" i="10"/>
  <c r="G475" i="10"/>
  <c r="G476" i="10"/>
  <c r="G470" i="10"/>
  <c r="F519" i="3" l="1"/>
  <c r="F518" i="3"/>
  <c r="F517" i="3"/>
  <c r="F516" i="3"/>
  <c r="F515" i="3"/>
  <c r="F514" i="3"/>
  <c r="E228" i="6"/>
  <c r="D228" i="6"/>
  <c r="F513" i="3"/>
  <c r="F512" i="3"/>
  <c r="F511" i="3"/>
  <c r="F510" i="3"/>
  <c r="F509" i="3"/>
  <c r="F508" i="3"/>
  <c r="G228" i="6"/>
  <c r="F502" i="3" l="1"/>
  <c r="F503" i="3"/>
  <c r="F504" i="3"/>
  <c r="F505" i="3"/>
  <c r="F506" i="3"/>
  <c r="F507" i="3"/>
  <c r="F501" i="3"/>
  <c r="F500" i="3"/>
  <c r="F499" i="3"/>
  <c r="F498" i="3"/>
  <c r="F497" i="3"/>
  <c r="F496" i="3"/>
  <c r="G227" i="6"/>
  <c r="D227" i="6"/>
  <c r="E227" i="6"/>
  <c r="G225" i="6" l="1"/>
  <c r="G226" i="6"/>
  <c r="D226" i="6"/>
  <c r="E226" i="6" s="1"/>
  <c r="D102" i="9" l="1"/>
  <c r="E102" i="9" s="1"/>
  <c r="G469" i="10"/>
  <c r="G468" i="10"/>
  <c r="G467" i="10"/>
  <c r="G466" i="10"/>
  <c r="G465" i="10"/>
  <c r="G464" i="10"/>
  <c r="G463" i="10"/>
  <c r="Q485" i="3" l="1"/>
  <c r="F490" i="3"/>
  <c r="F491" i="3"/>
  <c r="F492" i="3"/>
  <c r="F493" i="3"/>
  <c r="F494" i="3"/>
  <c r="F495" i="3"/>
  <c r="D101" i="9"/>
  <c r="E101" i="9"/>
  <c r="D100" i="9"/>
  <c r="E100" i="9"/>
  <c r="G456" i="10"/>
  <c r="G457" i="10"/>
  <c r="G458" i="10"/>
  <c r="G459" i="10"/>
  <c r="G460" i="10"/>
  <c r="G461" i="10"/>
  <c r="G462" i="10"/>
  <c r="F489" i="3"/>
  <c r="I489" i="3"/>
  <c r="F488" i="3"/>
  <c r="I488" i="3"/>
  <c r="F487" i="3"/>
  <c r="I487" i="3"/>
  <c r="F486" i="3"/>
  <c r="I486" i="3"/>
  <c r="F485" i="3"/>
  <c r="I485" i="3"/>
  <c r="F484" i="3"/>
  <c r="I484" i="3"/>
  <c r="E98" i="9"/>
  <c r="E99" i="9"/>
  <c r="D98" i="9"/>
  <c r="D99" i="9"/>
  <c r="G449" i="10"/>
  <c r="G450" i="10"/>
  <c r="G451" i="10"/>
  <c r="G452" i="10"/>
  <c r="G453" i="10"/>
  <c r="G454" i="10"/>
  <c r="G455" i="10"/>
  <c r="J446" i="10"/>
  <c r="G444" i="10"/>
  <c r="G445" i="10"/>
  <c r="G446" i="10"/>
  <c r="G447" i="10"/>
  <c r="G448" i="10"/>
  <c r="G443" i="10"/>
  <c r="G442" i="10"/>
  <c r="F483" i="3"/>
  <c r="I483" i="3"/>
  <c r="F482" i="3"/>
  <c r="I482" i="3"/>
  <c r="F481" i="3"/>
  <c r="I481" i="3"/>
  <c r="F480" i="3"/>
  <c r="I480" i="3"/>
  <c r="F479" i="3"/>
  <c r="I479" i="3"/>
  <c r="F478" i="3"/>
  <c r="I478" i="3"/>
  <c r="R88" i="9"/>
  <c r="O114" i="7" l="1"/>
  <c r="M87" i="7"/>
  <c r="N87" i="7" s="1"/>
  <c r="M80" i="7"/>
  <c r="H126" i="7"/>
  <c r="G224" i="6"/>
  <c r="H125" i="7"/>
  <c r="D126" i="7"/>
  <c r="E126" i="7" s="1"/>
  <c r="D125" i="7"/>
  <c r="E125" i="7" s="1"/>
  <c r="D225" i="6"/>
  <c r="E225" i="6" s="1"/>
  <c r="D224" i="6"/>
  <c r="E224" i="6" s="1"/>
  <c r="M551" i="10" l="1"/>
  <c r="G441" i="10"/>
  <c r="G440" i="10"/>
  <c r="G439" i="10"/>
  <c r="G438" i="10"/>
  <c r="G437" i="10"/>
  <c r="G436" i="10"/>
  <c r="G435" i="10"/>
  <c r="R262" i="8"/>
  <c r="R261" i="8"/>
  <c r="G434" i="10" l="1"/>
  <c r="G433" i="10"/>
  <c r="G432" i="10"/>
  <c r="G431" i="10"/>
  <c r="G430" i="10"/>
  <c r="G429" i="10"/>
  <c r="G428" i="10"/>
  <c r="G427" i="10" l="1"/>
  <c r="G426" i="10"/>
  <c r="G425" i="10"/>
  <c r="G424" i="10"/>
  <c r="G423" i="10"/>
  <c r="G422" i="10"/>
  <c r="G421" i="10"/>
  <c r="Q65" i="10" l="1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06" i="10" l="1"/>
  <c r="G405" i="10"/>
  <c r="G404" i="10"/>
  <c r="G403" i="10"/>
  <c r="G402" i="10"/>
  <c r="G401" i="10"/>
  <c r="G400" i="10"/>
  <c r="G393" i="10" l="1"/>
  <c r="G394" i="10"/>
  <c r="G395" i="10"/>
  <c r="G396" i="10"/>
  <c r="G397" i="10"/>
  <c r="G398" i="10"/>
  <c r="G399" i="10"/>
  <c r="E91" i="9"/>
  <c r="D90" i="9"/>
  <c r="E90" i="9" s="1"/>
  <c r="D91" i="9"/>
  <c r="D92" i="9"/>
  <c r="E92" i="9" s="1"/>
  <c r="D93" i="9"/>
  <c r="E93" i="9" s="1"/>
  <c r="D94" i="9"/>
  <c r="E94" i="9" s="1"/>
  <c r="D95" i="9"/>
  <c r="E95" i="9" s="1"/>
  <c r="D96" i="9"/>
  <c r="E96" i="9" s="1"/>
  <c r="D97" i="9"/>
  <c r="E97" i="9" s="1"/>
  <c r="G392" i="10" l="1"/>
  <c r="G391" i="10"/>
  <c r="G390" i="10"/>
  <c r="G389" i="10"/>
  <c r="G388" i="10"/>
  <c r="G387" i="10"/>
  <c r="G386" i="10"/>
  <c r="D89" i="9" l="1"/>
  <c r="E89" i="9"/>
  <c r="G384" i="10"/>
  <c r="G385" i="10"/>
  <c r="G383" i="10"/>
  <c r="G382" i="10"/>
  <c r="G381" i="10"/>
  <c r="G380" i="10"/>
  <c r="G379" i="10"/>
  <c r="O350" i="10"/>
  <c r="G372" i="10"/>
  <c r="G373" i="10"/>
  <c r="G374" i="10"/>
  <c r="G375" i="10"/>
  <c r="G376" i="10"/>
  <c r="G377" i="10"/>
  <c r="G378" i="10"/>
  <c r="D88" i="9"/>
  <c r="E88" i="9" s="1"/>
  <c r="P262" i="8"/>
  <c r="G371" i="10" l="1"/>
  <c r="G370" i="10"/>
  <c r="G369" i="10"/>
  <c r="G368" i="10"/>
  <c r="G367" i="10"/>
  <c r="G366" i="10"/>
  <c r="G365" i="10"/>
  <c r="D87" i="9"/>
  <c r="E87" i="9"/>
  <c r="G223" i="6" l="1"/>
  <c r="D223" i="6"/>
  <c r="E223" i="6"/>
  <c r="F477" i="3"/>
  <c r="I477" i="3"/>
  <c r="F476" i="3"/>
  <c r="I476" i="3"/>
  <c r="F475" i="3"/>
  <c r="I475" i="3"/>
  <c r="F474" i="3"/>
  <c r="I474" i="3"/>
  <c r="F473" i="3"/>
  <c r="I473" i="3"/>
  <c r="F472" i="3"/>
  <c r="I472" i="3"/>
  <c r="X181" i="6" l="1"/>
  <c r="Q61" i="10"/>
  <c r="D86" i="9"/>
  <c r="E86" i="9" s="1"/>
  <c r="G358" i="10"/>
  <c r="G359" i="10"/>
  <c r="G360" i="10"/>
  <c r="G361" i="10"/>
  <c r="G362" i="10"/>
  <c r="G363" i="10"/>
  <c r="G364" i="10"/>
  <c r="I424" i="3" l="1"/>
  <c r="F471" i="3"/>
  <c r="I471" i="3"/>
  <c r="F470" i="3"/>
  <c r="I470" i="3"/>
  <c r="F469" i="3"/>
  <c r="I469" i="3"/>
  <c r="F468" i="3"/>
  <c r="I468" i="3"/>
  <c r="F467" i="3"/>
  <c r="I467" i="3"/>
  <c r="F466" i="3"/>
  <c r="I466" i="3"/>
  <c r="F465" i="3"/>
  <c r="I465" i="3"/>
  <c r="F464" i="3"/>
  <c r="I464" i="3"/>
  <c r="G222" i="6"/>
  <c r="D222" i="6"/>
  <c r="E222" i="6" s="1"/>
  <c r="D85" i="9" l="1"/>
  <c r="E85" i="9" s="1"/>
  <c r="G356" i="10"/>
  <c r="G357" i="10"/>
  <c r="G355" i="10"/>
  <c r="G354" i="10"/>
  <c r="G353" i="10"/>
  <c r="G352" i="10"/>
  <c r="G351" i="10"/>
  <c r="M349" i="10"/>
  <c r="O348" i="10"/>
  <c r="G350" i="10"/>
  <c r="G349" i="10"/>
  <c r="G348" i="10"/>
  <c r="G347" i="10"/>
  <c r="G346" i="10"/>
  <c r="G345" i="10"/>
  <c r="G344" i="10"/>
  <c r="D84" i="9"/>
  <c r="E84" i="9"/>
  <c r="K326" i="10"/>
  <c r="G343" i="10"/>
  <c r="G342" i="10"/>
  <c r="G341" i="10"/>
  <c r="G340" i="10"/>
  <c r="G339" i="10"/>
  <c r="G338" i="10"/>
  <c r="G337" i="10"/>
  <c r="D83" i="9"/>
  <c r="E83" i="9" s="1"/>
  <c r="M323" i="10" l="1"/>
  <c r="G336" i="10"/>
  <c r="G335" i="10"/>
  <c r="G334" i="10"/>
  <c r="G333" i="10"/>
  <c r="G332" i="10"/>
  <c r="G331" i="10"/>
  <c r="G330" i="10"/>
  <c r="D82" i="9"/>
  <c r="E82" i="9"/>
  <c r="D81" i="9"/>
  <c r="E81" i="9" s="1"/>
  <c r="D80" i="9"/>
  <c r="E80" i="9" s="1"/>
  <c r="G221" i="6" l="1"/>
  <c r="D221" i="6"/>
  <c r="E221" i="6"/>
  <c r="G220" i="6"/>
  <c r="D220" i="6"/>
  <c r="E220" i="6" s="1"/>
  <c r="F463" i="3" l="1"/>
  <c r="I463" i="3"/>
  <c r="F462" i="3"/>
  <c r="I462" i="3"/>
  <c r="F461" i="3"/>
  <c r="I461" i="3"/>
  <c r="F460" i="3"/>
  <c r="I460" i="3"/>
  <c r="F459" i="3"/>
  <c r="I459" i="3"/>
  <c r="F458" i="3"/>
  <c r="I458" i="3"/>
  <c r="F457" i="3"/>
  <c r="I457" i="3"/>
  <c r="F456" i="3"/>
  <c r="G219" i="6"/>
  <c r="G218" i="6"/>
  <c r="G217" i="6"/>
  <c r="D219" i="6"/>
  <c r="E219" i="6" s="1"/>
  <c r="D218" i="6"/>
  <c r="E218" i="6"/>
  <c r="D217" i="6"/>
  <c r="E217" i="6"/>
  <c r="H124" i="7" l="1"/>
  <c r="H123" i="7"/>
  <c r="D124" i="7"/>
  <c r="E124" i="7" s="1"/>
  <c r="D123" i="7"/>
  <c r="E123" i="7"/>
  <c r="D79" i="9"/>
  <c r="E79" i="9" s="1"/>
  <c r="D78" i="9"/>
  <c r="E78" i="9" s="1"/>
  <c r="D77" i="9"/>
  <c r="E77" i="9"/>
  <c r="G329" i="10"/>
  <c r="G328" i="10"/>
  <c r="G327" i="10"/>
  <c r="G326" i="10"/>
  <c r="G325" i="10"/>
  <c r="G324" i="10"/>
  <c r="G323" i="10"/>
  <c r="D76" i="9" l="1"/>
  <c r="E76" i="9"/>
  <c r="C224" i="8"/>
  <c r="D224" i="8" s="1"/>
  <c r="C225" i="8"/>
  <c r="D225" i="8" s="1"/>
  <c r="C226" i="8"/>
  <c r="D226" i="8" s="1"/>
  <c r="C227" i="8"/>
  <c r="D227" i="8" s="1"/>
  <c r="C228" i="8"/>
  <c r="D228" i="8" s="1"/>
  <c r="C229" i="8"/>
  <c r="C230" i="8"/>
  <c r="D230" i="8" s="1"/>
  <c r="C231" i="8"/>
  <c r="D231" i="8" s="1"/>
  <c r="C232" i="8"/>
  <c r="D232" i="8" s="1"/>
  <c r="C233" i="8"/>
  <c r="C234" i="8"/>
  <c r="D234" i="8" s="1"/>
  <c r="C235" i="8"/>
  <c r="D235" i="8" s="1"/>
  <c r="C236" i="8"/>
  <c r="D236" i="8" s="1"/>
  <c r="C237" i="8"/>
  <c r="D237" i="8" s="1"/>
  <c r="C238" i="8"/>
  <c r="D238" i="8" s="1"/>
  <c r="C239" i="8"/>
  <c r="D239" i="8" s="1"/>
  <c r="D229" i="8"/>
  <c r="D23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G319" i="10"/>
  <c r="G320" i="10"/>
  <c r="G321" i="10"/>
  <c r="G322" i="10"/>
  <c r="G318" i="10"/>
  <c r="G317" i="10"/>
  <c r="G316" i="10"/>
  <c r="F455" i="3"/>
  <c r="F454" i="3"/>
  <c r="F453" i="3"/>
  <c r="F452" i="3"/>
  <c r="I453" i="3"/>
  <c r="I454" i="3"/>
  <c r="I455" i="3"/>
  <c r="I456" i="3"/>
  <c r="I452" i="3"/>
  <c r="H122" i="7"/>
  <c r="D122" i="7"/>
  <c r="E122" i="7" s="1"/>
  <c r="G215" i="6"/>
  <c r="D215" i="6"/>
  <c r="E215" i="6" s="1"/>
  <c r="F223" i="8"/>
  <c r="C223" i="8"/>
  <c r="D223" i="8" s="1"/>
  <c r="O226" i="8"/>
  <c r="C222" i="8"/>
  <c r="D222" i="8" s="1"/>
  <c r="F222" i="8"/>
  <c r="D75" i="9" l="1"/>
  <c r="E75" i="9"/>
  <c r="N448" i="3"/>
  <c r="F451" i="3"/>
  <c r="I451" i="3"/>
  <c r="F450" i="3"/>
  <c r="I450" i="3"/>
  <c r="F449" i="3"/>
  <c r="I449" i="3"/>
  <c r="F448" i="3"/>
  <c r="I448" i="3"/>
  <c r="F447" i="3"/>
  <c r="I447" i="3"/>
  <c r="F446" i="3"/>
  <c r="I446" i="3"/>
  <c r="F445" i="3"/>
  <c r="I445" i="3"/>
  <c r="G315" i="10"/>
  <c r="G314" i="10"/>
  <c r="G313" i="10"/>
  <c r="G312" i="10"/>
  <c r="G311" i="10"/>
  <c r="G310" i="10"/>
  <c r="G309" i="10"/>
  <c r="D74" i="9"/>
  <c r="E74" i="9"/>
  <c r="G308" i="10"/>
  <c r="G307" i="10"/>
  <c r="G306" i="10"/>
  <c r="G305" i="10"/>
  <c r="G304" i="10"/>
  <c r="G303" i="10"/>
  <c r="G302" i="10"/>
  <c r="D73" i="9"/>
  <c r="E73" i="9" s="1"/>
  <c r="F444" i="3"/>
  <c r="I444" i="3"/>
  <c r="I443" i="3"/>
  <c r="F443" i="3"/>
  <c r="F442" i="3"/>
  <c r="I442" i="3"/>
  <c r="F441" i="3"/>
  <c r="F440" i="3"/>
  <c r="G214" i="6"/>
  <c r="D214" i="6"/>
  <c r="E214" i="6" s="1"/>
  <c r="H121" i="7"/>
  <c r="D121" i="7"/>
  <c r="E121" i="7"/>
  <c r="F221" i="8"/>
  <c r="C221" i="8"/>
  <c r="D221" i="8" s="1"/>
  <c r="I441" i="3"/>
  <c r="I440" i="3"/>
  <c r="G213" i="6"/>
  <c r="D213" i="6"/>
  <c r="E213" i="6" s="1"/>
  <c r="F220" i="8"/>
  <c r="C220" i="8"/>
  <c r="D220" i="8" s="1"/>
  <c r="H120" i="7"/>
  <c r="D120" i="7"/>
  <c r="E120" i="7" s="1"/>
  <c r="I439" i="3"/>
  <c r="F439" i="3"/>
  <c r="I438" i="3"/>
  <c r="F438" i="3"/>
  <c r="F437" i="3"/>
  <c r="I437" i="3"/>
  <c r="F436" i="3"/>
  <c r="I436" i="3"/>
  <c r="F219" i="8" l="1"/>
  <c r="C219" i="8"/>
  <c r="D219" i="8" s="1"/>
  <c r="F435" i="3"/>
  <c r="I435" i="3"/>
  <c r="F434" i="3"/>
  <c r="I434" i="3"/>
  <c r="F433" i="3"/>
  <c r="F432" i="3"/>
  <c r="I432" i="3"/>
  <c r="I433" i="3"/>
  <c r="I430" i="3"/>
  <c r="I431" i="3"/>
  <c r="F429" i="3"/>
  <c r="F430" i="3"/>
  <c r="F431" i="3"/>
  <c r="I429" i="3"/>
  <c r="F217" i="8"/>
  <c r="F218" i="8"/>
  <c r="C217" i="8"/>
  <c r="D217" i="8" s="1"/>
  <c r="C218" i="8"/>
  <c r="D218" i="8" s="1"/>
  <c r="G212" i="6"/>
  <c r="D212" i="6"/>
  <c r="E212" i="6" s="1"/>
  <c r="H119" i="7"/>
  <c r="D119" i="7"/>
  <c r="E119" i="7" s="1"/>
  <c r="G211" i="6" l="1"/>
  <c r="D211" i="6"/>
  <c r="E211" i="6"/>
  <c r="I426" i="3"/>
  <c r="F428" i="3"/>
  <c r="F427" i="3"/>
  <c r="F426" i="3"/>
  <c r="I427" i="3"/>
  <c r="I428" i="3"/>
  <c r="G210" i="6" l="1"/>
  <c r="G209" i="6"/>
  <c r="D210" i="6"/>
  <c r="E210" i="6"/>
  <c r="D209" i="6"/>
  <c r="E209" i="6" s="1"/>
  <c r="G208" i="6" l="1"/>
  <c r="G207" i="6"/>
  <c r="G206" i="6"/>
  <c r="D208" i="6"/>
  <c r="E208" i="6"/>
  <c r="D207" i="6"/>
  <c r="E207" i="6"/>
  <c r="D206" i="6"/>
  <c r="E206" i="6" s="1"/>
  <c r="F425" i="3"/>
  <c r="F424" i="3"/>
  <c r="F423" i="3"/>
  <c r="I422" i="3"/>
  <c r="I423" i="3"/>
  <c r="I425" i="3"/>
  <c r="F422" i="3"/>
  <c r="F421" i="3"/>
  <c r="I421" i="3"/>
  <c r="F420" i="3"/>
  <c r="I420" i="3"/>
  <c r="G205" i="6"/>
  <c r="D205" i="6"/>
  <c r="E205" i="6"/>
  <c r="G204" i="6"/>
  <c r="D204" i="6"/>
  <c r="E204" i="6" s="1"/>
  <c r="G203" i="6"/>
  <c r="D203" i="6"/>
  <c r="E203" i="6"/>
  <c r="H118" i="7"/>
  <c r="D118" i="7"/>
  <c r="E118" i="7" s="1"/>
  <c r="H117" i="7"/>
  <c r="D117" i="7"/>
  <c r="E117" i="7"/>
  <c r="F216" i="8"/>
  <c r="C216" i="8"/>
  <c r="D216" i="8" s="1"/>
  <c r="F215" i="8"/>
  <c r="C215" i="8"/>
  <c r="D215" i="8" s="1"/>
  <c r="F419" i="3" l="1"/>
  <c r="I419" i="3"/>
  <c r="F418" i="3"/>
  <c r="F417" i="3"/>
  <c r="I416" i="3"/>
  <c r="I417" i="3"/>
  <c r="I418" i="3"/>
  <c r="F416" i="3"/>
  <c r="F415" i="3"/>
  <c r="F414" i="3"/>
  <c r="F413" i="3"/>
  <c r="I414" i="3"/>
  <c r="I415" i="3"/>
  <c r="I413" i="3"/>
  <c r="G202" i="6"/>
  <c r="D202" i="6"/>
  <c r="E202" i="6"/>
  <c r="G201" i="6"/>
  <c r="D201" i="6"/>
  <c r="E201" i="6"/>
  <c r="F214" i="8"/>
  <c r="C214" i="8"/>
  <c r="D214" i="8" s="1"/>
  <c r="F212" i="8"/>
  <c r="F213" i="8"/>
  <c r="C212" i="8"/>
  <c r="D212" i="8" s="1"/>
  <c r="C213" i="8"/>
  <c r="D213" i="8" s="1"/>
  <c r="F211" i="8"/>
  <c r="C211" i="8"/>
  <c r="D211" i="8" s="1"/>
  <c r="G200" i="6" l="1"/>
  <c r="D200" i="6"/>
  <c r="E200" i="6" s="1"/>
  <c r="G199" i="6"/>
  <c r="D199" i="6"/>
  <c r="E199" i="6" s="1"/>
  <c r="F412" i="3" l="1"/>
  <c r="I412" i="3"/>
  <c r="F411" i="3"/>
  <c r="F410" i="3"/>
  <c r="F409" i="3"/>
  <c r="F408" i="3"/>
  <c r="F407" i="3"/>
  <c r="I408" i="3"/>
  <c r="I409" i="3"/>
  <c r="I410" i="3"/>
  <c r="I411" i="3"/>
  <c r="I407" i="3"/>
  <c r="G198" i="6"/>
  <c r="D198" i="6"/>
  <c r="E198" i="6" s="1"/>
  <c r="F210" i="8"/>
  <c r="C210" i="8"/>
  <c r="D210" i="8" s="1"/>
  <c r="G301" i="10"/>
  <c r="G300" i="10"/>
  <c r="G299" i="10"/>
  <c r="G298" i="10"/>
  <c r="G297" i="10"/>
  <c r="G296" i="10"/>
  <c r="G295" i="10"/>
  <c r="H116" i="7" l="1"/>
  <c r="G197" i="6"/>
  <c r="D197" i="6"/>
  <c r="E197" i="6" s="1"/>
  <c r="F406" i="3"/>
  <c r="F405" i="3"/>
  <c r="F404" i="3"/>
  <c r="F403" i="3"/>
  <c r="F402" i="3"/>
  <c r="I402" i="3"/>
  <c r="I403" i="3"/>
  <c r="I404" i="3"/>
  <c r="I405" i="3"/>
  <c r="I406" i="3"/>
  <c r="I401" i="3"/>
  <c r="F401" i="3"/>
  <c r="F209" i="8"/>
  <c r="C209" i="8"/>
  <c r="D209" i="8" s="1"/>
  <c r="F208" i="8"/>
  <c r="C208" i="8"/>
  <c r="D208" i="8" s="1"/>
  <c r="C116" i="7"/>
  <c r="D116" i="7"/>
  <c r="E116" i="7" s="1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F400" i="3"/>
  <c r="I400" i="3"/>
  <c r="F399" i="3"/>
  <c r="I399" i="3"/>
  <c r="F398" i="3"/>
  <c r="F397" i="3"/>
  <c r="F396" i="3"/>
  <c r="F395" i="3"/>
  <c r="F394" i="3"/>
  <c r="I395" i="3"/>
  <c r="I396" i="3"/>
  <c r="I397" i="3"/>
  <c r="I398" i="3"/>
  <c r="I394" i="3"/>
  <c r="H115" i="7"/>
  <c r="D115" i="7"/>
  <c r="E115" i="7" s="1"/>
  <c r="H114" i="7"/>
  <c r="F207" i="8"/>
  <c r="C207" i="8"/>
  <c r="D207" i="8" s="1"/>
  <c r="G196" i="6"/>
  <c r="G195" i="6"/>
  <c r="C196" i="6"/>
  <c r="C195" i="6"/>
  <c r="D196" i="6"/>
  <c r="E196" i="6"/>
  <c r="D195" i="6"/>
  <c r="E195" i="6" s="1"/>
  <c r="H113" i="7"/>
  <c r="H112" i="7"/>
  <c r="C114" i="7"/>
  <c r="D114" i="7"/>
  <c r="E114" i="7" s="1"/>
  <c r="D113" i="7"/>
  <c r="E113" i="7" s="1"/>
  <c r="D112" i="7"/>
  <c r="E112" i="7" s="1"/>
  <c r="F206" i="8"/>
  <c r="C206" i="8"/>
  <c r="D206" i="8" s="1"/>
  <c r="F205" i="8"/>
  <c r="C205" i="8"/>
  <c r="D205" i="8" s="1"/>
  <c r="D72" i="9"/>
  <c r="E72" i="9"/>
  <c r="D71" i="9"/>
  <c r="E71" i="9"/>
  <c r="D70" i="9"/>
  <c r="E70" i="9" s="1"/>
  <c r="G280" i="10"/>
  <c r="G279" i="10"/>
  <c r="G278" i="10"/>
  <c r="G277" i="10"/>
  <c r="G276" i="10"/>
  <c r="G275" i="10"/>
  <c r="G274" i="10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I381" i="3"/>
  <c r="I380" i="3"/>
  <c r="I379" i="3"/>
  <c r="I378" i="3"/>
  <c r="I377" i="3"/>
  <c r="I376" i="3"/>
  <c r="E68" i="9"/>
  <c r="E69" i="9"/>
  <c r="D68" i="9"/>
  <c r="D69" i="9"/>
  <c r="D67" i="9"/>
  <c r="E67" i="9"/>
  <c r="D66" i="9"/>
  <c r="E66" i="9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O391" i="3"/>
  <c r="L288" i="10"/>
  <c r="G259" i="10"/>
  <c r="G258" i="10"/>
  <c r="G257" i="10"/>
  <c r="G256" i="10"/>
  <c r="G255" i="10"/>
  <c r="G254" i="10"/>
  <c r="G253" i="10"/>
  <c r="D65" i="9"/>
  <c r="E65" i="9"/>
  <c r="D64" i="9"/>
  <c r="E64" i="9" s="1"/>
  <c r="G194" i="6"/>
  <c r="I370" i="3"/>
  <c r="I371" i="3"/>
  <c r="I372" i="3"/>
  <c r="I373" i="3"/>
  <c r="I374" i="3"/>
  <c r="I375" i="3"/>
  <c r="I369" i="3"/>
  <c r="G193" i="6"/>
  <c r="D194" i="6"/>
  <c r="E194" i="6"/>
  <c r="D193" i="6"/>
  <c r="E193" i="6"/>
  <c r="F204" i="8"/>
  <c r="C204" i="8"/>
  <c r="D204" i="8" s="1"/>
  <c r="H111" i="7"/>
  <c r="D111" i="7"/>
  <c r="E111" i="7" s="1"/>
  <c r="F203" i="8"/>
  <c r="C203" i="8"/>
  <c r="D203" i="8" s="1"/>
  <c r="I368" i="3" l="1"/>
  <c r="I367" i="3"/>
  <c r="I366" i="3"/>
  <c r="I365" i="3"/>
  <c r="I364" i="3"/>
  <c r="I363" i="3"/>
  <c r="I362" i="3"/>
  <c r="I361" i="3"/>
  <c r="G192" i="6"/>
  <c r="G191" i="6"/>
  <c r="D192" i="6"/>
  <c r="E192" i="6"/>
  <c r="D191" i="6"/>
  <c r="E191" i="6" s="1"/>
  <c r="F202" i="8"/>
  <c r="C202" i="8"/>
  <c r="D202" i="8" s="1"/>
  <c r="F201" i="8"/>
  <c r="C201" i="8"/>
  <c r="D201" i="8" s="1"/>
  <c r="C200" i="8"/>
  <c r="D200" i="8" s="1"/>
  <c r="F200" i="8"/>
  <c r="I360" i="3" l="1"/>
  <c r="I359" i="3"/>
  <c r="I358" i="3"/>
  <c r="I357" i="3"/>
  <c r="I356" i="3"/>
  <c r="I355" i="3"/>
  <c r="I354" i="3"/>
  <c r="G190" i="6"/>
  <c r="D190" i="6"/>
  <c r="E190" i="6" s="1"/>
  <c r="G189" i="6"/>
  <c r="D189" i="6"/>
  <c r="E189" i="6" s="1"/>
  <c r="F199" i="8"/>
  <c r="C199" i="8"/>
  <c r="D199" i="8" s="1"/>
  <c r="H110" i="7"/>
  <c r="D110" i="7"/>
  <c r="E110" i="7" s="1"/>
  <c r="F198" i="8"/>
  <c r="C198" i="8"/>
  <c r="D198" i="8" s="1"/>
  <c r="G197" i="8"/>
  <c r="G196" i="8"/>
  <c r="G252" i="10"/>
  <c r="G251" i="10"/>
  <c r="G250" i="10"/>
  <c r="G249" i="10"/>
  <c r="G248" i="10"/>
  <c r="G247" i="10"/>
  <c r="G246" i="10"/>
  <c r="D63" i="9"/>
  <c r="E63" i="9"/>
  <c r="D62" i="9"/>
  <c r="E62" i="9"/>
  <c r="E59" i="9"/>
  <c r="E60" i="9"/>
  <c r="E61" i="9"/>
  <c r="D59" i="9"/>
  <c r="D60" i="9"/>
  <c r="D61" i="9"/>
  <c r="G188" i="6" l="1"/>
  <c r="G187" i="6"/>
  <c r="D188" i="6"/>
  <c r="E188" i="6"/>
  <c r="D187" i="6"/>
  <c r="E187" i="6" s="1"/>
  <c r="F197" i="8"/>
  <c r="C197" i="8"/>
  <c r="D197" i="8" s="1"/>
  <c r="P184" i="6" l="1"/>
  <c r="Q184" i="6" s="1"/>
  <c r="I353" i="3"/>
  <c r="I352" i="3"/>
  <c r="I351" i="3"/>
  <c r="I350" i="3"/>
  <c r="I349" i="3"/>
  <c r="I343" i="3"/>
  <c r="I344" i="3"/>
  <c r="I345" i="3"/>
  <c r="I346" i="3"/>
  <c r="I347" i="3"/>
  <c r="I348" i="3"/>
  <c r="I342" i="3"/>
  <c r="R195" i="8"/>
  <c r="G186" i="6"/>
  <c r="G185" i="6"/>
  <c r="F194" i="8"/>
  <c r="D186" i="6"/>
  <c r="E186" i="6"/>
  <c r="D185" i="6"/>
  <c r="E185" i="6"/>
  <c r="F195" i="8"/>
  <c r="F196" i="8"/>
  <c r="C194" i="8"/>
  <c r="D194" i="8" s="1"/>
  <c r="C195" i="8"/>
  <c r="D195" i="8" s="1"/>
  <c r="C196" i="8"/>
  <c r="D196" i="8" s="1"/>
  <c r="N194" i="8"/>
  <c r="O194" i="8" s="1"/>
  <c r="G184" i="6"/>
  <c r="G183" i="6"/>
  <c r="D184" i="6"/>
  <c r="E184" i="6" s="1"/>
  <c r="D183" i="6"/>
  <c r="E183" i="6" s="1"/>
  <c r="G181" i="6"/>
  <c r="G182" i="6"/>
  <c r="G180" i="6"/>
  <c r="AA181" i="6"/>
  <c r="AB181" i="6" s="1"/>
  <c r="P181" i="6"/>
  <c r="Q181" i="6" s="1"/>
  <c r="V184" i="6" l="1"/>
  <c r="P194" i="8"/>
  <c r="R194" i="8" s="1"/>
  <c r="R181" i="6"/>
  <c r="H109" i="7"/>
  <c r="D109" i="7"/>
  <c r="E109" i="7" s="1"/>
  <c r="H108" i="7"/>
  <c r="D108" i="7"/>
  <c r="E108" i="7"/>
  <c r="H107" i="7"/>
  <c r="D107" i="7"/>
  <c r="E107" i="7" s="1"/>
  <c r="D182" i="6"/>
  <c r="E182" i="6" s="1"/>
  <c r="D181" i="6"/>
  <c r="E181" i="6" s="1"/>
  <c r="D180" i="6"/>
  <c r="E180" i="6" s="1"/>
  <c r="D179" i="6" l="1"/>
  <c r="D57" i="9" l="1"/>
  <c r="E57" i="9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C191" i="8"/>
  <c r="D191" i="8" s="1"/>
  <c r="C192" i="8"/>
  <c r="D192" i="8" s="1"/>
  <c r="C193" i="8"/>
  <c r="D193" i="8" s="1"/>
  <c r="F191" i="8"/>
  <c r="F192" i="8"/>
  <c r="F193" i="8"/>
  <c r="D56" i="9"/>
  <c r="E56" i="9"/>
  <c r="D55" i="9"/>
  <c r="E55" i="9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D54" i="9"/>
  <c r="E54" i="9"/>
  <c r="N179" i="8"/>
  <c r="G217" i="10"/>
  <c r="G216" i="10"/>
  <c r="G215" i="10"/>
  <c r="G214" i="10"/>
  <c r="G213" i="10"/>
  <c r="G212" i="10"/>
  <c r="G211" i="10"/>
  <c r="C187" i="8"/>
  <c r="D187" i="8" s="1"/>
  <c r="C188" i="8"/>
  <c r="D188" i="8" s="1"/>
  <c r="C189" i="8"/>
  <c r="D189" i="8" s="1"/>
  <c r="C190" i="8"/>
  <c r="D190" i="8" s="1"/>
  <c r="F187" i="8"/>
  <c r="F188" i="8"/>
  <c r="F189" i="8"/>
  <c r="F190" i="8"/>
  <c r="D53" i="9"/>
  <c r="E53" i="9"/>
  <c r="G210" i="10" l="1"/>
  <c r="G209" i="10"/>
  <c r="G208" i="10"/>
  <c r="G207" i="10"/>
  <c r="G206" i="10"/>
  <c r="G205" i="10"/>
  <c r="G204" i="10"/>
  <c r="D52" i="9"/>
  <c r="E52" i="9" s="1"/>
  <c r="C185" i="8"/>
  <c r="D185" i="8" s="1"/>
  <c r="C186" i="8"/>
  <c r="D186" i="8" s="1"/>
  <c r="F185" i="8"/>
  <c r="F186" i="8"/>
  <c r="C184" i="8" l="1"/>
  <c r="D184" i="8" s="1"/>
  <c r="F184" i="8"/>
  <c r="G177" i="6"/>
  <c r="D177" i="6"/>
  <c r="E177" i="6"/>
  <c r="F327" i="3"/>
  <c r="O327" i="3"/>
  <c r="F326" i="3"/>
  <c r="F325" i="3"/>
  <c r="F324" i="3"/>
  <c r="F323" i="3"/>
  <c r="F322" i="3"/>
  <c r="F321" i="3"/>
  <c r="F183" i="8" l="1"/>
  <c r="C183" i="8"/>
  <c r="D183" i="8" s="1"/>
  <c r="G176" i="6"/>
  <c r="D176" i="6"/>
  <c r="E176" i="6"/>
  <c r="H106" i="7"/>
  <c r="D106" i="7"/>
  <c r="E106" i="7" s="1"/>
  <c r="F320" i="3"/>
  <c r="F319" i="3"/>
  <c r="F318" i="3"/>
  <c r="G175" i="6"/>
  <c r="D175" i="6"/>
  <c r="E175" i="6" s="1"/>
  <c r="D51" i="9" l="1"/>
  <c r="E51" i="9" s="1"/>
  <c r="D50" i="9"/>
  <c r="E50" i="9"/>
  <c r="D49" i="9"/>
  <c r="E49" i="9"/>
  <c r="D48" i="9"/>
  <c r="E48" i="9"/>
  <c r="G203" i="10" l="1"/>
  <c r="G202" i="10"/>
  <c r="G201" i="10"/>
  <c r="G200" i="10"/>
  <c r="G199" i="10"/>
  <c r="G198" i="10"/>
  <c r="G197" i="10"/>
  <c r="C180" i="8"/>
  <c r="D180" i="8" s="1"/>
  <c r="C181" i="8"/>
  <c r="D181" i="8" s="1"/>
  <c r="C182" i="8"/>
  <c r="D182" i="8" s="1"/>
  <c r="F180" i="8"/>
  <c r="F181" i="8"/>
  <c r="F182" i="8"/>
  <c r="C175" i="8"/>
  <c r="D175" i="8" s="1"/>
  <c r="C176" i="8"/>
  <c r="D176" i="8" s="1"/>
  <c r="C177" i="8"/>
  <c r="D177" i="8" s="1"/>
  <c r="C178" i="8"/>
  <c r="D178" i="8" s="1"/>
  <c r="C179" i="8"/>
  <c r="D179" i="8" s="1"/>
  <c r="F175" i="8"/>
  <c r="F176" i="8"/>
  <c r="F177" i="8"/>
  <c r="F178" i="8"/>
  <c r="F179" i="8"/>
  <c r="F317" i="3"/>
  <c r="F316" i="3"/>
  <c r="F315" i="3"/>
  <c r="F314" i="3"/>
  <c r="F313" i="3"/>
  <c r="F312" i="3"/>
  <c r="F311" i="3"/>
  <c r="F310" i="3"/>
  <c r="F309" i="3"/>
  <c r="G174" i="6"/>
  <c r="D174" i="6"/>
  <c r="E174" i="6" s="1"/>
  <c r="G173" i="6"/>
  <c r="D173" i="6"/>
  <c r="E173" i="6" s="1"/>
  <c r="G172" i="6"/>
  <c r="D172" i="6"/>
  <c r="E172" i="6" s="1"/>
  <c r="G196" i="10" l="1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H105" i="7" l="1"/>
  <c r="D105" i="7"/>
  <c r="E105" i="7" s="1"/>
  <c r="G171" i="6"/>
  <c r="D171" i="6"/>
  <c r="E171" i="6" s="1"/>
  <c r="N127" i="6"/>
  <c r="G170" i="6"/>
  <c r="D170" i="6"/>
  <c r="E170" i="6" s="1"/>
  <c r="F174" i="8"/>
  <c r="C174" i="8"/>
  <c r="D174" i="8" s="1"/>
  <c r="G169" i="6"/>
  <c r="D169" i="6"/>
  <c r="E169" i="6" s="1"/>
  <c r="G168" i="6"/>
  <c r="D168" i="6"/>
  <c r="E168" i="6" s="1"/>
  <c r="F173" i="8"/>
  <c r="C173" i="8"/>
  <c r="D173" i="8" s="1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C168" i="8"/>
  <c r="D168" i="8" s="1"/>
  <c r="C169" i="8"/>
  <c r="F168" i="8"/>
  <c r="F169" i="8"/>
  <c r="C171" i="8"/>
  <c r="D171" i="8" s="1"/>
  <c r="C172" i="8"/>
  <c r="D172" i="8" s="1"/>
  <c r="F171" i="8"/>
  <c r="F172" i="8"/>
  <c r="C164" i="8"/>
  <c r="D164" i="8" s="1"/>
  <c r="C165" i="8"/>
  <c r="D165" i="8" s="1"/>
  <c r="C166" i="8"/>
  <c r="D166" i="8" s="1"/>
  <c r="C167" i="8"/>
  <c r="D167" i="8" s="1"/>
  <c r="C170" i="8"/>
  <c r="D170" i="8" s="1"/>
  <c r="F164" i="8"/>
  <c r="F165" i="8"/>
  <c r="F166" i="8"/>
  <c r="F167" i="8"/>
  <c r="F170" i="8"/>
  <c r="D46" i="9"/>
  <c r="E46" i="9"/>
  <c r="D45" i="9"/>
  <c r="E45" i="9" s="1"/>
  <c r="D44" i="9"/>
  <c r="E44" i="9" s="1"/>
  <c r="D43" i="9"/>
  <c r="E43" i="9"/>
  <c r="D42" i="9"/>
  <c r="E42" i="9"/>
  <c r="D41" i="9"/>
  <c r="E41" i="9"/>
  <c r="D40" i="9"/>
  <c r="E40" i="9"/>
  <c r="D47" i="9"/>
  <c r="E47" i="9" s="1"/>
  <c r="L232" i="10"/>
  <c r="G157" i="10"/>
  <c r="G156" i="10"/>
  <c r="G155" i="10"/>
  <c r="G154" i="10"/>
  <c r="G153" i="10"/>
  <c r="G152" i="10"/>
  <c r="G151" i="10"/>
  <c r="D169" i="8" l="1"/>
  <c r="F308" i="3"/>
  <c r="F307" i="3"/>
  <c r="F306" i="3"/>
  <c r="F305" i="3"/>
  <c r="F304" i="3"/>
  <c r="F303" i="3"/>
  <c r="F302" i="3"/>
  <c r="F301" i="3"/>
  <c r="G167" i="6"/>
  <c r="D167" i="6"/>
  <c r="E167" i="6" s="1"/>
  <c r="H104" i="7"/>
  <c r="D104" i="7"/>
  <c r="E104" i="7" s="1"/>
  <c r="G166" i="6"/>
  <c r="F294" i="3"/>
  <c r="F295" i="3"/>
  <c r="F296" i="3"/>
  <c r="F297" i="3"/>
  <c r="F298" i="3"/>
  <c r="F299" i="3"/>
  <c r="F300" i="3"/>
  <c r="G165" i="6"/>
  <c r="D166" i="6"/>
  <c r="E166" i="6" s="1"/>
  <c r="D165" i="6"/>
  <c r="E165" i="6"/>
  <c r="G150" i="10" l="1"/>
  <c r="G149" i="10"/>
  <c r="G148" i="10"/>
  <c r="G147" i="10"/>
  <c r="G146" i="10"/>
  <c r="G145" i="10"/>
  <c r="G144" i="10"/>
  <c r="G143" i="10"/>
  <c r="G142" i="10"/>
  <c r="G141" i="10"/>
  <c r="G140" i="10"/>
  <c r="D38" i="9"/>
  <c r="E38" i="9" s="1"/>
  <c r="D39" i="9"/>
  <c r="E39" i="9" s="1"/>
  <c r="D37" i="9"/>
  <c r="E37" i="9" s="1"/>
  <c r="D36" i="9"/>
  <c r="E36" i="9"/>
  <c r="G139" i="10"/>
  <c r="G138" i="10"/>
  <c r="G137" i="10"/>
  <c r="G136" i="10"/>
  <c r="G135" i="10"/>
  <c r="G134" i="10"/>
  <c r="G133" i="10"/>
  <c r="G132" i="10"/>
  <c r="G131" i="10"/>
  <c r="G130" i="10"/>
  <c r="G129" i="10"/>
  <c r="D35" i="9"/>
  <c r="E35" i="9"/>
  <c r="D34" i="9"/>
  <c r="E34" i="9"/>
  <c r="M39" i="9"/>
  <c r="D33" i="9"/>
  <c r="E33" i="9" s="1"/>
  <c r="G128" i="10"/>
  <c r="G127" i="10"/>
  <c r="G126" i="10"/>
  <c r="G125" i="10"/>
  <c r="G124" i="10"/>
  <c r="G123" i="10"/>
  <c r="G122" i="10"/>
  <c r="G121" i="10"/>
  <c r="G120" i="10"/>
  <c r="G119" i="10"/>
  <c r="G118" i="10"/>
  <c r="C163" i="8"/>
  <c r="D163" i="8" s="1"/>
  <c r="F163" i="8"/>
  <c r="D32" i="9"/>
  <c r="E32" i="9"/>
  <c r="D31" i="9"/>
  <c r="E31" i="9"/>
  <c r="F162" i="8" l="1"/>
  <c r="C162" i="8"/>
  <c r="D162" i="8" s="1"/>
  <c r="F161" i="8" l="1"/>
  <c r="C161" i="8"/>
  <c r="D161" i="8" s="1"/>
  <c r="H103" i="7"/>
  <c r="D103" i="7"/>
  <c r="E103" i="7" s="1"/>
  <c r="G117" i="10"/>
  <c r="G116" i="10"/>
  <c r="G115" i="10"/>
  <c r="G114" i="10"/>
  <c r="G113" i="10"/>
  <c r="G112" i="10"/>
  <c r="G111" i="10"/>
  <c r="G110" i="10"/>
  <c r="G109" i="10"/>
  <c r="G108" i="10"/>
  <c r="G107" i="10"/>
  <c r="D30" i="9"/>
  <c r="E30" i="9"/>
  <c r="D29" i="9"/>
  <c r="E29" i="9" s="1"/>
  <c r="D28" i="9"/>
  <c r="E28" i="9" s="1"/>
  <c r="D27" i="9"/>
  <c r="E27" i="9"/>
  <c r="E293" i="3"/>
  <c r="F293" i="3" s="1"/>
  <c r="E292" i="3"/>
  <c r="F292" i="3" s="1"/>
  <c r="E291" i="3"/>
  <c r="F291" i="3" s="1"/>
  <c r="O308" i="3"/>
  <c r="E290" i="3"/>
  <c r="F290" i="3" s="1"/>
  <c r="E289" i="3"/>
  <c r="F289" i="3" s="1"/>
  <c r="E288" i="3"/>
  <c r="F288" i="3" s="1"/>
  <c r="E287" i="3"/>
  <c r="F287" i="3" s="1"/>
  <c r="E286" i="3"/>
  <c r="F286" i="3" s="1"/>
  <c r="E285" i="3"/>
  <c r="F285" i="3" s="1"/>
  <c r="E284" i="3"/>
  <c r="F284" i="3" s="1"/>
  <c r="F160" i="8"/>
  <c r="C160" i="8"/>
  <c r="D160" i="8" s="1"/>
  <c r="F280" i="3"/>
  <c r="F283" i="3"/>
  <c r="F282" i="3"/>
  <c r="F281" i="3"/>
  <c r="F279" i="3"/>
  <c r="F278" i="3"/>
  <c r="G164" i="6"/>
  <c r="G163" i="6"/>
  <c r="D164" i="6"/>
  <c r="E164" i="6" s="1"/>
  <c r="D163" i="6"/>
  <c r="E163" i="6" s="1"/>
  <c r="C158" i="8"/>
  <c r="D158" i="8" s="1"/>
  <c r="C159" i="8"/>
  <c r="D159" i="8" s="1"/>
  <c r="F158" i="8"/>
  <c r="F159" i="8"/>
  <c r="F277" i="3"/>
  <c r="F276" i="3"/>
  <c r="F157" i="8"/>
  <c r="C157" i="8"/>
  <c r="D157" i="8" s="1"/>
  <c r="G162" i="6"/>
  <c r="D162" i="6"/>
  <c r="E162" i="6" s="1"/>
  <c r="H102" i="7"/>
  <c r="D102" i="7"/>
  <c r="E102" i="7" s="1"/>
  <c r="C156" i="8"/>
  <c r="D156" i="8" s="1"/>
  <c r="F156" i="8"/>
  <c r="C155" i="8"/>
  <c r="D155" i="8" s="1"/>
  <c r="F155" i="8"/>
  <c r="H101" i="7" l="1"/>
  <c r="D101" i="7"/>
  <c r="E101" i="7" s="1"/>
  <c r="H100" i="7"/>
  <c r="D100" i="7"/>
  <c r="E100" i="7" s="1"/>
  <c r="H99" i="7"/>
  <c r="D99" i="7"/>
  <c r="E99" i="7" s="1"/>
  <c r="H98" i="7"/>
  <c r="E98" i="7"/>
  <c r="D98" i="7"/>
  <c r="H97" i="7"/>
  <c r="D97" i="7"/>
  <c r="E97" i="7" s="1"/>
  <c r="H96" i="7"/>
  <c r="D96" i="7"/>
  <c r="E96" i="7" s="1"/>
  <c r="H95" i="7"/>
  <c r="D95" i="7"/>
  <c r="E95" i="7" s="1"/>
  <c r="H94" i="7"/>
  <c r="D94" i="7"/>
  <c r="E94" i="7" s="1"/>
  <c r="H93" i="7"/>
  <c r="D93" i="7"/>
  <c r="E93" i="7" s="1"/>
  <c r="H92" i="7"/>
  <c r="D92" i="7"/>
  <c r="E92" i="7" s="1"/>
  <c r="H91" i="7"/>
  <c r="E91" i="7"/>
  <c r="D91" i="7"/>
  <c r="H90" i="7"/>
  <c r="D90" i="7"/>
  <c r="E90" i="7" s="1"/>
  <c r="H89" i="7"/>
  <c r="D89" i="7"/>
  <c r="E89" i="7" s="1"/>
  <c r="H88" i="7"/>
  <c r="D88" i="7"/>
  <c r="E88" i="7" s="1"/>
  <c r="O87" i="7"/>
  <c r="H87" i="7"/>
  <c r="D87" i="7"/>
  <c r="E87" i="7" s="1"/>
  <c r="H86" i="7"/>
  <c r="D86" i="7"/>
  <c r="E86" i="7" s="1"/>
  <c r="H85" i="7"/>
  <c r="D85" i="7"/>
  <c r="E85" i="7" s="1"/>
  <c r="H84" i="7"/>
  <c r="D84" i="7"/>
  <c r="E84" i="7" s="1"/>
  <c r="M83" i="7"/>
  <c r="N83" i="7" s="1"/>
  <c r="H83" i="7"/>
  <c r="D83" i="7"/>
  <c r="E83" i="7" s="1"/>
  <c r="H82" i="7"/>
  <c r="E82" i="7"/>
  <c r="D82" i="7"/>
  <c r="H81" i="7"/>
  <c r="D81" i="7"/>
  <c r="E81" i="7" s="1"/>
  <c r="N80" i="7"/>
  <c r="H80" i="7"/>
  <c r="D80" i="7"/>
  <c r="E80" i="7" s="1"/>
  <c r="H79" i="7"/>
  <c r="D79" i="7"/>
  <c r="E79" i="7" s="1"/>
  <c r="H78" i="7"/>
  <c r="D78" i="7"/>
  <c r="E78" i="7" s="1"/>
  <c r="H77" i="7"/>
  <c r="D77" i="7"/>
  <c r="E77" i="7" s="1"/>
  <c r="H76" i="7"/>
  <c r="D76" i="7"/>
  <c r="E76" i="7" s="1"/>
  <c r="H75" i="7"/>
  <c r="D75" i="7"/>
  <c r="E75" i="7" s="1"/>
  <c r="H74" i="7"/>
  <c r="D74" i="7"/>
  <c r="E74" i="7" s="1"/>
  <c r="H73" i="7"/>
  <c r="D73" i="7"/>
  <c r="E73" i="7" s="1"/>
  <c r="H72" i="7"/>
  <c r="D72" i="7"/>
  <c r="E72" i="7" s="1"/>
  <c r="H71" i="7"/>
  <c r="D71" i="7"/>
  <c r="E71" i="7" s="1"/>
  <c r="H70" i="7"/>
  <c r="D70" i="7"/>
  <c r="E70" i="7" s="1"/>
  <c r="H69" i="7"/>
  <c r="D69" i="7"/>
  <c r="E69" i="7" s="1"/>
  <c r="H68" i="7"/>
  <c r="D68" i="7"/>
  <c r="E68" i="7" s="1"/>
  <c r="H67" i="7"/>
  <c r="D67" i="7"/>
  <c r="E67" i="7" s="1"/>
  <c r="H66" i="7"/>
  <c r="D66" i="7"/>
  <c r="E66" i="7" s="1"/>
  <c r="H65" i="7"/>
  <c r="D65" i="7"/>
  <c r="E65" i="7" s="1"/>
  <c r="H64" i="7"/>
  <c r="D64" i="7"/>
  <c r="E64" i="7" s="1"/>
  <c r="H63" i="7"/>
  <c r="D63" i="7"/>
  <c r="E63" i="7" s="1"/>
  <c r="H62" i="7"/>
  <c r="D62" i="7"/>
  <c r="E62" i="7" s="1"/>
  <c r="H61" i="7"/>
  <c r="D61" i="7"/>
  <c r="E61" i="7" s="1"/>
  <c r="H60" i="7"/>
  <c r="D60" i="7"/>
  <c r="E60" i="7" s="1"/>
  <c r="H59" i="7"/>
  <c r="D59" i="7"/>
  <c r="E59" i="7" s="1"/>
  <c r="H58" i="7"/>
  <c r="D58" i="7"/>
  <c r="E58" i="7" s="1"/>
  <c r="H57" i="7"/>
  <c r="D57" i="7"/>
  <c r="E57" i="7" s="1"/>
  <c r="C57" i="7"/>
  <c r="H56" i="7"/>
  <c r="D56" i="7"/>
  <c r="E56" i="7" s="1"/>
  <c r="C56" i="7"/>
  <c r="H55" i="7"/>
  <c r="D55" i="7"/>
  <c r="E55" i="7" s="1"/>
  <c r="C55" i="7"/>
  <c r="H54" i="7"/>
  <c r="M37" i="7" s="1"/>
  <c r="N37" i="7" s="1"/>
  <c r="D54" i="7"/>
  <c r="E54" i="7" s="1"/>
  <c r="H53" i="7"/>
  <c r="D53" i="7"/>
  <c r="E53" i="7" s="1"/>
  <c r="H52" i="7"/>
  <c r="D52" i="7"/>
  <c r="E52" i="7" s="1"/>
  <c r="H51" i="7"/>
  <c r="D51" i="7"/>
  <c r="E51" i="7" s="1"/>
  <c r="S50" i="7"/>
  <c r="T50" i="7" s="1"/>
  <c r="H50" i="7"/>
  <c r="D50" i="7"/>
  <c r="E50" i="7" s="1"/>
  <c r="H49" i="7"/>
  <c r="D49" i="7"/>
  <c r="E49" i="7" s="1"/>
  <c r="H48" i="7"/>
  <c r="D48" i="7"/>
  <c r="E48" i="7" s="1"/>
  <c r="H47" i="7"/>
  <c r="D47" i="7"/>
  <c r="E47" i="7" s="1"/>
  <c r="H46" i="7"/>
  <c r="D46" i="7"/>
  <c r="E46" i="7" s="1"/>
  <c r="H45" i="7"/>
  <c r="D45" i="7"/>
  <c r="E45" i="7" s="1"/>
  <c r="R44" i="7"/>
  <c r="S44" i="7" s="1"/>
  <c r="H44" i="7"/>
  <c r="D44" i="7"/>
  <c r="E44" i="7" s="1"/>
  <c r="R43" i="7"/>
  <c r="S43" i="7" s="1"/>
  <c r="H43" i="7"/>
  <c r="D43" i="7"/>
  <c r="E43" i="7" s="1"/>
  <c r="H42" i="7"/>
  <c r="D42" i="7"/>
  <c r="E42" i="7" s="1"/>
  <c r="H41" i="7"/>
  <c r="D41" i="7"/>
  <c r="E41" i="7" s="1"/>
  <c r="H40" i="7"/>
  <c r="D40" i="7"/>
  <c r="E40" i="7" s="1"/>
  <c r="L39" i="7"/>
  <c r="M39" i="7" s="1"/>
  <c r="N39" i="7" s="1"/>
  <c r="D39" i="7"/>
  <c r="E39" i="7" s="1"/>
  <c r="H38" i="7"/>
  <c r="D38" i="7"/>
  <c r="E38" i="7" s="1"/>
  <c r="U37" i="7"/>
  <c r="V37" i="7" s="1"/>
  <c r="R37" i="7"/>
  <c r="H37" i="7"/>
  <c r="D37" i="7"/>
  <c r="E37" i="7" s="1"/>
  <c r="V36" i="7"/>
  <c r="U36" i="7"/>
  <c r="R36" i="7"/>
  <c r="H36" i="7"/>
  <c r="E36" i="7"/>
  <c r="D36" i="7"/>
  <c r="X35" i="7"/>
  <c r="U35" i="7"/>
  <c r="V35" i="7" s="1"/>
  <c r="R35" i="7"/>
  <c r="H35" i="7"/>
  <c r="D35" i="7"/>
  <c r="E35" i="7" s="1"/>
  <c r="H34" i="7"/>
  <c r="E34" i="7"/>
  <c r="D34" i="7"/>
  <c r="H33" i="7"/>
  <c r="D33" i="7"/>
  <c r="E33" i="7" s="1"/>
  <c r="H32" i="7"/>
  <c r="D32" i="7"/>
  <c r="E32" i="7" s="1"/>
  <c r="H31" i="7"/>
  <c r="D31" i="7"/>
  <c r="E31" i="7" s="1"/>
  <c r="H30" i="7"/>
  <c r="D30" i="7"/>
  <c r="E30" i="7" s="1"/>
  <c r="H29" i="7"/>
  <c r="D29" i="7"/>
  <c r="E29" i="7" s="1"/>
  <c r="H28" i="7"/>
  <c r="D28" i="7"/>
  <c r="E28" i="7" s="1"/>
  <c r="H27" i="7"/>
  <c r="D27" i="7"/>
  <c r="E27" i="7" s="1"/>
  <c r="H26" i="7"/>
  <c r="D26" i="7"/>
  <c r="E26" i="7" s="1"/>
  <c r="H25" i="7"/>
  <c r="D25" i="7"/>
  <c r="E25" i="7" s="1"/>
  <c r="H24" i="7"/>
  <c r="D24" i="7"/>
  <c r="E24" i="7" s="1"/>
  <c r="D23" i="7"/>
  <c r="E23" i="7" s="1"/>
  <c r="H22" i="7"/>
  <c r="D22" i="7"/>
  <c r="E22" i="7" s="1"/>
  <c r="G21" i="7"/>
  <c r="H21" i="7" s="1"/>
  <c r="D21" i="7"/>
  <c r="E21" i="7" s="1"/>
  <c r="G20" i="7"/>
  <c r="H20" i="7" s="1"/>
  <c r="D20" i="7"/>
  <c r="E20" i="7" s="1"/>
  <c r="H19" i="7"/>
  <c r="D19" i="7"/>
  <c r="E19" i="7" s="1"/>
  <c r="H18" i="7"/>
  <c r="D18" i="7"/>
  <c r="E18" i="7" s="1"/>
  <c r="H17" i="7"/>
  <c r="D17" i="7"/>
  <c r="E17" i="7" s="1"/>
  <c r="H16" i="7"/>
  <c r="D16" i="7"/>
  <c r="E16" i="7" s="1"/>
  <c r="H15" i="7"/>
  <c r="D15" i="7"/>
  <c r="E15" i="7" s="1"/>
  <c r="H14" i="7"/>
  <c r="D14" i="7"/>
  <c r="E14" i="7" s="1"/>
  <c r="H13" i="7"/>
  <c r="D13" i="7"/>
  <c r="E13" i="7" s="1"/>
  <c r="H12" i="7"/>
  <c r="D12" i="7"/>
  <c r="E12" i="7" s="1"/>
  <c r="H11" i="7"/>
  <c r="D11" i="7"/>
  <c r="E11" i="7" s="1"/>
  <c r="H10" i="7"/>
  <c r="D10" i="7"/>
  <c r="E10" i="7" s="1"/>
  <c r="H9" i="7"/>
  <c r="D9" i="7"/>
  <c r="E9" i="7" s="1"/>
  <c r="H8" i="7"/>
  <c r="D8" i="7"/>
  <c r="E8" i="7" s="1"/>
  <c r="H7" i="7"/>
  <c r="D7" i="7"/>
  <c r="E7" i="7" s="1"/>
  <c r="H6" i="7"/>
  <c r="D6" i="7"/>
  <c r="E6" i="7" s="1"/>
  <c r="H5" i="7"/>
  <c r="F5" i="7"/>
  <c r="D5" i="7"/>
  <c r="E5" i="7" s="1"/>
  <c r="H4" i="7"/>
  <c r="D4" i="7"/>
  <c r="E4" i="7" s="1"/>
  <c r="H3" i="7"/>
  <c r="D3" i="7"/>
  <c r="E3" i="7" s="1"/>
  <c r="H2" i="7"/>
  <c r="D2" i="7"/>
  <c r="E2" i="7" s="1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Q36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P17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O289" i="3"/>
  <c r="F275" i="3"/>
  <c r="F274" i="3"/>
  <c r="F273" i="3"/>
  <c r="F272" i="3"/>
  <c r="M271" i="3"/>
  <c r="N271" i="3" s="1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M252" i="3"/>
  <c r="N252" i="3" s="1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O231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V178" i="3"/>
  <c r="W178" i="3" s="1"/>
  <c r="P178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P158" i="3"/>
  <c r="P159" i="3" s="1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I143" i="3"/>
  <c r="F143" i="3"/>
  <c r="F142" i="3"/>
  <c r="F141" i="3"/>
  <c r="F140" i="3"/>
  <c r="P139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X121" i="3"/>
  <c r="P121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M101" i="3"/>
  <c r="N101" i="3" s="1"/>
  <c r="O101" i="3" s="1"/>
  <c r="F101" i="3"/>
  <c r="F100" i="3"/>
  <c r="F99" i="3"/>
  <c r="F98" i="3"/>
  <c r="F97" i="3"/>
  <c r="F96" i="3"/>
  <c r="F95" i="3"/>
  <c r="F94" i="3"/>
  <c r="F93" i="3"/>
  <c r="P83" i="3"/>
  <c r="P65" i="3"/>
  <c r="P47" i="3"/>
  <c r="F154" i="8"/>
  <c r="C154" i="8"/>
  <c r="D154" i="8" s="1"/>
  <c r="F153" i="8"/>
  <c r="C153" i="8"/>
  <c r="D153" i="8" s="1"/>
  <c r="F152" i="8"/>
  <c r="C152" i="8"/>
  <c r="D152" i="8" s="1"/>
  <c r="F151" i="8"/>
  <c r="C151" i="8"/>
  <c r="D151" i="8" s="1"/>
  <c r="F150" i="8"/>
  <c r="C150" i="8"/>
  <c r="D150" i="8" s="1"/>
  <c r="F149" i="8"/>
  <c r="C149" i="8"/>
  <c r="D149" i="8" s="1"/>
  <c r="F148" i="8"/>
  <c r="C148" i="8"/>
  <c r="D148" i="8" s="1"/>
  <c r="F147" i="8"/>
  <c r="C147" i="8"/>
  <c r="D147" i="8" s="1"/>
  <c r="F146" i="8"/>
  <c r="C146" i="8"/>
  <c r="D146" i="8" s="1"/>
  <c r="F145" i="8"/>
  <c r="C145" i="8"/>
  <c r="D145" i="8" s="1"/>
  <c r="F144" i="8"/>
  <c r="C144" i="8"/>
  <c r="D144" i="8" s="1"/>
  <c r="F143" i="8"/>
  <c r="C143" i="8"/>
  <c r="D143" i="8" s="1"/>
  <c r="F142" i="8"/>
  <c r="C142" i="8"/>
  <c r="D142" i="8" s="1"/>
  <c r="F141" i="8"/>
  <c r="C141" i="8"/>
  <c r="D141" i="8" s="1"/>
  <c r="F140" i="8"/>
  <c r="C140" i="8"/>
  <c r="D140" i="8" s="1"/>
  <c r="F139" i="8"/>
  <c r="C139" i="8"/>
  <c r="D139" i="8" s="1"/>
  <c r="F138" i="8"/>
  <c r="C138" i="8"/>
  <c r="D138" i="8" s="1"/>
  <c r="F137" i="8"/>
  <c r="C137" i="8"/>
  <c r="D137" i="8" s="1"/>
  <c r="F136" i="8"/>
  <c r="C136" i="8"/>
  <c r="D136" i="8" s="1"/>
  <c r="F135" i="8"/>
  <c r="C135" i="8"/>
  <c r="D135" i="8" s="1"/>
  <c r="F134" i="8"/>
  <c r="C134" i="8"/>
  <c r="D134" i="8" s="1"/>
  <c r="F133" i="8"/>
  <c r="C133" i="8"/>
  <c r="D133" i="8" s="1"/>
  <c r="F132" i="8"/>
  <c r="C132" i="8"/>
  <c r="D132" i="8" s="1"/>
  <c r="F131" i="8"/>
  <c r="C131" i="8"/>
  <c r="D131" i="8" s="1"/>
  <c r="L130" i="8"/>
  <c r="F130" i="8"/>
  <c r="C130" i="8"/>
  <c r="D130" i="8" s="1"/>
  <c r="F129" i="8"/>
  <c r="C129" i="8"/>
  <c r="D129" i="8" s="1"/>
  <c r="F128" i="8"/>
  <c r="C128" i="8"/>
  <c r="D128" i="8" s="1"/>
  <c r="F127" i="8"/>
  <c r="C127" i="8"/>
  <c r="D127" i="8" s="1"/>
  <c r="F126" i="8"/>
  <c r="C126" i="8"/>
  <c r="D126" i="8" s="1"/>
  <c r="F125" i="8"/>
  <c r="C125" i="8"/>
  <c r="D125" i="8" s="1"/>
  <c r="F124" i="8"/>
  <c r="C124" i="8"/>
  <c r="D124" i="8" s="1"/>
  <c r="F123" i="8"/>
  <c r="C123" i="8"/>
  <c r="D123" i="8" s="1"/>
  <c r="F122" i="8"/>
  <c r="C122" i="8"/>
  <c r="D122" i="8" s="1"/>
  <c r="F121" i="8"/>
  <c r="C121" i="8"/>
  <c r="D121" i="8" s="1"/>
  <c r="F120" i="8"/>
  <c r="C120" i="8"/>
  <c r="D120" i="8" s="1"/>
  <c r="F119" i="8"/>
  <c r="C119" i="8"/>
  <c r="D119" i="8" s="1"/>
  <c r="F118" i="8"/>
  <c r="C118" i="8"/>
  <c r="D118" i="8" s="1"/>
  <c r="F117" i="8"/>
  <c r="C117" i="8"/>
  <c r="D117" i="8" s="1"/>
  <c r="F116" i="8"/>
  <c r="C116" i="8"/>
  <c r="D116" i="8" s="1"/>
  <c r="F115" i="8"/>
  <c r="C115" i="8"/>
  <c r="D115" i="8" s="1"/>
  <c r="F114" i="8"/>
  <c r="C114" i="8"/>
  <c r="D114" i="8" s="1"/>
  <c r="F113" i="8"/>
  <c r="C113" i="8"/>
  <c r="D113" i="8" s="1"/>
  <c r="F112" i="8"/>
  <c r="C112" i="8"/>
  <c r="D112" i="8" s="1"/>
  <c r="F111" i="8"/>
  <c r="C111" i="8"/>
  <c r="D111" i="8" s="1"/>
  <c r="M110" i="8"/>
  <c r="F110" i="8"/>
  <c r="C110" i="8"/>
  <c r="D110" i="8" s="1"/>
  <c r="F109" i="8"/>
  <c r="C109" i="8"/>
  <c r="D109" i="8" s="1"/>
  <c r="F108" i="8"/>
  <c r="C108" i="8"/>
  <c r="D108" i="8" s="1"/>
  <c r="F107" i="8"/>
  <c r="C107" i="8"/>
  <c r="D107" i="8" s="1"/>
  <c r="F106" i="8"/>
  <c r="C106" i="8"/>
  <c r="D106" i="8" s="1"/>
  <c r="F105" i="8"/>
  <c r="C105" i="8"/>
  <c r="D105" i="8" s="1"/>
  <c r="F104" i="8"/>
  <c r="C104" i="8"/>
  <c r="D104" i="8" s="1"/>
  <c r="F103" i="8"/>
  <c r="C103" i="8"/>
  <c r="D103" i="8" s="1"/>
  <c r="F102" i="8"/>
  <c r="C102" i="8"/>
  <c r="D102" i="8" s="1"/>
  <c r="F101" i="8"/>
  <c r="C101" i="8"/>
  <c r="D101" i="8" s="1"/>
  <c r="F100" i="8"/>
  <c r="C100" i="8"/>
  <c r="D100" i="8" s="1"/>
  <c r="F99" i="8"/>
  <c r="C99" i="8"/>
  <c r="D99" i="8" s="1"/>
  <c r="F98" i="8"/>
  <c r="C98" i="8"/>
  <c r="D98" i="8" s="1"/>
  <c r="F97" i="8"/>
  <c r="C97" i="8"/>
  <c r="D97" i="8" s="1"/>
  <c r="F96" i="8"/>
  <c r="C96" i="8"/>
  <c r="D96" i="8" s="1"/>
  <c r="F95" i="8"/>
  <c r="C95" i="8"/>
  <c r="D95" i="8" s="1"/>
  <c r="F94" i="8"/>
  <c r="C94" i="8"/>
  <c r="D94" i="8" s="1"/>
  <c r="F93" i="8"/>
  <c r="C93" i="8"/>
  <c r="D93" i="8" s="1"/>
  <c r="F92" i="8"/>
  <c r="C92" i="8"/>
  <c r="D92" i="8" s="1"/>
  <c r="F91" i="8"/>
  <c r="C91" i="8"/>
  <c r="D91" i="8" s="1"/>
  <c r="F90" i="8"/>
  <c r="C90" i="8"/>
  <c r="D90" i="8" s="1"/>
  <c r="F89" i="8"/>
  <c r="C89" i="8"/>
  <c r="D89" i="8" s="1"/>
  <c r="F88" i="8"/>
  <c r="C88" i="8"/>
  <c r="D88" i="8" s="1"/>
  <c r="F87" i="8"/>
  <c r="C87" i="8"/>
  <c r="D87" i="8" s="1"/>
  <c r="F86" i="8"/>
  <c r="C86" i="8"/>
  <c r="D86" i="8" s="1"/>
  <c r="F85" i="8"/>
  <c r="C85" i="8"/>
  <c r="D85" i="8" s="1"/>
  <c r="F84" i="8"/>
  <c r="C84" i="8"/>
  <c r="D84" i="8" s="1"/>
  <c r="F83" i="8"/>
  <c r="C83" i="8"/>
  <c r="D83" i="8" s="1"/>
  <c r="F82" i="8"/>
  <c r="C82" i="8"/>
  <c r="D82" i="8" s="1"/>
  <c r="F81" i="8"/>
  <c r="C81" i="8"/>
  <c r="D81" i="8" s="1"/>
  <c r="F80" i="8"/>
  <c r="C80" i="8"/>
  <c r="D80" i="8" s="1"/>
  <c r="F79" i="8"/>
  <c r="C79" i="8"/>
  <c r="D79" i="8" s="1"/>
  <c r="F78" i="8"/>
  <c r="C78" i="8"/>
  <c r="D78" i="8" s="1"/>
  <c r="F77" i="8"/>
  <c r="C77" i="8"/>
  <c r="D77" i="8" s="1"/>
  <c r="F76" i="8"/>
  <c r="C76" i="8"/>
  <c r="D76" i="8" s="1"/>
  <c r="F75" i="8"/>
  <c r="C75" i="8"/>
  <c r="D75" i="8" s="1"/>
  <c r="F74" i="8"/>
  <c r="C74" i="8"/>
  <c r="D74" i="8" s="1"/>
  <c r="F73" i="8"/>
  <c r="C73" i="8"/>
  <c r="D73" i="8" s="1"/>
  <c r="F72" i="8"/>
  <c r="C72" i="8"/>
  <c r="D72" i="8" s="1"/>
  <c r="M71" i="8"/>
  <c r="N71" i="8" s="1"/>
  <c r="O71" i="8" s="1"/>
  <c r="F71" i="8"/>
  <c r="C71" i="8"/>
  <c r="D71" i="8" s="1"/>
  <c r="M70" i="8"/>
  <c r="N70" i="8" s="1"/>
  <c r="O70" i="8" s="1"/>
  <c r="F70" i="8"/>
  <c r="C70" i="8"/>
  <c r="D70" i="8" s="1"/>
  <c r="M69" i="8"/>
  <c r="N69" i="8" s="1"/>
  <c r="O69" i="8" s="1"/>
  <c r="F69" i="8"/>
  <c r="C69" i="8"/>
  <c r="D69" i="8" s="1"/>
  <c r="M68" i="8"/>
  <c r="N68" i="8" s="1"/>
  <c r="O68" i="8" s="1"/>
  <c r="F68" i="8"/>
  <c r="C68" i="8"/>
  <c r="D68" i="8" s="1"/>
  <c r="M67" i="8"/>
  <c r="N67" i="8" s="1"/>
  <c r="O67" i="8" s="1"/>
  <c r="F67" i="8"/>
  <c r="C67" i="8"/>
  <c r="D67" i="8" s="1"/>
  <c r="M66" i="8"/>
  <c r="N66" i="8" s="1"/>
  <c r="O66" i="8" s="1"/>
  <c r="F66" i="8"/>
  <c r="C66" i="8"/>
  <c r="D66" i="8" s="1"/>
  <c r="M65" i="8"/>
  <c r="N65" i="8" s="1"/>
  <c r="O65" i="8" s="1"/>
  <c r="F65" i="8"/>
  <c r="C65" i="8"/>
  <c r="D65" i="8" s="1"/>
  <c r="M64" i="8"/>
  <c r="N64" i="8" s="1"/>
  <c r="O64" i="8" s="1"/>
  <c r="F64" i="8"/>
  <c r="C64" i="8"/>
  <c r="D64" i="8" s="1"/>
  <c r="M63" i="8"/>
  <c r="N63" i="8" s="1"/>
  <c r="O63" i="8" s="1"/>
  <c r="F63" i="8"/>
  <c r="C63" i="8"/>
  <c r="D63" i="8" s="1"/>
  <c r="M62" i="8"/>
  <c r="N62" i="8" s="1"/>
  <c r="O62" i="8" s="1"/>
  <c r="F62" i="8"/>
  <c r="C62" i="8"/>
  <c r="D62" i="8" s="1"/>
  <c r="M61" i="8"/>
  <c r="N61" i="8" s="1"/>
  <c r="O61" i="8" s="1"/>
  <c r="F61" i="8"/>
  <c r="C61" i="8"/>
  <c r="D61" i="8" s="1"/>
  <c r="F60" i="8"/>
  <c r="C60" i="8"/>
  <c r="D60" i="8" s="1"/>
  <c r="F59" i="8"/>
  <c r="C59" i="8"/>
  <c r="D59" i="8" s="1"/>
  <c r="F58" i="8"/>
  <c r="C58" i="8"/>
  <c r="D58" i="8" s="1"/>
  <c r="F57" i="8"/>
  <c r="C57" i="8"/>
  <c r="D57" i="8" s="1"/>
  <c r="F56" i="8"/>
  <c r="C56" i="8"/>
  <c r="D56" i="8" s="1"/>
  <c r="F55" i="8"/>
  <c r="C55" i="8"/>
  <c r="D55" i="8" s="1"/>
  <c r="F54" i="8"/>
  <c r="C54" i="8"/>
  <c r="D54" i="8" s="1"/>
  <c r="F53" i="8"/>
  <c r="C53" i="8"/>
  <c r="D53" i="8" s="1"/>
  <c r="F52" i="8"/>
  <c r="C52" i="8"/>
  <c r="D52" i="8" s="1"/>
  <c r="F51" i="8"/>
  <c r="C51" i="8"/>
  <c r="D51" i="8" s="1"/>
  <c r="F50" i="8"/>
  <c r="C50" i="8"/>
  <c r="D50" i="8" s="1"/>
  <c r="F49" i="8"/>
  <c r="C49" i="8"/>
  <c r="D49" i="8" s="1"/>
  <c r="F48" i="8"/>
  <c r="C48" i="8"/>
  <c r="D48" i="8" s="1"/>
  <c r="F47" i="8"/>
  <c r="C47" i="8"/>
  <c r="D47" i="8" s="1"/>
  <c r="F46" i="8"/>
  <c r="C46" i="8"/>
  <c r="D46" i="8" s="1"/>
  <c r="F45" i="8"/>
  <c r="C45" i="8"/>
  <c r="D45" i="8" s="1"/>
  <c r="F44" i="8"/>
  <c r="C44" i="8"/>
  <c r="D44" i="8" s="1"/>
  <c r="F43" i="8"/>
  <c r="C43" i="8"/>
  <c r="D43" i="8" s="1"/>
  <c r="F42" i="8"/>
  <c r="C42" i="8"/>
  <c r="D42" i="8" s="1"/>
  <c r="F41" i="8"/>
  <c r="C41" i="8"/>
  <c r="D41" i="8" s="1"/>
  <c r="F40" i="8"/>
  <c r="C40" i="8"/>
  <c r="D40" i="8" s="1"/>
  <c r="F39" i="8"/>
  <c r="C39" i="8"/>
  <c r="D39" i="8" s="1"/>
  <c r="F38" i="8"/>
  <c r="C38" i="8"/>
  <c r="D38" i="8" s="1"/>
  <c r="F37" i="8"/>
  <c r="C37" i="8"/>
  <c r="D37" i="8" s="1"/>
  <c r="F36" i="8"/>
  <c r="C36" i="8"/>
  <c r="D36" i="8" s="1"/>
  <c r="F35" i="8"/>
  <c r="C35" i="8"/>
  <c r="D35" i="8" s="1"/>
  <c r="F34" i="8"/>
  <c r="C34" i="8"/>
  <c r="D34" i="8" s="1"/>
  <c r="F33" i="8"/>
  <c r="C33" i="8"/>
  <c r="D33" i="8" s="1"/>
  <c r="F32" i="8"/>
  <c r="C32" i="8"/>
  <c r="D32" i="8" s="1"/>
  <c r="F31" i="8"/>
  <c r="C31" i="8"/>
  <c r="D31" i="8" s="1"/>
  <c r="F30" i="8"/>
  <c r="C30" i="8"/>
  <c r="D30" i="8" s="1"/>
  <c r="L29" i="8"/>
  <c r="M29" i="8" s="1"/>
  <c r="N29" i="8" s="1"/>
  <c r="F29" i="8"/>
  <c r="C29" i="8"/>
  <c r="D29" i="8" s="1"/>
  <c r="L28" i="8"/>
  <c r="F28" i="8"/>
  <c r="C28" i="8"/>
  <c r="D28" i="8" s="1"/>
  <c r="L27" i="8"/>
  <c r="F27" i="8"/>
  <c r="C27" i="8"/>
  <c r="D27" i="8" s="1"/>
  <c r="L26" i="8"/>
  <c r="F26" i="8"/>
  <c r="C26" i="8"/>
  <c r="D26" i="8" s="1"/>
  <c r="L25" i="8"/>
  <c r="F25" i="8"/>
  <c r="C25" i="8"/>
  <c r="D25" i="8" s="1"/>
  <c r="L24" i="8"/>
  <c r="F24" i="8"/>
  <c r="C24" i="8"/>
  <c r="D24" i="8" s="1"/>
  <c r="L23" i="8"/>
  <c r="F23" i="8"/>
  <c r="C23" i="8"/>
  <c r="D23" i="8" s="1"/>
  <c r="L22" i="8"/>
  <c r="M22" i="8" s="1"/>
  <c r="N22" i="8" s="1"/>
  <c r="F22" i="8"/>
  <c r="C22" i="8"/>
  <c r="D22" i="8" s="1"/>
  <c r="F21" i="8"/>
  <c r="C21" i="8"/>
  <c r="D21" i="8" s="1"/>
  <c r="F20" i="8"/>
  <c r="C20" i="8"/>
  <c r="D20" i="8" s="1"/>
  <c r="F19" i="8"/>
  <c r="C19" i="8"/>
  <c r="D19" i="8" s="1"/>
  <c r="F18" i="8"/>
  <c r="C18" i="8"/>
  <c r="D18" i="8" s="1"/>
  <c r="F17" i="8"/>
  <c r="C17" i="8"/>
  <c r="D17" i="8" s="1"/>
  <c r="F16" i="8"/>
  <c r="C16" i="8"/>
  <c r="D16" i="8" s="1"/>
  <c r="F15" i="8"/>
  <c r="C15" i="8"/>
  <c r="D15" i="8" s="1"/>
  <c r="F14" i="8"/>
  <c r="C14" i="8"/>
  <c r="D14" i="8" s="1"/>
  <c r="F13" i="8"/>
  <c r="C13" i="8"/>
  <c r="D13" i="8" s="1"/>
  <c r="F12" i="8"/>
  <c r="C12" i="8"/>
  <c r="D12" i="8" s="1"/>
  <c r="F11" i="8"/>
  <c r="C11" i="8"/>
  <c r="D11" i="8" s="1"/>
  <c r="F10" i="8"/>
  <c r="C10" i="8"/>
  <c r="D10" i="8" s="1"/>
  <c r="F9" i="8"/>
  <c r="C9" i="8"/>
  <c r="D9" i="8" s="1"/>
  <c r="F8" i="8"/>
  <c r="C8" i="8"/>
  <c r="D8" i="8" s="1"/>
  <c r="F7" i="8"/>
  <c r="C7" i="8"/>
  <c r="D7" i="8" s="1"/>
  <c r="F6" i="8"/>
  <c r="C6" i="8"/>
  <c r="D6" i="8" s="1"/>
  <c r="F5" i="8"/>
  <c r="C5" i="8"/>
  <c r="D5" i="8" s="1"/>
  <c r="F4" i="8"/>
  <c r="C4" i="8"/>
  <c r="D4" i="8" s="1"/>
  <c r="F3" i="8"/>
  <c r="C3" i="8"/>
  <c r="D3" i="8" s="1"/>
  <c r="E26" i="9"/>
  <c r="D26" i="9"/>
  <c r="D25" i="9"/>
  <c r="E25" i="9" s="1"/>
  <c r="E24" i="9"/>
  <c r="D24" i="9"/>
  <c r="D23" i="9"/>
  <c r="E23" i="9" s="1"/>
  <c r="O22" i="9"/>
  <c r="Q22" i="9" s="1"/>
  <c r="R22" i="9" s="1"/>
  <c r="E22" i="9"/>
  <c r="D22" i="9"/>
  <c r="D21" i="9"/>
  <c r="E21" i="9" s="1"/>
  <c r="E20" i="9"/>
  <c r="D20" i="9"/>
  <c r="D19" i="9"/>
  <c r="E19" i="9" s="1"/>
  <c r="E18" i="9"/>
  <c r="D18" i="9"/>
  <c r="D17" i="9"/>
  <c r="E17" i="9" s="1"/>
  <c r="M16" i="9"/>
  <c r="D16" i="9"/>
  <c r="E16" i="9" s="1"/>
  <c r="D15" i="9"/>
  <c r="E15" i="9" s="1"/>
  <c r="D14" i="9"/>
  <c r="E14" i="9" s="1"/>
  <c r="D13" i="9"/>
  <c r="E13" i="9" s="1"/>
  <c r="D12" i="9"/>
  <c r="E12" i="9" s="1"/>
  <c r="D11" i="9"/>
  <c r="E11" i="9" s="1"/>
  <c r="G10" i="9"/>
  <c r="E10" i="9"/>
  <c r="D10" i="9"/>
  <c r="G9" i="9"/>
  <c r="D9" i="9"/>
  <c r="E9" i="9" s="1"/>
  <c r="G8" i="9"/>
  <c r="D8" i="9"/>
  <c r="E8" i="9" s="1"/>
  <c r="G7" i="9"/>
  <c r="D7" i="9"/>
  <c r="E7" i="9" s="1"/>
  <c r="G6" i="9"/>
  <c r="E6" i="9"/>
  <c r="D6" i="9"/>
  <c r="G5" i="9"/>
  <c r="D5" i="9"/>
  <c r="E5" i="9" s="1"/>
  <c r="G4" i="9"/>
  <c r="D4" i="9"/>
  <c r="E4" i="9" s="1"/>
  <c r="G3" i="9"/>
  <c r="D3" i="9"/>
  <c r="E3" i="9" s="1"/>
  <c r="G2" i="9"/>
  <c r="E2" i="9"/>
  <c r="D2" i="9"/>
  <c r="G161" i="6"/>
  <c r="D161" i="6"/>
  <c r="E161" i="6" s="1"/>
  <c r="G160" i="6"/>
  <c r="D160" i="6"/>
  <c r="E160" i="6" s="1"/>
  <c r="G159" i="6"/>
  <c r="D159" i="6"/>
  <c r="E159" i="6" s="1"/>
  <c r="G158" i="6"/>
  <c r="D158" i="6"/>
  <c r="E158" i="6" s="1"/>
  <c r="G157" i="6"/>
  <c r="D157" i="6"/>
  <c r="E157" i="6" s="1"/>
  <c r="D156" i="6"/>
  <c r="E156" i="6" s="1"/>
  <c r="G155" i="6"/>
  <c r="D155" i="6"/>
  <c r="E155" i="6" s="1"/>
  <c r="G154" i="6"/>
  <c r="D154" i="6"/>
  <c r="E154" i="6" s="1"/>
  <c r="G153" i="6"/>
  <c r="D153" i="6"/>
  <c r="E153" i="6" s="1"/>
  <c r="D152" i="6"/>
  <c r="E152" i="6" s="1"/>
  <c r="G151" i="6"/>
  <c r="D151" i="6"/>
  <c r="E151" i="6" s="1"/>
  <c r="G150" i="6"/>
  <c r="D150" i="6"/>
  <c r="E150" i="6" s="1"/>
  <c r="G149" i="6"/>
  <c r="D149" i="6"/>
  <c r="E149" i="6" s="1"/>
  <c r="G148" i="6"/>
  <c r="D148" i="6"/>
  <c r="E148" i="6" s="1"/>
  <c r="G147" i="6"/>
  <c r="D147" i="6"/>
  <c r="E147" i="6" s="1"/>
  <c r="G146" i="6"/>
  <c r="D146" i="6"/>
  <c r="E146" i="6" s="1"/>
  <c r="M145" i="6"/>
  <c r="G145" i="6"/>
  <c r="D145" i="6"/>
  <c r="E145" i="6" s="1"/>
  <c r="G144" i="6"/>
  <c r="D144" i="6"/>
  <c r="E144" i="6" s="1"/>
  <c r="G143" i="6"/>
  <c r="D143" i="6"/>
  <c r="E143" i="6" s="1"/>
  <c r="G142" i="6"/>
  <c r="D142" i="6"/>
  <c r="E142" i="6" s="1"/>
  <c r="G141" i="6"/>
  <c r="D141" i="6"/>
  <c r="E141" i="6" s="1"/>
  <c r="G140" i="6"/>
  <c r="D140" i="6"/>
  <c r="E140" i="6" s="1"/>
  <c r="G139" i="6"/>
  <c r="D139" i="6"/>
  <c r="E139" i="6" s="1"/>
  <c r="G138" i="6"/>
  <c r="D138" i="6"/>
  <c r="E138" i="6" s="1"/>
  <c r="G137" i="6"/>
  <c r="D137" i="6"/>
  <c r="E137" i="6" s="1"/>
  <c r="G136" i="6"/>
  <c r="D136" i="6"/>
  <c r="E136" i="6" s="1"/>
  <c r="G135" i="6"/>
  <c r="D135" i="6"/>
  <c r="E135" i="6" s="1"/>
  <c r="G134" i="6"/>
  <c r="D134" i="6"/>
  <c r="E134" i="6" s="1"/>
  <c r="G133" i="6"/>
  <c r="D133" i="6"/>
  <c r="E133" i="6" s="1"/>
  <c r="G132" i="6"/>
  <c r="D132" i="6"/>
  <c r="E132" i="6" s="1"/>
  <c r="G131" i="6"/>
  <c r="D131" i="6"/>
  <c r="E131" i="6" s="1"/>
  <c r="G130" i="6"/>
  <c r="D130" i="6"/>
  <c r="E130" i="6" s="1"/>
  <c r="G129" i="6"/>
  <c r="D129" i="6"/>
  <c r="E129" i="6" s="1"/>
  <c r="G128" i="6"/>
  <c r="D128" i="6"/>
  <c r="E128" i="6" s="1"/>
  <c r="O127" i="6"/>
  <c r="G127" i="6"/>
  <c r="D127" i="6"/>
  <c r="E127" i="6" s="1"/>
  <c r="G126" i="6"/>
  <c r="D126" i="6"/>
  <c r="E126" i="6" s="1"/>
  <c r="G125" i="6"/>
  <c r="D125" i="6"/>
  <c r="E125" i="6" s="1"/>
  <c r="Y124" i="6"/>
  <c r="Z124" i="6" s="1"/>
  <c r="S124" i="6"/>
  <c r="N124" i="6"/>
  <c r="O124" i="6" s="1"/>
  <c r="G124" i="6"/>
  <c r="D124" i="6"/>
  <c r="E124" i="6" s="1"/>
  <c r="G123" i="6"/>
  <c r="D123" i="6"/>
  <c r="E123" i="6" s="1"/>
  <c r="G122" i="6"/>
  <c r="D122" i="6"/>
  <c r="E122" i="6" s="1"/>
  <c r="G121" i="6"/>
  <c r="D121" i="6"/>
  <c r="E121" i="6" s="1"/>
  <c r="G120" i="6"/>
  <c r="D120" i="6"/>
  <c r="E120" i="6" s="1"/>
  <c r="G119" i="6"/>
  <c r="D119" i="6"/>
  <c r="E119" i="6" s="1"/>
  <c r="G118" i="6"/>
  <c r="D118" i="6"/>
  <c r="E118" i="6" s="1"/>
  <c r="G117" i="6"/>
  <c r="D117" i="6"/>
  <c r="E117" i="6" s="1"/>
  <c r="G116" i="6"/>
  <c r="D116" i="6"/>
  <c r="E116" i="6" s="1"/>
  <c r="G115" i="6"/>
  <c r="D115" i="6"/>
  <c r="E115" i="6" s="1"/>
  <c r="G114" i="6"/>
  <c r="D114" i="6"/>
  <c r="E114" i="6" s="1"/>
  <c r="G113" i="6"/>
  <c r="D113" i="6"/>
  <c r="E113" i="6" s="1"/>
  <c r="G112" i="6"/>
  <c r="D112" i="6"/>
  <c r="E112" i="6" s="1"/>
  <c r="G111" i="6"/>
  <c r="D111" i="6"/>
  <c r="E111" i="6" s="1"/>
  <c r="G110" i="6"/>
  <c r="D110" i="6"/>
  <c r="E110" i="6" s="1"/>
  <c r="G109" i="6"/>
  <c r="E109" i="6"/>
  <c r="D109" i="6"/>
  <c r="G108" i="6"/>
  <c r="D108" i="6"/>
  <c r="E108" i="6" s="1"/>
  <c r="G107" i="6"/>
  <c r="D107" i="6"/>
  <c r="E107" i="6" s="1"/>
  <c r="G106" i="6"/>
  <c r="D106" i="6"/>
  <c r="E106" i="6" s="1"/>
  <c r="G105" i="6"/>
  <c r="D105" i="6"/>
  <c r="E105" i="6" s="1"/>
  <c r="G104" i="6"/>
  <c r="D104" i="6"/>
  <c r="E104" i="6" s="1"/>
  <c r="G103" i="6"/>
  <c r="D103" i="6"/>
  <c r="E103" i="6" s="1"/>
  <c r="G102" i="6"/>
  <c r="D102" i="6"/>
  <c r="E102" i="6" s="1"/>
  <c r="G101" i="6"/>
  <c r="D101" i="6"/>
  <c r="E101" i="6" s="1"/>
  <c r="G100" i="6"/>
  <c r="D100" i="6"/>
  <c r="E100" i="6" s="1"/>
  <c r="G99" i="6"/>
  <c r="D99" i="6"/>
  <c r="E99" i="6" s="1"/>
  <c r="G98" i="6"/>
  <c r="D98" i="6"/>
  <c r="E98" i="6" s="1"/>
  <c r="G97" i="6"/>
  <c r="D97" i="6"/>
  <c r="E97" i="6" s="1"/>
  <c r="G96" i="6"/>
  <c r="D96" i="6"/>
  <c r="E96" i="6" s="1"/>
  <c r="G95" i="6"/>
  <c r="D95" i="6"/>
  <c r="E95" i="6" s="1"/>
  <c r="G94" i="6"/>
  <c r="D94" i="6"/>
  <c r="E94" i="6" s="1"/>
  <c r="G93" i="6"/>
  <c r="E93" i="6"/>
  <c r="D93" i="6"/>
  <c r="G92" i="6"/>
  <c r="D92" i="6"/>
  <c r="E92" i="6" s="1"/>
  <c r="G91" i="6"/>
  <c r="D91" i="6"/>
  <c r="E91" i="6" s="1"/>
  <c r="G90" i="6"/>
  <c r="D90" i="6"/>
  <c r="E90" i="6" s="1"/>
  <c r="G89" i="6"/>
  <c r="D89" i="6"/>
  <c r="E89" i="6" s="1"/>
  <c r="G88" i="6"/>
  <c r="D88" i="6"/>
  <c r="E88" i="6" s="1"/>
  <c r="G87" i="6"/>
  <c r="D87" i="6"/>
  <c r="E87" i="6" s="1"/>
  <c r="G86" i="6"/>
  <c r="D86" i="6"/>
  <c r="E86" i="6" s="1"/>
  <c r="G85" i="6"/>
  <c r="D85" i="6"/>
  <c r="E85" i="6" s="1"/>
  <c r="G84" i="6"/>
  <c r="D84" i="6"/>
  <c r="E84" i="6" s="1"/>
  <c r="G83" i="6"/>
  <c r="D83" i="6"/>
  <c r="E83" i="6" s="1"/>
  <c r="G82" i="6"/>
  <c r="D82" i="6"/>
  <c r="E82" i="6" s="1"/>
  <c r="G81" i="6"/>
  <c r="E81" i="6"/>
  <c r="D81" i="6"/>
  <c r="G80" i="6"/>
  <c r="D80" i="6"/>
  <c r="E80" i="6" s="1"/>
  <c r="G79" i="6"/>
  <c r="D79" i="6"/>
  <c r="E79" i="6" s="1"/>
  <c r="D78" i="6"/>
  <c r="E78" i="6" s="1"/>
  <c r="G77" i="6"/>
  <c r="D77" i="6"/>
  <c r="E77" i="6" s="1"/>
  <c r="G76" i="6"/>
  <c r="D76" i="6"/>
  <c r="E76" i="6" s="1"/>
  <c r="G75" i="6"/>
  <c r="D75" i="6"/>
  <c r="E75" i="6" s="1"/>
  <c r="G74" i="6"/>
  <c r="E74" i="6"/>
  <c r="D74" i="6"/>
  <c r="G73" i="6"/>
  <c r="D73" i="6"/>
  <c r="E73" i="6" s="1"/>
  <c r="G72" i="6"/>
  <c r="D72" i="6"/>
  <c r="E72" i="6" s="1"/>
  <c r="G71" i="6"/>
  <c r="D71" i="6"/>
  <c r="E71" i="6" s="1"/>
  <c r="G70" i="6"/>
  <c r="D70" i="6"/>
  <c r="E70" i="6" s="1"/>
  <c r="G69" i="6"/>
  <c r="D69" i="6"/>
  <c r="E69" i="6" s="1"/>
  <c r="G68" i="6"/>
  <c r="D68" i="6"/>
  <c r="E68" i="6" s="1"/>
  <c r="G67" i="6"/>
  <c r="D67" i="6"/>
  <c r="E67" i="6" s="1"/>
  <c r="G66" i="6"/>
  <c r="D66" i="6"/>
  <c r="E66" i="6" s="1"/>
  <c r="G65" i="6"/>
  <c r="D65" i="6"/>
  <c r="E65" i="6" s="1"/>
  <c r="H64" i="6"/>
  <c r="G64" i="6"/>
  <c r="D64" i="6"/>
  <c r="E64" i="6" s="1"/>
  <c r="H63" i="6"/>
  <c r="G63" i="6"/>
  <c r="D63" i="6"/>
  <c r="E63" i="6" s="1"/>
  <c r="G62" i="6"/>
  <c r="D62" i="6"/>
  <c r="E62" i="6" s="1"/>
  <c r="G61" i="6"/>
  <c r="D61" i="6"/>
  <c r="E61" i="6" s="1"/>
  <c r="G60" i="6"/>
  <c r="D60" i="6"/>
  <c r="E60" i="6" s="1"/>
  <c r="G59" i="6"/>
  <c r="D59" i="6"/>
  <c r="E59" i="6" s="1"/>
  <c r="G58" i="6"/>
  <c r="E58" i="6"/>
  <c r="D58" i="6"/>
  <c r="G57" i="6"/>
  <c r="D57" i="6"/>
  <c r="E57" i="6" s="1"/>
  <c r="G56" i="6"/>
  <c r="D56" i="6"/>
  <c r="E56" i="6" s="1"/>
  <c r="G55" i="6"/>
  <c r="D55" i="6"/>
  <c r="E55" i="6" s="1"/>
  <c r="G54" i="6"/>
  <c r="F54" i="6"/>
  <c r="D54" i="6"/>
  <c r="E54" i="6" s="1"/>
  <c r="G53" i="6"/>
  <c r="D53" i="6"/>
  <c r="E53" i="6" s="1"/>
  <c r="G52" i="6"/>
  <c r="D52" i="6"/>
  <c r="E52" i="6" s="1"/>
  <c r="G51" i="6"/>
  <c r="E51" i="6"/>
  <c r="D51" i="6"/>
  <c r="G50" i="6"/>
  <c r="D50" i="6"/>
  <c r="E50" i="6" s="1"/>
  <c r="G49" i="6"/>
  <c r="D49" i="6"/>
  <c r="E49" i="6" s="1"/>
  <c r="G48" i="6"/>
  <c r="D48" i="6"/>
  <c r="E48" i="6" s="1"/>
  <c r="F47" i="6"/>
  <c r="G47" i="6" s="1"/>
  <c r="D47" i="6"/>
  <c r="E47" i="6" s="1"/>
  <c r="G46" i="6"/>
  <c r="F46" i="6"/>
  <c r="D46" i="6"/>
  <c r="E46" i="6" s="1"/>
  <c r="H45" i="6"/>
  <c r="G45" i="6"/>
  <c r="D45" i="6"/>
  <c r="E45" i="6" s="1"/>
  <c r="H44" i="6"/>
  <c r="G44" i="6"/>
  <c r="D44" i="6"/>
  <c r="E44" i="6" s="1"/>
  <c r="H43" i="6"/>
  <c r="G43" i="6"/>
  <c r="D43" i="6"/>
  <c r="E43" i="6" s="1"/>
  <c r="G42" i="6"/>
  <c r="D42" i="6"/>
  <c r="E42" i="6" s="1"/>
  <c r="G41" i="6"/>
  <c r="D41" i="6"/>
  <c r="E41" i="6" s="1"/>
  <c r="G40" i="6"/>
  <c r="D40" i="6"/>
  <c r="E40" i="6" s="1"/>
  <c r="G39" i="6"/>
  <c r="D39" i="6"/>
  <c r="E39" i="6" s="1"/>
  <c r="G38" i="6"/>
  <c r="D38" i="6"/>
  <c r="E38" i="6" s="1"/>
  <c r="G37" i="6"/>
  <c r="D37" i="6"/>
  <c r="E37" i="6" s="1"/>
  <c r="G36" i="6"/>
  <c r="D36" i="6"/>
  <c r="E36" i="6" s="1"/>
  <c r="G35" i="6"/>
  <c r="D35" i="6"/>
  <c r="E35" i="6" s="1"/>
  <c r="G34" i="6"/>
  <c r="E34" i="6"/>
  <c r="D34" i="6"/>
  <c r="G33" i="6"/>
  <c r="D33" i="6"/>
  <c r="E33" i="6" s="1"/>
  <c r="G32" i="6"/>
  <c r="D32" i="6"/>
  <c r="E32" i="6" s="1"/>
  <c r="G31" i="6"/>
  <c r="D31" i="6"/>
  <c r="E31" i="6" s="1"/>
  <c r="G30" i="6"/>
  <c r="D30" i="6"/>
  <c r="E30" i="6" s="1"/>
  <c r="G29" i="6"/>
  <c r="D29" i="6"/>
  <c r="E29" i="6" s="1"/>
  <c r="G28" i="6"/>
  <c r="D28" i="6"/>
  <c r="E28" i="6" s="1"/>
  <c r="G27" i="6"/>
  <c r="D27" i="6"/>
  <c r="E27" i="6" s="1"/>
  <c r="G26" i="6"/>
  <c r="D26" i="6"/>
  <c r="E26" i="6" s="1"/>
  <c r="F25" i="6"/>
  <c r="G25" i="6" s="1"/>
  <c r="D25" i="6"/>
  <c r="E25" i="6" s="1"/>
  <c r="H24" i="6"/>
  <c r="G24" i="6"/>
  <c r="D24" i="6"/>
  <c r="E24" i="6" s="1"/>
  <c r="H23" i="6"/>
  <c r="G23" i="6"/>
  <c r="D23" i="6"/>
  <c r="E23" i="6" s="1"/>
  <c r="G22" i="6"/>
  <c r="D22" i="6"/>
  <c r="E22" i="6" s="1"/>
  <c r="G21" i="6"/>
  <c r="E21" i="6"/>
  <c r="D21" i="6"/>
  <c r="G20" i="6"/>
  <c r="D20" i="6"/>
  <c r="E20" i="6" s="1"/>
  <c r="G19" i="6"/>
  <c r="D19" i="6"/>
  <c r="E19" i="6" s="1"/>
  <c r="D18" i="6"/>
  <c r="E18" i="6" s="1"/>
  <c r="C18" i="6"/>
  <c r="D17" i="6"/>
  <c r="E17" i="6" s="1"/>
  <c r="C17" i="6"/>
  <c r="G16" i="6"/>
  <c r="D16" i="6"/>
  <c r="E16" i="6" s="1"/>
  <c r="C16" i="6"/>
  <c r="G15" i="6"/>
  <c r="D15" i="6"/>
  <c r="E15" i="6" s="1"/>
  <c r="C15" i="6"/>
  <c r="G14" i="6"/>
  <c r="D14" i="6"/>
  <c r="E14" i="6" s="1"/>
  <c r="C14" i="6"/>
  <c r="G13" i="6"/>
  <c r="D13" i="6"/>
  <c r="E13" i="6" s="1"/>
  <c r="C13" i="6"/>
  <c r="G12" i="6"/>
  <c r="D12" i="6"/>
  <c r="E12" i="6" s="1"/>
  <c r="C12" i="6"/>
  <c r="G11" i="6"/>
  <c r="D11" i="6"/>
  <c r="E11" i="6" s="1"/>
  <c r="C11" i="6"/>
  <c r="H10" i="6"/>
  <c r="G10" i="6"/>
  <c r="D10" i="6"/>
  <c r="E10" i="6" s="1"/>
  <c r="C10" i="6"/>
  <c r="H9" i="6"/>
  <c r="G9" i="6"/>
  <c r="D9" i="6"/>
  <c r="E9" i="6" s="1"/>
  <c r="C9" i="6"/>
  <c r="H8" i="6"/>
  <c r="G8" i="6"/>
  <c r="D8" i="6"/>
  <c r="E8" i="6" s="1"/>
  <c r="C8" i="6"/>
  <c r="G7" i="6"/>
  <c r="D7" i="6"/>
  <c r="E7" i="6" s="1"/>
  <c r="C7" i="6"/>
  <c r="G6" i="6"/>
  <c r="D6" i="6"/>
  <c r="E6" i="6" s="1"/>
  <c r="C6" i="6"/>
  <c r="G5" i="6"/>
  <c r="D5" i="6"/>
  <c r="E5" i="6" s="1"/>
  <c r="C5" i="6"/>
  <c r="G4" i="6"/>
  <c r="D4" i="6"/>
  <c r="E4" i="6" s="1"/>
  <c r="C4" i="6"/>
  <c r="G3" i="6"/>
  <c r="D3" i="6"/>
  <c r="E3" i="6" s="1"/>
  <c r="C3" i="6"/>
  <c r="G2" i="6"/>
  <c r="D2" i="6"/>
  <c r="E2" i="6" s="1"/>
  <c r="C2" i="6"/>
  <c r="V124" i="6" l="1"/>
  <c r="S127" i="6"/>
  <c r="T127" i="6" s="1"/>
  <c r="M36" i="7"/>
  <c r="N36" i="7" s="1"/>
  <c r="M35" i="7"/>
  <c r="N35" i="7" s="1"/>
  <c r="T124" i="6"/>
  <c r="N110" i="8"/>
  <c r="O110" i="8" s="1"/>
  <c r="Q110" i="8" s="1"/>
  <c r="N16" i="9"/>
  <c r="O16" i="9" s="1"/>
  <c r="U124" i="6"/>
  <c r="O83" i="7"/>
  <c r="M28" i="8"/>
  <c r="N28" i="8" s="1"/>
  <c r="M26" i="8"/>
  <c r="N26" i="8" s="1"/>
  <c r="P124" i="6"/>
  <c r="M24" i="8"/>
  <c r="N24" i="8" s="1"/>
  <c r="M27" i="8"/>
  <c r="N27" i="8" s="1"/>
  <c r="M23" i="8"/>
  <c r="N23" i="8" s="1"/>
  <c r="M25" i="8"/>
  <c r="N25" i="8" s="1"/>
</calcChain>
</file>

<file path=xl/sharedStrings.xml><?xml version="1.0" encoding="utf-8"?>
<sst xmlns="http://schemas.openxmlformats.org/spreadsheetml/2006/main" count="658" uniqueCount="253">
  <si>
    <t>ML/s</t>
  </si>
  <si>
    <t>um/hr</t>
  </si>
  <si>
    <t xml:space="preserve">Temp (C) </t>
  </si>
  <si>
    <t>Temp (K)</t>
  </si>
  <si>
    <t>10000/T</t>
  </si>
  <si>
    <t>GR (ML/s)</t>
  </si>
  <si>
    <t>Ga Flux</t>
  </si>
  <si>
    <t>LN(Flux)</t>
  </si>
  <si>
    <t>In Flux</t>
  </si>
  <si>
    <t>Use to determine temperature &amp; expected fluxes</t>
  </si>
  <si>
    <t>Temp</t>
  </si>
  <si>
    <t>GR</t>
  </si>
  <si>
    <t>Flux</t>
  </si>
  <si>
    <t>Valve Position</t>
  </si>
  <si>
    <t>Date</t>
  </si>
  <si>
    <t>In GR (ML/s)</t>
  </si>
  <si>
    <t>Log(Flux)</t>
  </si>
  <si>
    <t>-</t>
  </si>
  <si>
    <t>As Base</t>
  </si>
  <si>
    <t>As Cracker</t>
  </si>
  <si>
    <t>Notes</t>
  </si>
  <si>
    <t>As species</t>
  </si>
  <si>
    <t xml:space="preserve">Base Temp (C) </t>
  </si>
  <si>
    <t>Tip Temp ©</t>
  </si>
  <si>
    <t>Flux (wait for BFM to stabilize)</t>
  </si>
  <si>
    <t>poor As uptake oscillations today</t>
  </si>
  <si>
    <t>Post bake</t>
  </si>
  <si>
    <t>T Cell</t>
  </si>
  <si>
    <t>Temp K</t>
  </si>
  <si>
    <t>Bi Flux</t>
  </si>
  <si>
    <t>Bake ended, melted and outgassed Bi cell to 600C before bake</t>
  </si>
  <si>
    <t>N2 parital pressure elevating with Bi temp, Pgc elevating and going noisy with Bi heating</t>
  </si>
  <si>
    <t>Temp (Tip)</t>
  </si>
  <si>
    <t>with Bi hot, so some N2 pp</t>
  </si>
  <si>
    <t>ML/s (GaAs)</t>
  </si>
  <si>
    <t>ML/s (InP)</t>
  </si>
  <si>
    <t>um/hr InP</t>
  </si>
  <si>
    <t>ML/s (InAs)</t>
  </si>
  <si>
    <t>A</t>
  </si>
  <si>
    <t>B</t>
  </si>
  <si>
    <t>C</t>
  </si>
  <si>
    <t>D</t>
  </si>
  <si>
    <t>Valve</t>
  </si>
  <si>
    <t>Group V Species</t>
  </si>
  <si>
    <t>As4</t>
  </si>
  <si>
    <t>N/A</t>
  </si>
  <si>
    <t>LN Flux</t>
  </si>
  <si>
    <t>BEP</t>
  </si>
  <si>
    <t>Rough As oscillations</t>
  </si>
  <si>
    <t xml:space="preserve">Need </t>
  </si>
  <si>
    <t>&gt;0.5ML/s</t>
  </si>
  <si>
    <t>&lt;0.5 ML/s</t>
  </si>
  <si>
    <t>Note flux from fit, not BFM</t>
  </si>
  <si>
    <t>Gr</t>
  </si>
  <si>
    <t>Good As oscillations</t>
  </si>
  <si>
    <t>11/16/2017</t>
  </si>
  <si>
    <t>509</t>
  </si>
  <si>
    <t>12/11/2017</t>
  </si>
  <si>
    <t>516</t>
  </si>
  <si>
    <t>12/15/2017</t>
  </si>
  <si>
    <t>518</t>
  </si>
  <si>
    <t>(approx)</t>
  </si>
  <si>
    <t>1/15/2018</t>
  </si>
  <si>
    <t>522</t>
  </si>
  <si>
    <t>&lt;0.13 ML/s</t>
  </si>
  <si>
    <t>2/27/2018</t>
  </si>
  <si>
    <t>\</t>
  </si>
  <si>
    <t>3/19/2018</t>
  </si>
  <si>
    <t>900C</t>
  </si>
  <si>
    <t xml:space="preserve">Flux </t>
  </si>
  <si>
    <t>VSb</t>
  </si>
  <si>
    <t>GR (Sb Uptake)</t>
  </si>
  <si>
    <t>Sb Base</t>
  </si>
  <si>
    <t>Sb Conductance</t>
  </si>
  <si>
    <t>Sb Tip</t>
  </si>
  <si>
    <t>Post bake, new source material</t>
  </si>
  <si>
    <t>After bake - previous entries are hidden</t>
  </si>
  <si>
    <t>Previous entries hidden</t>
  </si>
  <si>
    <t>After bake, previous entries hidden</t>
  </si>
  <si>
    <t>LN (flux)</t>
  </si>
  <si>
    <t>1/T</t>
  </si>
  <si>
    <t>After Bake</t>
  </si>
  <si>
    <t>9/11/2018</t>
  </si>
  <si>
    <t>um/hr GaAs</t>
  </si>
  <si>
    <t>um/hr INAs</t>
  </si>
  <si>
    <t>LN(flux)</t>
  </si>
  <si>
    <t>Ga flux</t>
  </si>
  <si>
    <t>Bi/Ga</t>
  </si>
  <si>
    <t>desired thickness</t>
  </si>
  <si>
    <t>time to grow in hours</t>
  </si>
  <si>
    <t>time in min</t>
  </si>
  <si>
    <t>GR (As Uptake) or stoichiometric point position</t>
  </si>
  <si>
    <t>12/14/2018</t>
  </si>
  <si>
    <t>ML/S</t>
  </si>
  <si>
    <t>Nm/S</t>
  </si>
  <si>
    <t>Time to Grow (s)</t>
  </si>
  <si>
    <t>Time to Grow (min)</t>
  </si>
  <si>
    <t/>
  </si>
  <si>
    <t>Sb Tip Temp ©</t>
  </si>
  <si>
    <t>questionable RIO, very noisey</t>
  </si>
  <si>
    <t>Note</t>
  </si>
  <si>
    <t>680 for 0.065</t>
  </si>
  <si>
    <t>675 for 0.057</t>
  </si>
  <si>
    <t>Temperature Track</t>
  </si>
  <si>
    <t>Tsub</t>
  </si>
  <si>
    <t>Tbb</t>
  </si>
  <si>
    <t>Expected Flux</t>
  </si>
  <si>
    <t>NOTE TO SELF - John Mc</t>
  </si>
  <si>
    <t>Display fit equation in sci. notation, 3 dec places</t>
  </si>
  <si>
    <t>ln</t>
  </si>
  <si>
    <t>Tbb_expected</t>
  </si>
  <si>
    <t>Tsub_Target</t>
  </si>
  <si>
    <t>Time for 500 nm</t>
  </si>
  <si>
    <t>Thickness</t>
  </si>
  <si>
    <t>Time for 100 nm (min)</t>
  </si>
  <si>
    <t>Bismide</t>
  </si>
  <si>
    <t>Buffer</t>
  </si>
  <si>
    <t>Maggie and John have not been taking and recording As BFM. They are bad people and they should feel bad</t>
  </si>
  <si>
    <t>Maggie and John have not been updating the BFM sheet. They are bad people and they should feel bad</t>
  </si>
  <si>
    <t>after bake, 20min stabilze at Vas=150 first</t>
  </si>
  <si>
    <t>after bake, much lower than prior to bake</t>
  </si>
  <si>
    <t>after bake, NOTE change to 150C tip/base difference</t>
  </si>
  <si>
    <t>As4:Ga Ratio for stoichiometric</t>
  </si>
  <si>
    <t>after bake, NOTE 150C tip base difference, V:III not good at this flux, recon swap happening</t>
  </si>
  <si>
    <t>very noisey RIO</t>
  </si>
  <si>
    <t>okay</t>
  </si>
  <si>
    <t>Previous entries are hidden</t>
  </si>
  <si>
    <t>V/III ratio</t>
  </si>
  <si>
    <t>Bi/Ga flux</t>
  </si>
  <si>
    <t>Bi fraction</t>
  </si>
  <si>
    <t>Bi frac</t>
  </si>
  <si>
    <t>Change in flux trend from previous growths</t>
  </si>
  <si>
    <t>1/24/2020</t>
  </si>
  <si>
    <t>High levels of N2 that track with Tip</t>
  </si>
  <si>
    <t>large N2 flux coming from Ga tip region</t>
  </si>
  <si>
    <t>bad oscillations</t>
  </si>
  <si>
    <t>2/14/2020</t>
  </si>
  <si>
    <t>Cell Temp</t>
  </si>
  <si>
    <t>Long COVID idle 2020</t>
  </si>
  <si>
    <t>hihg levels of N2 that track with tip</t>
  </si>
  <si>
    <t>improved N2 levels</t>
  </si>
  <si>
    <t>Long idle during COVID 19 shut down and research ramp up</t>
  </si>
  <si>
    <t>did high temp tip outgass before BFM</t>
  </si>
  <si>
    <t>did high temp tip outgass before BFM, flux a little lower than expected</t>
  </si>
  <si>
    <t>Mix-up with Ga base tip on heat up - corrected quickly, but seems to have affected flux a bit</t>
  </si>
  <si>
    <t>Bi:Ga Target</t>
  </si>
  <si>
    <t>Target Bi Flux</t>
  </si>
  <si>
    <t>R-squared</t>
  </si>
  <si>
    <t>`</t>
  </si>
  <si>
    <t>Tbb_prev</t>
  </si>
  <si>
    <t>ln_prev</t>
  </si>
  <si>
    <t>9.22e-8 -&gt; 99</t>
  </si>
  <si>
    <t>1.12e-7 -&gt; 147</t>
  </si>
  <si>
    <t>slope</t>
  </si>
  <si>
    <t>intercept</t>
  </si>
  <si>
    <t>Rate</t>
  </si>
  <si>
    <t>Rate vs. Flux for Dec 2019</t>
  </si>
  <si>
    <t>much improved N2 levels on Ga cell heatup</t>
  </si>
  <si>
    <t>Al cell tracking for AlAs</t>
  </si>
  <si>
    <t>Al Flux</t>
  </si>
  <si>
    <t>As4:Al Ratio for stoichiometric</t>
  </si>
  <si>
    <t>Tip Temp (actual, controlled by base)</t>
  </si>
  <si>
    <t>assumes tip temp is controlled by base.  Tip should not be heated above base</t>
  </si>
  <si>
    <t>Melt and heatup after long idle since Jan 2020, last used for AlSb/GaSb then. Outgassed at 1275 before reducing to 1225</t>
  </si>
  <si>
    <t>Calculator</t>
  </si>
  <si>
    <t>Cell base temp</t>
  </si>
  <si>
    <t>a=</t>
  </si>
  <si>
    <t>b=</t>
  </si>
  <si>
    <t>Predicted BFM flux(torr)</t>
  </si>
  <si>
    <t>Predicted Growth Rate (Ml/s)</t>
  </si>
  <si>
    <t>flux exp fit parameters</t>
  </si>
  <si>
    <t>Growth rate exp fit parameters</t>
  </si>
  <si>
    <t>RIO taken at 580C</t>
  </si>
  <si>
    <t>Al cell tracking for AlSb</t>
  </si>
  <si>
    <t>Base Temp</t>
  </si>
  <si>
    <t>MEASURED - 1.68e-7</t>
  </si>
  <si>
    <t>Tsub_prev</t>
  </si>
  <si>
    <t>Lattice Parameter (A)</t>
  </si>
  <si>
    <t>Monolayer Thickness (nm)</t>
  </si>
  <si>
    <t>Desired thickness (nm)</t>
  </si>
  <si>
    <t>long idle at hot idle temp of 400/550</t>
  </si>
  <si>
    <t>was not stable yet, had to move on</t>
  </si>
  <si>
    <t>very stable</t>
  </si>
  <si>
    <t>was not stable again, despite giving it a long time</t>
  </si>
  <si>
    <t>noisey</t>
  </si>
  <si>
    <t>noisey, had a lot of trouble getting RIO</t>
  </si>
  <si>
    <t>valve</t>
  </si>
  <si>
    <t>Flux vs. Valve pos calculator</t>
  </si>
  <si>
    <t>Flux vs. Temp for 2022</t>
  </si>
  <si>
    <t>Cell temp</t>
  </si>
  <si>
    <t>Flux predicted</t>
  </si>
  <si>
    <t>Preterm</t>
  </si>
  <si>
    <t>Exponential term</t>
  </si>
  <si>
    <t>.</t>
  </si>
  <si>
    <t>unstable BFM</t>
  </si>
  <si>
    <t>very clear</t>
  </si>
  <si>
    <t xml:space="preserve"> </t>
  </si>
  <si>
    <t>As 4</t>
  </si>
  <si>
    <t>(per Boyang and Kevin RHEED growth rate)</t>
  </si>
  <si>
    <t>In growth rate</t>
  </si>
  <si>
    <t>% In</t>
  </si>
  <si>
    <t>In</t>
  </si>
  <si>
    <t>As</t>
  </si>
  <si>
    <t>750/900</t>
  </si>
  <si>
    <t>730/880</t>
  </si>
  <si>
    <t>InAs stoich ratio checks from 11/18</t>
  </si>
  <si>
    <t>V:III</t>
  </si>
  <si>
    <t>750/800</t>
  </si>
  <si>
    <t>Target As composition</t>
  </si>
  <si>
    <t>V:III ration for that rate</t>
  </si>
  <si>
    <t>Target ratio is</t>
  </si>
  <si>
    <t>Target flux</t>
  </si>
  <si>
    <t>b</t>
  </si>
  <si>
    <t>flux taken quickly, may not have been stable yet</t>
  </si>
  <si>
    <t>Flux vs. Rate</t>
  </si>
  <si>
    <t>Predicted rate</t>
  </si>
  <si>
    <t>Flux vs. Valve predictor</t>
  </si>
  <si>
    <t xml:space="preserve">Valve </t>
  </si>
  <si>
    <t>Predicted Flux</t>
  </si>
  <si>
    <t>Flux Predictor</t>
  </si>
  <si>
    <t>Exponential</t>
  </si>
  <si>
    <t>Rate predicotr</t>
  </si>
  <si>
    <t>Predicted Rate</t>
  </si>
  <si>
    <t>recopy to exclude 960 outlier</t>
  </si>
  <si>
    <t>calc flux</t>
  </si>
  <si>
    <t>Sb</t>
  </si>
  <si>
    <t>ratio</t>
  </si>
  <si>
    <t>a</t>
  </si>
  <si>
    <t>c</t>
  </si>
  <si>
    <t>predicted flux</t>
  </si>
  <si>
    <t>may not have been accurate, unusually low</t>
  </si>
  <si>
    <t>Copying over all InAs BFM rates after Aug 2022, since they apply to InSb as well.  12/16/2022</t>
  </si>
  <si>
    <t>Sb2 (cracker 900)</t>
  </si>
  <si>
    <t>likely not accurate, next temp indicates was not stable yet</t>
  </si>
  <si>
    <t>Strangely low</t>
  </si>
  <si>
    <t>A little odd, first temp maybe needed to stabilize?</t>
  </si>
  <si>
    <t>SWITCHED TO BFM FILAMENT 2</t>
  </si>
  <si>
    <t>NEW BFM FILAMENT</t>
  </si>
  <si>
    <t>First BFM after switching to Filament 2</t>
  </si>
  <si>
    <t>Tbanpyro</t>
  </si>
  <si>
    <t>Tbp_prev</t>
  </si>
  <si>
    <t>ln_bp</t>
  </si>
  <si>
    <t>ln_bp_prev</t>
  </si>
  <si>
    <t>weird</t>
  </si>
  <si>
    <t>Bi flux</t>
  </si>
  <si>
    <t>BAKE AND VENT</t>
  </si>
  <si>
    <t>BAKE AND VENT, new BFM filament</t>
  </si>
  <si>
    <t>V:III was ~21</t>
  </si>
  <si>
    <t>Flux Vs.</t>
  </si>
  <si>
    <t>GR Expected</t>
  </si>
  <si>
    <t>Flux vs GR Post Bake</t>
  </si>
  <si>
    <t>Cell Temp vs. Flux Post Bake</t>
  </si>
  <si>
    <t>Bi Cell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</si>
</sst>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E+00"/>
    <numFmt numFmtId="166" formatCode="0.00000"/>
    <numFmt numFmtId="167" formatCode="0.0000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7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</cellStyleXfs>
  <cellXfs count="101">
    <xf numFmtId="0" fontId="0" fillId="0" borderId="0" xfId="0"/>
    <xf numFmtId="0" fontId="11" fillId="2" borderId="0" xfId="1"/>
    <xf numFmtId="164" fontId="0" fillId="0" borderId="0" xfId="0" applyNumberFormat="1"/>
    <xf numFmtId="11" fontId="0" fillId="0" borderId="0" xfId="0" applyNumberFormat="1"/>
    <xf numFmtId="0" fontId="11" fillId="4" borderId="0" xfId="3"/>
    <xf numFmtId="0" fontId="11" fillId="3" borderId="0" xfId="2"/>
    <xf numFmtId="14" fontId="0" fillId="0" borderId="0" xfId="0" applyNumberFormat="1"/>
    <xf numFmtId="14" fontId="13" fillId="0" borderId="0" xfId="0" applyNumberFormat="1" applyFont="1"/>
    <xf numFmtId="0" fontId="12" fillId="0" borderId="0" xfId="0" applyFont="1" applyAlignment="1">
      <alignment horizontal="left" wrapText="1"/>
    </xf>
    <xf numFmtId="0" fontId="11" fillId="4" borderId="0" xfId="3" applyAlignment="1">
      <alignment horizontal="center"/>
    </xf>
    <xf numFmtId="0" fontId="15" fillId="0" borderId="0" xfId="0" applyFont="1"/>
    <xf numFmtId="0" fontId="13" fillId="0" borderId="0" xfId="0" applyFont="1"/>
    <xf numFmtId="0" fontId="14" fillId="5" borderId="0" xfId="4"/>
    <xf numFmtId="2" fontId="0" fillId="0" borderId="0" xfId="0" applyNumberFormat="1"/>
    <xf numFmtId="0" fontId="0" fillId="0" borderId="0" xfId="0" applyFont="1"/>
    <xf numFmtId="1" fontId="0" fillId="0" borderId="0" xfId="0" applyNumberFormat="1"/>
    <xf numFmtId="165" fontId="0" fillId="0" borderId="0" xfId="0" applyNumberFormat="1"/>
    <xf numFmtId="11" fontId="13" fillId="0" borderId="0" xfId="0" applyNumberFormat="1" applyFont="1"/>
    <xf numFmtId="166" fontId="0" fillId="0" borderId="0" xfId="0" applyNumberFormat="1"/>
    <xf numFmtId="0" fontId="16" fillId="0" borderId="0" xfId="0" applyFont="1"/>
    <xf numFmtId="11" fontId="16" fillId="0" borderId="0" xfId="0" applyNumberFormat="1" applyFont="1"/>
    <xf numFmtId="11" fontId="17" fillId="0" borderId="0" xfId="0" applyNumberFormat="1" applyFont="1"/>
    <xf numFmtId="167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4" fontId="13" fillId="0" borderId="0" xfId="0" applyNumberFormat="1" applyFont="1" applyAlignment="1">
      <alignment horizontal="right"/>
    </xf>
    <xf numFmtId="11" fontId="0" fillId="0" borderId="0" xfId="0" applyNumberFormat="1" applyFont="1"/>
    <xf numFmtId="0" fontId="14" fillId="6" borderId="0" xfId="5"/>
    <xf numFmtId="0" fontId="14" fillId="7" borderId="0" xfId="6"/>
    <xf numFmtId="164" fontId="13" fillId="0" borderId="0" xfId="0" applyNumberFormat="1" applyFont="1"/>
    <xf numFmtId="0" fontId="18" fillId="2" borderId="0" xfId="1" applyFont="1"/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quotePrefix="1"/>
    <xf numFmtId="9" fontId="0" fillId="0" borderId="0" xfId="0" applyNumberFormat="1"/>
    <xf numFmtId="14" fontId="13" fillId="0" borderId="3" xfId="0" applyNumberFormat="1" applyFont="1" applyBorder="1"/>
    <xf numFmtId="0" fontId="0" fillId="0" borderId="4" xfId="0" applyFont="1" applyBorder="1"/>
    <xf numFmtId="11" fontId="0" fillId="0" borderId="4" xfId="0" applyNumberFormat="1" applyFont="1" applyBorder="1"/>
    <xf numFmtId="165" fontId="0" fillId="0" borderId="4" xfId="0" applyNumberFormat="1" applyFont="1" applyBorder="1"/>
    <xf numFmtId="0" fontId="0" fillId="0" borderId="5" xfId="0" applyFont="1" applyBorder="1"/>
    <xf numFmtId="0" fontId="0" fillId="0" borderId="0" xfId="0" applyFill="1"/>
    <xf numFmtId="0" fontId="19" fillId="0" borderId="0" xfId="0" applyFont="1" applyFill="1"/>
    <xf numFmtId="0" fontId="20" fillId="0" borderId="0" xfId="0" applyFont="1"/>
    <xf numFmtId="11" fontId="20" fillId="0" borderId="0" xfId="0" applyNumberFormat="1" applyFont="1"/>
    <xf numFmtId="165" fontId="20" fillId="0" borderId="0" xfId="0" applyNumberFormat="1" applyFont="1"/>
    <xf numFmtId="16" fontId="0" fillId="0" borderId="0" xfId="0" applyNumberFormat="1"/>
    <xf numFmtId="0" fontId="0" fillId="9" borderId="0" xfId="0" applyFill="1"/>
    <xf numFmtId="0" fontId="21" fillId="0" borderId="0" xfId="0" applyFont="1"/>
    <xf numFmtId="0" fontId="13" fillId="0" borderId="2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8" xfId="0" applyFont="1" applyBorder="1"/>
    <xf numFmtId="0" fontId="13" fillId="0" borderId="9" xfId="0" applyFont="1" applyBorder="1"/>
    <xf numFmtId="0" fontId="13" fillId="0" borderId="10" xfId="0" applyFont="1" applyBorder="1"/>
    <xf numFmtId="0" fontId="13" fillId="9" borderId="11" xfId="0" applyFont="1" applyFill="1" applyBorder="1"/>
    <xf numFmtId="11" fontId="13" fillId="10" borderId="12" xfId="0" applyNumberFormat="1" applyFont="1" applyFill="1" applyBorder="1"/>
    <xf numFmtId="164" fontId="13" fillId="11" borderId="13" xfId="0" applyNumberFormat="1" applyFont="1" applyFill="1" applyBorder="1"/>
    <xf numFmtId="14" fontId="0" fillId="0" borderId="0" xfId="0" applyNumberFormat="1" applyFont="1"/>
    <xf numFmtId="11" fontId="0" fillId="9" borderId="0" xfId="0" applyNumberFormat="1" applyFill="1"/>
    <xf numFmtId="0" fontId="0" fillId="0" borderId="2" xfId="0" applyBorder="1"/>
    <xf numFmtId="0" fontId="0" fillId="9" borderId="2" xfId="0" applyFill="1" applyBorder="1"/>
    <xf numFmtId="11" fontId="0" fillId="0" borderId="2" xfId="0" applyNumberFormat="1" applyBorder="1"/>
    <xf numFmtId="0" fontId="0" fillId="12" borderId="0" xfId="0" applyFill="1"/>
    <xf numFmtId="0" fontId="10" fillId="0" borderId="14" xfId="0" applyFont="1" applyBorder="1" applyAlignment="1">
      <alignment vertical="center" wrapText="1"/>
    </xf>
    <xf numFmtId="0" fontId="0" fillId="0" borderId="0" xfId="0" applyBorder="1"/>
    <xf numFmtId="0" fontId="10" fillId="0" borderId="0" xfId="0" applyFont="1" applyBorder="1" applyAlignment="1">
      <alignment vertical="center" wrapText="1"/>
    </xf>
    <xf numFmtId="11" fontId="0" fillId="0" borderId="0" xfId="0" applyNumberFormat="1" applyBorder="1"/>
    <xf numFmtId="0" fontId="0" fillId="0" borderId="0" xfId="0" applyAlignment="1">
      <alignment wrapText="1"/>
    </xf>
    <xf numFmtId="0" fontId="0" fillId="10" borderId="2" xfId="0" applyFill="1" applyBorder="1"/>
    <xf numFmtId="164" fontId="0" fillId="0" borderId="2" xfId="0" applyNumberFormat="1" applyBorder="1"/>
    <xf numFmtId="0" fontId="22" fillId="0" borderId="0" xfId="0" applyFont="1"/>
    <xf numFmtId="0" fontId="9" fillId="0" borderId="14" xfId="0" applyFont="1" applyBorder="1" applyAlignment="1">
      <alignment vertical="center" wrapText="1"/>
    </xf>
    <xf numFmtId="11" fontId="9" fillId="0" borderId="14" xfId="0" applyNumberFormat="1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11" fontId="8" fillId="0" borderId="14" xfId="0" applyNumberFormat="1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0" fillId="0" borderId="0" xfId="0" applyFill="1" applyBorder="1"/>
    <xf numFmtId="11" fontId="10" fillId="0" borderId="0" xfId="0" applyNumberFormat="1" applyFont="1" applyBorder="1" applyAlignment="1">
      <alignment vertical="center" wrapText="1"/>
    </xf>
    <xf numFmtId="11" fontId="0" fillId="0" borderId="0" xfId="0" applyNumberFormat="1" applyFill="1" applyBorder="1"/>
    <xf numFmtId="0" fontId="6" fillId="0" borderId="0" xfId="0" applyFont="1" applyFill="1" applyBorder="1" applyAlignment="1">
      <alignment vertical="center" wrapText="1"/>
    </xf>
    <xf numFmtId="0" fontId="5" fillId="0" borderId="16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0" fillId="9" borderId="0" xfId="0" applyFont="1" applyFill="1"/>
    <xf numFmtId="165" fontId="0" fillId="9" borderId="0" xfId="0" applyNumberFormat="1" applyFill="1"/>
    <xf numFmtId="0" fontId="0" fillId="9" borderId="0" xfId="0" applyFill="1" applyBorder="1"/>
    <xf numFmtId="0" fontId="17" fillId="0" borderId="14" xfId="0" applyFont="1" applyBorder="1" applyAlignment="1">
      <alignment vertical="center" wrapText="1"/>
    </xf>
    <xf numFmtId="11" fontId="17" fillId="0" borderId="14" xfId="0" applyNumberFormat="1" applyFont="1" applyBorder="1" applyAlignment="1">
      <alignment vertical="center" wrapText="1"/>
    </xf>
    <xf numFmtId="0" fontId="17" fillId="0" borderId="17" xfId="0" applyFont="1" applyFill="1" applyBorder="1" applyAlignment="1">
      <alignment vertical="center" wrapText="1"/>
    </xf>
    <xf numFmtId="14" fontId="13" fillId="9" borderId="0" xfId="0" applyNumberFormat="1" applyFont="1" applyFill="1"/>
    <xf numFmtId="164" fontId="0" fillId="9" borderId="0" xfId="0" applyNumberFormat="1" applyFill="1"/>
    <xf numFmtId="0" fontId="0" fillId="13" borderId="0" xfId="0" applyFill="1"/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2" fillId="0" borderId="0" xfId="0" applyFont="1" applyAlignment="1">
      <alignment horizontal="left" wrapText="1"/>
    </xf>
  </cellXfs>
  <cellStyles count="7">
    <cellStyle name="60% - Accent6" xfId="6" builtinId="52"/>
    <cellStyle name="Accent1" xfId="1" builtinId="29"/>
    <cellStyle name="Accent2" xfId="2" builtinId="33"/>
    <cellStyle name="Accent3" xfId="4" builtinId="37"/>
    <cellStyle name="Accent4" xfId="5" builtinId="41"/>
    <cellStyle name="Accent6" xfId="3" builtinId="49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</dxf>
    <dxf>
      <numFmt numFmtId="165" formatCode="0.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</dxf>
    <dxf>
      <numFmt numFmtId="165" formatCode="0.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</dxf>
    <dxf>
      <numFmt numFmtId="165" formatCode="0.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9" formatCode="m/d/yyyy"/>
    </dxf>
    <dxf>
      <font>
        <b/>
      </font>
      <numFmt numFmtId="19" formatCode="m/d/yyyy"/>
    </dxf>
    <dxf>
      <font>
        <b val="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 vs T -</a:t>
            </a:r>
            <a:r>
              <a:rPr lang="en-US" baseline="0"/>
              <a:t> B</a:t>
            </a:r>
            <a:r>
              <a:rPr lang="en-US"/>
              <a:t>efore</a:t>
            </a:r>
            <a:r>
              <a:rPr lang="en-US" baseline="0"/>
              <a:t> Bake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149920928176"/>
                  <c:y val="-8.34910693228852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 - GaAs'!$E$65:$E$121</c:f>
            </c:numRef>
          </c:xVal>
          <c:yVal>
            <c:numRef>
              <c:f>'Ga - GaAs'!$G$65:$G$121</c:f>
            </c:numRef>
          </c:yVal>
          <c:smooth val="0"/>
          <c:extLst>
            <c:ext xmlns:c16="http://schemas.microsoft.com/office/drawing/2014/chart" uri="{C3380CC4-5D6E-409C-BE32-E72D297353CC}">
              <c16:uniqueId val="{00000000-C5C5-4D25-89C7-41DAE63BD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43360"/>
        <c:axId val="334729640"/>
      </c:scatterChart>
      <c:valAx>
        <c:axId val="3347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29640"/>
        <c:crosses val="autoZero"/>
        <c:crossBetween val="midCat"/>
      </c:valAx>
      <c:valAx>
        <c:axId val="33472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2019 Ga flux vs base</a:t>
            </a:r>
            <a:r>
              <a:rPr lang="en-US" baseline="0"/>
              <a:t> temp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53958880139983"/>
          <c:y val="0.14856481481481484"/>
          <c:w val="0.5793587051618547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2/25/2019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'Gallium - GaSb'!$B$14:$B$16</c:f>
              <c:numCache>
                <c:formatCode>General</c:formatCode>
                <c:ptCount val="3"/>
                <c:pt idx="0">
                  <c:v>850</c:v>
                </c:pt>
                <c:pt idx="1">
                  <c:v>860</c:v>
                </c:pt>
                <c:pt idx="2">
                  <c:v>880</c:v>
                </c:pt>
              </c:numCache>
            </c:numRef>
          </c:xVal>
          <c:yVal>
            <c:numRef>
              <c:f>'Gallium - GaSb'!$F$14:$F$16</c:f>
              <c:numCache>
                <c:formatCode>0.00E+00</c:formatCode>
                <c:ptCount val="3"/>
                <c:pt idx="0">
                  <c:v>2.11E-7</c:v>
                </c:pt>
                <c:pt idx="1">
                  <c:v>2.4999999999999999E-7</c:v>
                </c:pt>
                <c:pt idx="2">
                  <c:v>3.7399999999999999E-7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5-4FED-A571-109A0B7E4904}"/>
            </c:ext>
          </c:extLst>
        </c:ser>
        <c:ser>
          <c:idx val="1"/>
          <c:order val="1"/>
          <c:tx>
            <c:v>3/25/2019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'Gallium - GaSb'!$B$17:$B$18</c:f>
              <c:numCache>
                <c:formatCode>General</c:formatCode>
                <c:ptCount val="2"/>
                <c:pt idx="0">
                  <c:v>860</c:v>
                </c:pt>
                <c:pt idx="1">
                  <c:v>870</c:v>
                </c:pt>
              </c:numCache>
            </c:numRef>
          </c:xVal>
          <c:yVal>
            <c:numRef>
              <c:f>'Gallium - GaSb'!$F$17:$F$18</c:f>
              <c:numCache>
                <c:formatCode>0.00E+00</c:formatCode>
                <c:ptCount val="2"/>
                <c:pt idx="0">
                  <c:v>2.8999999999999998E-7</c:v>
                </c:pt>
                <c:pt idx="1">
                  <c:v>3.6199999999999999E-7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5-4FED-A571-109A0B7E4904}"/>
            </c:ext>
          </c:extLst>
        </c:ser>
        <c:ser>
          <c:idx val="2"/>
          <c:order val="2"/>
          <c:tx>
            <c:v>4/3/2019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'Gallium - GaSb'!$B$19:$B$20</c:f>
              <c:numCache>
                <c:formatCode>General</c:formatCode>
                <c:ptCount val="2"/>
                <c:pt idx="0">
                  <c:v>860</c:v>
                </c:pt>
                <c:pt idx="1">
                  <c:v>870</c:v>
                </c:pt>
              </c:numCache>
            </c:numRef>
          </c:xVal>
          <c:yVal>
            <c:numRef>
              <c:f>'Gallium - GaSb'!$F$19:$F$20</c:f>
              <c:numCache>
                <c:formatCode>0.00E+00</c:formatCode>
                <c:ptCount val="2"/>
                <c:pt idx="0">
                  <c:v>2.7799999999999997E-7</c:v>
                </c:pt>
                <c:pt idx="1">
                  <c:v>3.46E-7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35-4FED-A571-109A0B7E4904}"/>
            </c:ext>
          </c:extLst>
        </c:ser>
        <c:ser>
          <c:idx val="3"/>
          <c:order val="3"/>
          <c:tx>
            <c:v>11/19/2018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'Gallium - GaSb'!$B$9:$B$10</c:f>
              <c:numCache>
                <c:formatCode>General</c:formatCode>
                <c:ptCount val="2"/>
                <c:pt idx="0">
                  <c:v>868</c:v>
                </c:pt>
                <c:pt idx="1">
                  <c:v>890</c:v>
                </c:pt>
              </c:numCache>
            </c:numRef>
          </c:xVal>
          <c:yVal>
            <c:numRef>
              <c:f>'Gallium - GaSb'!$F$9:$F$10</c:f>
              <c:numCache>
                <c:formatCode>0.00E+00</c:formatCode>
                <c:ptCount val="2"/>
                <c:pt idx="0">
                  <c:v>3.2800000000000003E-7</c:v>
                </c:pt>
                <c:pt idx="1">
                  <c:v>5.2799999999999996E-7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35-4FED-A571-109A0B7E4904}"/>
            </c:ext>
          </c:extLst>
        </c:ser>
        <c:ser>
          <c:idx val="4"/>
          <c:order val="4"/>
          <c:tx>
            <c:v>4/15/2019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'Gallium - GaSb'!$B$21:$B$22</c:f>
              <c:numCache>
                <c:formatCode>General</c:formatCode>
                <c:ptCount val="2"/>
                <c:pt idx="0">
                  <c:v>890</c:v>
                </c:pt>
                <c:pt idx="1">
                  <c:v>840</c:v>
                </c:pt>
              </c:numCache>
            </c:numRef>
          </c:xVal>
          <c:yVal>
            <c:numRef>
              <c:f>'Gallium - GaSb'!$F$21:$F$22</c:f>
              <c:numCache>
                <c:formatCode>0.00E+00</c:formatCode>
                <c:ptCount val="2"/>
                <c:pt idx="0">
                  <c:v>5.2799999999999996E-7</c:v>
                </c:pt>
                <c:pt idx="1">
                  <c:v>1.8799999999999999E-7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A-468F-B496-9CB3A9340B51}"/>
            </c:ext>
          </c:extLst>
        </c:ser>
        <c:ser>
          <c:idx val="5"/>
          <c:order val="5"/>
          <c:tx>
            <c:v>4/17/2019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'Gallium - GaSb'!$B$23:$B$24</c:f>
              <c:numCache>
                <c:formatCode>General</c:formatCode>
                <c:ptCount val="2"/>
                <c:pt idx="0">
                  <c:v>890</c:v>
                </c:pt>
                <c:pt idx="1">
                  <c:v>840</c:v>
                </c:pt>
              </c:numCache>
            </c:numRef>
          </c:xVal>
          <c:yVal>
            <c:numRef>
              <c:f>'Gallium - GaSb'!$F$23:$F$24</c:f>
              <c:numCache>
                <c:formatCode>0.00E+00</c:formatCode>
                <c:ptCount val="2"/>
                <c:pt idx="0">
                  <c:v>5.3099999999999998E-7</c:v>
                </c:pt>
                <c:pt idx="1">
                  <c:v>1.85E-7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E-488D-876D-869374ABC91A}"/>
            </c:ext>
          </c:extLst>
        </c:ser>
        <c:ser>
          <c:idx val="6"/>
          <c:order val="6"/>
          <c:tx>
            <c:v>4/20/2019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'Gallium - GaSb'!$B$25:$B$26</c:f>
              <c:numCache>
                <c:formatCode>General</c:formatCode>
                <c:ptCount val="2"/>
                <c:pt idx="0">
                  <c:v>890</c:v>
                </c:pt>
                <c:pt idx="1">
                  <c:v>840</c:v>
                </c:pt>
              </c:numCache>
            </c:numRef>
          </c:xVal>
          <c:yVal>
            <c:numRef>
              <c:f>'Gallium - GaSb'!$F$25:$F$26</c:f>
              <c:numCache>
                <c:formatCode>0.00E+00</c:formatCode>
                <c:ptCount val="2"/>
                <c:pt idx="0">
                  <c:v>5.2799999999999996E-7</c:v>
                </c:pt>
                <c:pt idx="1">
                  <c:v>1.8799999999999999E-7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3E-488D-876D-869374ABC91A}"/>
            </c:ext>
          </c:extLst>
        </c:ser>
        <c:ser>
          <c:idx val="7"/>
          <c:order val="7"/>
          <c:tx>
            <c:v>5/30/2019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0319635989835266"/>
                  <c:y val="-5.8398950131233597E-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'Gallium - GaSb'!$B$31:$B$32</c:f>
              <c:numCache>
                <c:formatCode>General</c:formatCode>
                <c:ptCount val="2"/>
                <c:pt idx="0">
                  <c:v>893</c:v>
                </c:pt>
                <c:pt idx="1">
                  <c:v>843</c:v>
                </c:pt>
              </c:numCache>
            </c:numRef>
          </c:xVal>
          <c:yVal>
            <c:numRef>
              <c:f>'Gallium - GaSb'!$F$31:$F$32</c:f>
              <c:numCache>
                <c:formatCode>0.00E+00</c:formatCode>
                <c:ptCount val="2"/>
                <c:pt idx="0">
                  <c:v>5.2E-7</c:v>
                </c:pt>
                <c:pt idx="1">
                  <c:v>1.97E-7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3-4D70-82C6-015725F41AF2}"/>
            </c:ext>
          </c:extLst>
        </c:ser>
        <c:ser>
          <c:idx val="8"/>
          <c:order val="8"/>
          <c:tx>
            <c:v>6/6/2019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'Gallium - GaSb'!$B$34:$B$35</c:f>
              <c:numCache>
                <c:formatCode>General</c:formatCode>
                <c:ptCount val="2"/>
                <c:pt idx="0">
                  <c:v>893</c:v>
                </c:pt>
                <c:pt idx="1">
                  <c:v>890</c:v>
                </c:pt>
              </c:numCache>
            </c:numRef>
          </c:xVal>
          <c:yVal>
            <c:numRef>
              <c:f>'Gallium - GaSb'!$F$34:$F$35</c:f>
              <c:numCache>
                <c:formatCode>0.00E+00</c:formatCode>
                <c:ptCount val="2"/>
                <c:pt idx="0">
                  <c:v>5.4000000000000002E-7</c:v>
                </c:pt>
                <c:pt idx="1">
                  <c:v>5.0800000000000005E-7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3-4D70-82C6-015725F41AF2}"/>
            </c:ext>
          </c:extLst>
        </c:ser>
        <c:ser>
          <c:idx val="9"/>
          <c:order val="9"/>
          <c:tx>
            <c:v>6/7/2019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'Gallium - GaSb'!$B$36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'Gallium - GaSb'!$F$36</c:f>
              <c:numCache>
                <c:formatCode>0.00E+00</c:formatCode>
                <c:ptCount val="1"/>
                <c:pt idx="0">
                  <c:v>5.3300000000000002E-7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3-4D70-82C6-015725F41AF2}"/>
            </c:ext>
          </c:extLst>
        </c:ser>
        <c:ser>
          <c:idx val="10"/>
          <c:order val="10"/>
          <c:tx>
            <c:v>6/11/2019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'Gallium - GaSb'!$B$37</c:f>
              <c:numCache>
                <c:formatCode>General</c:formatCode>
                <c:ptCount val="1"/>
                <c:pt idx="0">
                  <c:v>893</c:v>
                </c:pt>
              </c:numCache>
            </c:numRef>
          </c:xVal>
          <c:yVal>
            <c:numRef>
              <c:f>'Gallium - GaSb'!$F$37</c:f>
              <c:numCache>
                <c:formatCode>0.00E+00</c:formatCode>
                <c:ptCount val="1"/>
                <c:pt idx="0">
                  <c:v>5.3600000000000004E-7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03-4D70-82C6-015725F41AF2}"/>
            </c:ext>
          </c:extLst>
        </c:ser>
        <c:ser>
          <c:idx val="11"/>
          <c:order val="11"/>
          <c:tx>
            <c:v>6/18/2019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'Gallium - GaSb'!$B$38:$B$39</c:f>
              <c:numCache>
                <c:formatCode>General</c:formatCode>
                <c:ptCount val="2"/>
                <c:pt idx="0">
                  <c:v>893</c:v>
                </c:pt>
                <c:pt idx="1">
                  <c:v>843</c:v>
                </c:pt>
              </c:numCache>
            </c:numRef>
          </c:xVal>
          <c:yVal>
            <c:numRef>
              <c:f>'Gallium - GaSb'!$F$38:$F$39</c:f>
              <c:numCache>
                <c:formatCode>General</c:formatCode>
                <c:ptCount val="2"/>
                <c:pt idx="0" formatCode="0.00E+00">
                  <c:v>5.3000000000000001E-7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03-4D70-82C6-015725F41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61984"/>
        <c:axId val="288360672"/>
      </c:scatterChart>
      <c:valAx>
        <c:axId val="28836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</a:t>
                </a:r>
                <a:r>
                  <a:rPr lang="en-US" baseline="0"/>
                  <a:t> Cell Base Temp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60672"/>
        <c:crosses val="autoZero"/>
        <c:crossBetween val="midCat"/>
      </c:valAx>
      <c:valAx>
        <c:axId val="288360672"/>
        <c:scaling>
          <c:orientation val="minMax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6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4508281896912639"/>
                  <c:y val="3.4580954124323142E-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'Sb-Valve'!$E$547:$E$553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'Sb-Valve'!$F$547:$F$553</c:f>
              <c:numCache>
                <c:formatCode>0.00E+00</c:formatCode>
                <c:ptCount val="7"/>
                <c:pt idx="0">
                  <c:v>2.5499999999999999E-7</c:v>
                </c:pt>
                <c:pt idx="1">
                  <c:v>2.2999999999999999E-7</c:v>
                </c:pt>
                <c:pt idx="2">
                  <c:v>2.0599999999999999E-7</c:v>
                </c:pt>
                <c:pt idx="3">
                  <c:v>1.7700000000000001E-7</c:v>
                </c:pt>
                <c:pt idx="4">
                  <c:v>1.4499999999999999E-7</c:v>
                </c:pt>
                <c:pt idx="5">
                  <c:v>1.05E-7</c:v>
                </c:pt>
                <c:pt idx="6">
                  <c:v>5.7000000000000001E-8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5-4037-99E6-EC13C314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99976"/>
        <c:axId val="300701288"/>
      </c:scatterChart>
      <c:valAx>
        <c:axId val="30069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01288"/>
        <c:crosses val="autoZero"/>
        <c:crossBetween val="midCat"/>
      </c:valAx>
      <c:valAx>
        <c:axId val="3007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9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4508281896912639"/>
                  <c:y val="3.4580954124323142E-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'Sb-Valve'!$E$659:$E$665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'Sb-Valve'!$F$659:$F$665</c:f>
              <c:numCache>
                <c:formatCode>0.00E+00</c:formatCode>
                <c:ptCount val="7"/>
                <c:pt idx="0">
                  <c:v>1.3300000000000001E-7</c:v>
                </c:pt>
                <c:pt idx="1">
                  <c:v>1.2100000000000001E-7</c:v>
                </c:pt>
                <c:pt idx="2">
                  <c:v>1.08E-7</c:v>
                </c:pt>
                <c:pt idx="3">
                  <c:v>9.3400000000000003E-8</c:v>
                </c:pt>
                <c:pt idx="4">
                  <c:v>7.61E-8</c:v>
                </c:pt>
                <c:pt idx="5">
                  <c:v>5.5099999999999997E-8</c:v>
                </c:pt>
                <c:pt idx="6">
                  <c:v>2.9799999999999999E-8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3-4F81-98BD-C6086D2A1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99976"/>
        <c:axId val="300701288"/>
      </c:scatterChart>
      <c:valAx>
        <c:axId val="30069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01288"/>
        <c:crosses val="autoZero"/>
        <c:crossBetween val="midCat"/>
      </c:valAx>
      <c:valAx>
        <c:axId val="3007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9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4508281896912639"/>
                  <c:y val="3.4580954124323142E-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'Sb-Valve'!$E$701:$E$707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'Sb-Valve'!$F$701:$F$707</c:f>
              <c:numCache>
                <c:formatCode>0.00E+00</c:formatCode>
                <c:ptCount val="7"/>
                <c:pt idx="0">
                  <c:v>1.74E-7</c:v>
                </c:pt>
                <c:pt idx="1">
                  <c:v>1.5800000000000001E-7</c:v>
                </c:pt>
                <c:pt idx="2">
                  <c:v>1.4000000000000001E-7</c:v>
                </c:pt>
                <c:pt idx="3">
                  <c:v>1.1999999999999999E-7</c:v>
                </c:pt>
                <c:pt idx="4">
                  <c:v>9.8599999999999996E-8</c:v>
                </c:pt>
                <c:pt idx="5">
                  <c:v>7.0500000000000003E-8</c:v>
                </c:pt>
                <c:pt idx="6">
                  <c:v>3.7599999999999999E-8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A-4407-818C-A100A65D6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99976"/>
        <c:axId val="300701288"/>
      </c:scatterChart>
      <c:valAx>
        <c:axId val="30069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01288"/>
        <c:crosses val="autoZero"/>
        <c:crossBetween val="midCat"/>
      </c:valAx>
      <c:valAx>
        <c:axId val="3007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9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Valve vs. Flux for Base = 525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08/27/2022 Base 525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'Sb-Valve'!$E$631:$E$637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'Sb-Valve'!$F$631:$F$637</c:f>
              <c:numCache>
                <c:formatCode>0.00E+00</c:formatCode>
                <c:ptCount val="7"/>
                <c:pt idx="0">
                  <c:v>8.5199999999999995E-7</c:v>
                </c:pt>
                <c:pt idx="1">
                  <c:v>7.7000000000000004E-7</c:v>
                </c:pt>
                <c:pt idx="2">
                  <c:v>6.8100000000000002E-7</c:v>
                </c:pt>
                <c:pt idx="3">
                  <c:v>5.9100000000000004E-7</c:v>
                </c:pt>
                <c:pt idx="4">
                  <c:v>4.7800000000000002E-7</c:v>
                </c:pt>
                <c:pt idx="5">
                  <c:v>3.41E-7</c:v>
                </c:pt>
                <c:pt idx="6">
                  <c:v>1.8099999999999999E-7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FC-45C6-93BC-3AC3E81922DF}"/>
            </c:ext>
          </c:extLst>
        </c:ser>
        <c:ser>
          <c:idx val="2"/>
          <c:order val="1"/>
          <c:tx>
            <c:v>09/08/2022 Base 525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'Sb-Valve'!$E$666:$E$672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'Sb-Valve'!$F$666:$F$672</c:f>
              <c:numCache>
                <c:formatCode>0.00E+00</c:formatCode>
                <c:ptCount val="7"/>
                <c:pt idx="0">
                  <c:v>7.7499999999999999E-7</c:v>
                </c:pt>
                <c:pt idx="1">
                  <c:v>7.0299999999999998E-7</c:v>
                </c:pt>
                <c:pt idx="2">
                  <c:v>6.1799999999999995E-7</c:v>
                </c:pt>
                <c:pt idx="3">
                  <c:v>5.3000000000000001E-7</c:v>
                </c:pt>
                <c:pt idx="4">
                  <c:v>4.3700000000000001E-7</c:v>
                </c:pt>
                <c:pt idx="5">
                  <c:v>3.1100000000000002E-7</c:v>
                </c:pt>
                <c:pt idx="6">
                  <c:v>1.67E-7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C-45C6-93BC-3AC3E81922DF}"/>
            </c:ext>
          </c:extLst>
        </c:ser>
        <c:ser>
          <c:idx val="0"/>
          <c:order val="2"/>
          <c:tx>
            <c:v>10/28/2000 Base 525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'Sb-Valve'!$E$708:$E$714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'Sb-Valve'!$F$708:$F$714</c:f>
              <c:numCache>
                <c:formatCode>0.00E+00</c:formatCode>
                <c:ptCount val="7"/>
                <c:pt idx="0">
                  <c:v>7.3099999999999997E-7</c:v>
                </c:pt>
                <c:pt idx="1">
                  <c:v>6.6000000000000003E-7</c:v>
                </c:pt>
                <c:pt idx="2">
                  <c:v>5.8500000000000001E-7</c:v>
                </c:pt>
                <c:pt idx="3">
                  <c:v>5.0399999999999996E-7</c:v>
                </c:pt>
                <c:pt idx="4">
                  <c:v>4.08E-7</c:v>
                </c:pt>
                <c:pt idx="5">
                  <c:v>2.8999999999999998E-7</c:v>
                </c:pt>
                <c:pt idx="6">
                  <c:v>1.5300000000000001E-7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E-483E-99BF-ACA753D13849}"/>
            </c:ext>
          </c:extLst>
        </c:ser>
        <c:ser>
          <c:idx val="1"/>
          <c:order val="3"/>
          <c:tx>
            <c:v>11/10/2022 Base 525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726443569553805"/>
                  <c:y val="-5.1093468889517109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'Sb-Valve'!$E$724:$E$730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'Sb-Valve'!$F$724:$F$730</c:f>
              <c:numCache>
                <c:formatCode>0.00E+00</c:formatCode>
                <c:ptCount val="7"/>
                <c:pt idx="0">
                  <c:v>6.6599999999999996E-7</c:v>
                </c:pt>
                <c:pt idx="1">
                  <c:v>6.0200000000000002E-7</c:v>
                </c:pt>
                <c:pt idx="2">
                  <c:v>5.3900000000000005E-7</c:v>
                </c:pt>
                <c:pt idx="3">
                  <c:v>4.63E-7</c:v>
                </c:pt>
                <c:pt idx="4">
                  <c:v>3.8299999999999998E-7</c:v>
                </c:pt>
                <c:pt idx="5">
                  <c:v>2.7399999999999999E-7</c:v>
                </c:pt>
                <c:pt idx="6">
                  <c:v>1.4600000000000001E-7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C-45C6-93BC-3AC3E8192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99976"/>
        <c:axId val="300701288"/>
      </c:scatterChart>
      <c:valAx>
        <c:axId val="30069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01288"/>
        <c:crosses val="autoZero"/>
        <c:crossBetween val="midCat"/>
      </c:valAx>
      <c:valAx>
        <c:axId val="3007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BFM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9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Valve vs. Flux for Base = 485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9/30/2022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'Sb-Valve'!$E$680:$E$686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'Sb-Valve'!$F$680:$F$686</c:f>
              <c:numCache>
                <c:formatCode>0.00E+00</c:formatCode>
                <c:ptCount val="7"/>
                <c:pt idx="0">
                  <c:v>1.7700000000000001E-7</c:v>
                </c:pt>
                <c:pt idx="1">
                  <c:v>1.61E-7</c:v>
                </c:pt>
                <c:pt idx="2">
                  <c:v>1.4399999999999999E-7</c:v>
                </c:pt>
                <c:pt idx="3">
                  <c:v>1.23E-7</c:v>
                </c:pt>
                <c:pt idx="4">
                  <c:v>9.9999999999999995E-8</c:v>
                </c:pt>
                <c:pt idx="5">
                  <c:v>7.24E-8</c:v>
                </c:pt>
                <c:pt idx="6">
                  <c:v>3.8799999999999997E-8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CD-4050-BD36-8E16139F8559}"/>
            </c:ext>
          </c:extLst>
        </c:ser>
        <c:ser>
          <c:idx val="0"/>
          <c:order val="1"/>
          <c:tx>
            <c:v>10/6/2022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'Sb-Valve'!$E$687:$E$693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'Sb-Valve'!$F$687:$F$693</c:f>
              <c:numCache>
                <c:formatCode>0.00E+00</c:formatCode>
                <c:ptCount val="7"/>
                <c:pt idx="0">
                  <c:v>1.72E-7</c:v>
                </c:pt>
                <c:pt idx="1">
                  <c:v>1.5699999999999999E-7</c:v>
                </c:pt>
                <c:pt idx="2">
                  <c:v>1.4000000000000001E-7</c:v>
                </c:pt>
                <c:pt idx="3">
                  <c:v>1.1999999999999999E-7</c:v>
                </c:pt>
                <c:pt idx="4">
                  <c:v>9.8399999999999994E-8</c:v>
                </c:pt>
                <c:pt idx="5">
                  <c:v>7.0399999999999995E-8</c:v>
                </c:pt>
                <c:pt idx="6">
                  <c:v>3.77E-8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CD-4050-BD36-8E16139F8559}"/>
            </c:ext>
          </c:extLst>
        </c:ser>
        <c:ser>
          <c:idx val="1"/>
          <c:order val="2"/>
          <c:tx>
            <c:v>10/19/2022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'Sb-Valve'!$E$701:$E$707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'Sb-Valve'!$F$701:$F$707</c:f>
              <c:numCache>
                <c:formatCode>0.00E+00</c:formatCode>
                <c:ptCount val="7"/>
                <c:pt idx="0">
                  <c:v>1.74E-7</c:v>
                </c:pt>
                <c:pt idx="1">
                  <c:v>1.5800000000000001E-7</c:v>
                </c:pt>
                <c:pt idx="2">
                  <c:v>1.4000000000000001E-7</c:v>
                </c:pt>
                <c:pt idx="3">
                  <c:v>1.1999999999999999E-7</c:v>
                </c:pt>
                <c:pt idx="4">
                  <c:v>9.8599999999999996E-8</c:v>
                </c:pt>
                <c:pt idx="5">
                  <c:v>7.0500000000000003E-8</c:v>
                </c:pt>
                <c:pt idx="6">
                  <c:v>3.7599999999999999E-8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CD-4050-BD36-8E16139F8559}"/>
            </c:ext>
          </c:extLst>
        </c:ser>
        <c:ser>
          <c:idx val="2"/>
          <c:order val="3"/>
          <c:tx>
            <c:v>11/3/2022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'Sb-Valve'!$E$715:$E$723</c:f>
              <c:numCache>
                <c:formatCode>General</c:formatCode>
                <c:ptCount val="9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125</c:v>
                </c:pt>
                <c:pt idx="5">
                  <c:v>100</c:v>
                </c:pt>
                <c:pt idx="6">
                  <c:v>75</c:v>
                </c:pt>
                <c:pt idx="7">
                  <c:v>50</c:v>
                </c:pt>
                <c:pt idx="8">
                  <c:v>0</c:v>
                </c:pt>
              </c:numCache>
            </c:numRef>
          </c:xVal>
          <c:yVal>
            <c:numRef>
              <c:f>'Sb-Valve'!$F$715:$F$723</c:f>
              <c:numCache>
                <c:formatCode>0.00E+00</c:formatCode>
                <c:ptCount val="9"/>
                <c:pt idx="0">
                  <c:v>1.79E-7</c:v>
                </c:pt>
                <c:pt idx="1">
                  <c:v>1.6299999999999999E-7</c:v>
                </c:pt>
                <c:pt idx="2">
                  <c:v>1.4499999999999999E-7</c:v>
                </c:pt>
                <c:pt idx="3">
                  <c:v>1.2499999999999999E-7</c:v>
                </c:pt>
                <c:pt idx="4">
                  <c:v>1.14E-7</c:v>
                </c:pt>
                <c:pt idx="5">
                  <c:v>1.02E-7</c:v>
                </c:pt>
                <c:pt idx="6">
                  <c:v>8.8399999999999997E-8</c:v>
                </c:pt>
                <c:pt idx="7">
                  <c:v>7.2600000000000002E-8</c:v>
                </c:pt>
                <c:pt idx="8">
                  <c:v>3.8299999999999999E-8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CD-4050-BD36-8E16139F8559}"/>
            </c:ext>
          </c:extLst>
        </c:ser>
        <c:ser>
          <c:idx val="4"/>
          <c:order val="4"/>
          <c:tx>
            <c:v>12/18/2022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6673895552475586E-2"/>
                  <c:y val="0.2513631879219124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'Sb-Valve'!$E$755:$E$764</c:f>
              <c:numCache>
                <c:formatCode>General</c:formatCode>
                <c:ptCount val="10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75</c:v>
                </c:pt>
                <c:pt idx="6">
                  <c:v>50</c:v>
                </c:pt>
                <c:pt idx="7">
                  <c:v>25</c:v>
                </c:pt>
                <c:pt idx="8">
                  <c:v>10</c:v>
                </c:pt>
                <c:pt idx="9">
                  <c:v>0</c:v>
                </c:pt>
              </c:numCache>
            </c:numRef>
          </c:xVal>
          <c:yVal>
            <c:numRef>
              <c:f>'Sb-Valve'!$F$755:$F$764</c:f>
              <c:numCache>
                <c:formatCode>0.00E+00</c:formatCode>
                <c:ptCount val="10"/>
                <c:pt idx="0">
                  <c:v>1.66E-7</c:v>
                </c:pt>
                <c:pt idx="1">
                  <c:v>1.49E-7</c:v>
                </c:pt>
                <c:pt idx="2">
                  <c:v>1.3199999999999999E-7</c:v>
                </c:pt>
                <c:pt idx="3">
                  <c:v>1.14E-7</c:v>
                </c:pt>
                <c:pt idx="4">
                  <c:v>9.2799999999999997E-8</c:v>
                </c:pt>
                <c:pt idx="5">
                  <c:v>8.1199999999999999E-8</c:v>
                </c:pt>
                <c:pt idx="6">
                  <c:v>6.6300000000000005E-8</c:v>
                </c:pt>
                <c:pt idx="7">
                  <c:v>5.1E-8</c:v>
                </c:pt>
                <c:pt idx="8">
                  <c:v>4.14E-8</c:v>
                </c:pt>
                <c:pt idx="9">
                  <c:v>3.5399999999999999E-8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6-44BC-A98D-1A92D0FC0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99976"/>
        <c:axId val="300701288"/>
      </c:scatterChart>
      <c:valAx>
        <c:axId val="30069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01288"/>
        <c:crosses val="autoZero"/>
        <c:crossBetween val="midCat"/>
      </c:valAx>
      <c:valAx>
        <c:axId val="3007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9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510 -</a:t>
            </a:r>
            <a:r>
              <a:rPr lang="en-US" baseline="0"/>
              <a:t> PostVent + Bake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'Sb-Valve'!$E$874:$E$880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'Sb-Valve'!$F$874:$F$880</c:f>
              <c:numCache>
                <c:formatCode>0.00E+00</c:formatCode>
                <c:ptCount val="7"/>
                <c:pt idx="0">
                  <c:v>7.0100000000000004E-7</c:v>
                </c:pt>
                <c:pt idx="1">
                  <c:v>6.3300000000000002E-7</c:v>
                </c:pt>
                <c:pt idx="2">
                  <c:v>5.5000000000000003E-7</c:v>
                </c:pt>
                <c:pt idx="3">
                  <c:v>4.6600000000000002E-7</c:v>
                </c:pt>
                <c:pt idx="4">
                  <c:v>3.7899999999999999E-7</c:v>
                </c:pt>
                <c:pt idx="5">
                  <c:v>2.65E-7</c:v>
                </c:pt>
                <c:pt idx="6">
                  <c:v>1.4100000000000001E-7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9-4A46-B798-A0D9F4297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99976"/>
        <c:axId val="300701288"/>
      </c:scatterChart>
      <c:valAx>
        <c:axId val="30069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01288"/>
        <c:crosses val="autoZero"/>
        <c:crossBetween val="midCat"/>
      </c:valAx>
      <c:valAx>
        <c:axId val="3007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9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Tsub v Tbanpyro w Ln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9023547139384503E-2"/>
                  <c:y val="0.50463433458460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'Sb-Valve'!$K$45:$K$58</c:f>
              <c:numCache>
                <c:formatCode>General</c:formatCode>
                <c:ptCount val="14"/>
                <c:pt idx="2">
                  <c:v>541</c:v>
                </c:pt>
                <c:pt idx="3">
                  <c:v>520</c:v>
                </c:pt>
                <c:pt idx="4">
                  <c:v>510</c:v>
                </c:pt>
                <c:pt idx="5">
                  <c:v>500</c:v>
                </c:pt>
                <c:pt idx="6">
                  <c:v>480</c:v>
                </c:pt>
              </c:numCache>
            </c:numRef>
          </c:xVal>
          <c:yVal>
            <c:numRef>
              <c:f>'Sb-Valve'!$Q$45:$Q$58</c:f>
              <c:numCache>
                <c:formatCode>General</c:formatCode>
                <c:ptCount val="14"/>
                <c:pt idx="0">
                  <c:v>502</c:v>
                </c:pt>
                <c:pt idx="1">
                  <c:v>480</c:v>
                </c:pt>
                <c:pt idx="2">
                  <c:v>460</c:v>
                </c:pt>
                <c:pt idx="3">
                  <c:v>436</c:v>
                </c:pt>
                <c:pt idx="4">
                  <c:v>410</c:v>
                </c:pt>
                <c:pt idx="5">
                  <c:v>387</c:v>
                </c:pt>
                <c:pt idx="6">
                  <c:v>430</c:v>
                </c:pt>
                <c:pt idx="7">
                  <c:v>460</c:v>
                </c:pt>
                <c:pt idx="8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7-480D-A5FD-1824D8008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33040"/>
        <c:axId val="275945816"/>
      </c:scatterChart>
      <c:valAx>
        <c:axId val="33413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45816"/>
        <c:crosses val="autoZero"/>
        <c:crossBetween val="midCat"/>
      </c:valAx>
      <c:valAx>
        <c:axId val="27594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3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Tsub v Tbp_prev w Ln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backward val="200"/>
            <c:dispRSqr val="1"/>
            <c:dispEq val="1"/>
            <c:trendlineLbl>
              <c:layout>
                <c:manualLayout>
                  <c:x val="-0.4112823020954236"/>
                  <c:y val="-5.69206754328004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'Sb-Valve'!$L$45:$L$58</c:f>
              <c:numCache>
                <c:formatCode>General</c:formatCode>
                <c:ptCount val="14"/>
                <c:pt idx="2">
                  <c:v>490</c:v>
                </c:pt>
                <c:pt idx="3">
                  <c:v>500</c:v>
                </c:pt>
                <c:pt idx="4">
                  <c:v>475</c:v>
                </c:pt>
                <c:pt idx="5">
                  <c:v>515</c:v>
                </c:pt>
                <c:pt idx="6">
                  <c:v>540</c:v>
                </c:pt>
                <c:pt idx="7">
                  <c:v>575</c:v>
                </c:pt>
              </c:numCache>
            </c:numRef>
          </c:xVal>
          <c:yVal>
            <c:numRef>
              <c:f>'Sb-Valve'!$R$45:$R$58</c:f>
              <c:numCache>
                <c:formatCode>General</c:formatCode>
                <c:ptCount val="14"/>
                <c:pt idx="0">
                  <c:v>507</c:v>
                </c:pt>
                <c:pt idx="1">
                  <c:v>485</c:v>
                </c:pt>
                <c:pt idx="2">
                  <c:v>460</c:v>
                </c:pt>
                <c:pt idx="3">
                  <c:v>435</c:v>
                </c:pt>
                <c:pt idx="4">
                  <c:v>409</c:v>
                </c:pt>
                <c:pt idx="5">
                  <c:v>383</c:v>
                </c:pt>
                <c:pt idx="6">
                  <c:v>406</c:v>
                </c:pt>
                <c:pt idx="7">
                  <c:v>430</c:v>
                </c:pt>
                <c:pt idx="8">
                  <c:v>459</c:v>
                </c:pt>
                <c:pt idx="9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E-471A-8D65-D2F915B1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33040"/>
        <c:axId val="275945816"/>
      </c:scatterChart>
      <c:valAx>
        <c:axId val="33413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45816"/>
        <c:crosses val="autoZero"/>
        <c:crossBetween val="midCat"/>
      </c:valAx>
      <c:valAx>
        <c:axId val="27594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3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510 - PreVent+Bake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'Sb-Valve'!$E$859:$E$865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'Sb-Valve'!$F$859:$F$865</c:f>
              <c:numCache>
                <c:formatCode>0.00E+00</c:formatCode>
                <c:ptCount val="7"/>
                <c:pt idx="0">
                  <c:v>4.4499999999999997E-7</c:v>
                </c:pt>
                <c:pt idx="1">
                  <c:v>3.9900000000000001E-7</c:v>
                </c:pt>
                <c:pt idx="2">
                  <c:v>3.4799999999999999E-7</c:v>
                </c:pt>
                <c:pt idx="3">
                  <c:v>2.96E-7</c:v>
                </c:pt>
                <c:pt idx="4">
                  <c:v>2.3799999999999999E-7</c:v>
                </c:pt>
                <c:pt idx="5">
                  <c:v>1.67E-7</c:v>
                </c:pt>
                <c:pt idx="6">
                  <c:v>8.8699999999999994E-8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B-4C7D-A142-F4B2B9B20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99976"/>
        <c:axId val="300701288"/>
      </c:scatterChart>
      <c:valAx>
        <c:axId val="30069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01288"/>
        <c:crosses val="autoZero"/>
        <c:crossBetween val="midCat"/>
      </c:valAx>
      <c:valAx>
        <c:axId val="3007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9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510 -</a:t>
            </a:r>
            <a:r>
              <a:rPr lang="en-US" baseline="0"/>
              <a:t> Pre and Post Vent Overlay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trendline>
            <c:spPr>
              <a:ln>
                <a:solidFill>
                  <a:schemeClr val="accent2"/>
                </a:solidFill>
                <a:prstDash val="sysDot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1124106241702926"/>
                  <c:y val="0.20132132699330665"/>
                </c:manualLayout>
              </c:layout>
              <c:numFmt formatCode="0.00E+00" sourceLinked="0"/>
            </c:trendlineLbl>
          </c:trendline>
          <c:xVal>
            <c:numRef>
              <c:f>'Sb-Valve'!$E$859:$E$865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'Sb-Valve'!$F$859:$F$865</c:f>
              <c:numCache>
                <c:formatCode>0.00E+00</c:formatCode>
                <c:ptCount val="7"/>
                <c:pt idx="0">
                  <c:v>4.4499999999999997E-7</c:v>
                </c:pt>
                <c:pt idx="1">
                  <c:v>3.9900000000000001E-7</c:v>
                </c:pt>
                <c:pt idx="2">
                  <c:v>3.4799999999999999E-7</c:v>
                </c:pt>
                <c:pt idx="3">
                  <c:v>2.96E-7</c:v>
                </c:pt>
                <c:pt idx="4">
                  <c:v>2.3799999999999999E-7</c:v>
                </c:pt>
                <c:pt idx="5">
                  <c:v>1.67E-7</c:v>
                </c:pt>
                <c:pt idx="6">
                  <c:v>8.8699999999999994E-8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D8-4E3C-AFC3-DF6C83C1EEE7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'Sb-Valve'!$E$874:$E$880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'Sb-Valve'!$F$874:$F$880</c:f>
              <c:numCache>
                <c:formatCode>0.00E+00</c:formatCode>
                <c:ptCount val="7"/>
                <c:pt idx="0">
                  <c:v>7.0100000000000004E-7</c:v>
                </c:pt>
                <c:pt idx="1">
                  <c:v>6.3300000000000002E-7</c:v>
                </c:pt>
                <c:pt idx="2">
                  <c:v>5.5000000000000003E-7</c:v>
                </c:pt>
                <c:pt idx="3">
                  <c:v>4.6600000000000002E-7</c:v>
                </c:pt>
                <c:pt idx="4">
                  <c:v>3.7899999999999999E-7</c:v>
                </c:pt>
                <c:pt idx="5">
                  <c:v>2.65E-7</c:v>
                </c:pt>
                <c:pt idx="6">
                  <c:v>1.4100000000000001E-7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D8-4E3C-AFC3-DF6C83C1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99976"/>
        <c:axId val="300701288"/>
      </c:scatterChart>
      <c:valAx>
        <c:axId val="30069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01288"/>
        <c:crosses val="autoZero"/>
        <c:crossBetween val="midCat"/>
      </c:valAx>
      <c:valAx>
        <c:axId val="3007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999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2019 Ga flux vs ML/s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11/19/2018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'Gallium - GaSb'!$F$9:$F$10</c:f>
              <c:numCache>
                <c:formatCode>0.00E+00</c:formatCode>
                <c:ptCount val="2"/>
                <c:pt idx="0">
                  <c:v>3.2800000000000003E-7</c:v>
                </c:pt>
                <c:pt idx="1">
                  <c:v>5.2799999999999996E-7</c:v>
                </c:pt>
              </c:numCache>
            </c:numRef>
          </c:xVal>
          <c:yVal>
            <c:numRef>
              <c:f>'Gallium - GaSb'!$H$9:$H$10</c:f>
              <c:numCache>
                <c:formatCode>General</c:formatCode>
                <c:ptCount val="2"/>
                <c:pt idx="0">
                  <c:v>0.628</c:v>
                </c:pt>
                <c:pt idx="1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03-4336-923B-BDA7DA739980}"/>
            </c:ext>
          </c:extLst>
        </c:ser>
        <c:ser>
          <c:idx val="1"/>
          <c:order val="1"/>
          <c:tx>
            <c:v>2/25/2019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'Gallium - GaSb'!$F$16</c:f>
              <c:numCache>
                <c:formatCode>0.00E+00</c:formatCode>
                <c:ptCount val="1"/>
                <c:pt idx="0">
                  <c:v>3.7399999999999999E-7</c:v>
                </c:pt>
              </c:numCache>
            </c:numRef>
          </c:xVal>
          <c:yVal>
            <c:numRef>
              <c:f>'Gallium - GaSb'!$H$16</c:f>
              <c:numCache>
                <c:formatCode>General</c:formatCode>
                <c:ptCount val="1"/>
                <c:pt idx="0">
                  <c:v>0.64600000000000002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03-4336-923B-BDA7DA739980}"/>
            </c:ext>
          </c:extLst>
        </c:ser>
        <c:ser>
          <c:idx val="2"/>
          <c:order val="2"/>
          <c:tx>
            <c:v>3/25/2019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'Gallium - GaSb'!$F$17:$F$18</c:f>
              <c:numCache>
                <c:formatCode>0.00E+00</c:formatCode>
                <c:ptCount val="2"/>
                <c:pt idx="0">
                  <c:v>2.8999999999999998E-7</c:v>
                </c:pt>
                <c:pt idx="1">
                  <c:v>3.6199999999999999E-7</c:v>
                </c:pt>
              </c:numCache>
            </c:numRef>
          </c:xVal>
          <c:yVal>
            <c:numRef>
              <c:f>'Gallium - GaSb'!$H$17:$H$18</c:f>
              <c:numCache>
                <c:formatCode>General</c:formatCode>
                <c:ptCount val="2"/>
                <c:pt idx="0">
                  <c:v>0.51200000000000001</c:v>
                </c:pt>
                <c:pt idx="1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03-4336-923B-BDA7DA739980}"/>
            </c:ext>
          </c:extLst>
        </c:ser>
        <c:ser>
          <c:idx val="3"/>
          <c:order val="3"/>
          <c:tx>
            <c:v>4/3/2019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'Gallium - GaSb'!$F$19:$F$20</c:f>
              <c:numCache>
                <c:formatCode>0.00E+00</c:formatCode>
                <c:ptCount val="2"/>
                <c:pt idx="0">
                  <c:v>2.7799999999999997E-7</c:v>
                </c:pt>
                <c:pt idx="1">
                  <c:v>3.46E-7</c:v>
                </c:pt>
              </c:numCache>
            </c:numRef>
          </c:xVal>
          <c:yVal>
            <c:numRef>
              <c:f>'Gallium - GaSb'!$H$19:$H$20</c:f>
              <c:numCache>
                <c:formatCode>General</c:formatCode>
                <c:ptCount val="2"/>
                <c:pt idx="0">
                  <c:v>0.52</c:v>
                </c:pt>
                <c:pt idx="1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03-4336-923B-BDA7DA73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61984"/>
        <c:axId val="288360672"/>
      </c:scatterChart>
      <c:valAx>
        <c:axId val="28836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</a:t>
                </a:r>
                <a:r>
                  <a:rPr lang="en-US" baseline="0"/>
                  <a:t> Cell Base Temp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60672"/>
        <c:crosses val="autoZero"/>
        <c:crossBetween val="midCat"/>
      </c:valAx>
      <c:valAx>
        <c:axId val="288360672"/>
        <c:scaling>
          <c:orientation val="minMax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6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'Sb-Valve'!$E$902:$E$908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'Sb-Valve'!$F$902:$F$908</c:f>
              <c:numCache>
                <c:formatCode>0.00E+00</c:formatCode>
                <c:ptCount val="7"/>
                <c:pt idx="0">
                  <c:v>1.5200000000000001E-6</c:v>
                </c:pt>
                <c:pt idx="1">
                  <c:v>1.37E-6</c:v>
                </c:pt>
                <c:pt idx="2">
                  <c:v>1.22E-6</c:v>
                </c:pt>
                <c:pt idx="3">
                  <c:v>1.04E-6</c:v>
                </c:pt>
                <c:pt idx="4">
                  <c:v>8.4900000000000005E-7</c:v>
                </c:pt>
                <c:pt idx="5">
                  <c:v>6.0399999999999996E-7</c:v>
                </c:pt>
                <c:pt idx="6">
                  <c:v>3.39E-7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5-4F98-A9D3-DF72276AE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99976"/>
        <c:axId val="300701288"/>
      </c:scatterChart>
      <c:valAx>
        <c:axId val="30069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01288"/>
        <c:crosses val="autoZero"/>
        <c:crossBetween val="midCat"/>
      </c:valAx>
      <c:valAx>
        <c:axId val="3007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9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'Sb-Valve'!$E$937:$E$944</c:f>
              <c:numCache>
                <c:formatCode>General</c:formatCode>
                <c:ptCount val="8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7">
                  <c:v>0</c:v>
                </c:pt>
              </c:numCache>
            </c:numRef>
          </c:xVal>
          <c:yVal>
            <c:numRef>
              <c:f>'Sb-Valve'!$F$937:$F$944</c:f>
              <c:numCache>
                <c:formatCode>0.00E+00</c:formatCode>
                <c:ptCount val="8"/>
                <c:pt idx="0">
                  <c:v>4.4400000000000001E-7</c:v>
                </c:pt>
                <c:pt idx="1">
                  <c:v>3.96E-7</c:v>
                </c:pt>
                <c:pt idx="2">
                  <c:v>3.5100000000000001E-7</c:v>
                </c:pt>
                <c:pt idx="3">
                  <c:v>3.03E-7</c:v>
                </c:pt>
                <c:pt idx="4">
                  <c:v>2.48E-7</c:v>
                </c:pt>
                <c:pt idx="5">
                  <c:v>1.7700000000000001E-7</c:v>
                </c:pt>
                <c:pt idx="6">
                  <c:v>1.36E-7</c:v>
                </c:pt>
                <c:pt idx="7">
                  <c:v>9.46E-8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9-43CA-9ECD-06EC931F6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99976"/>
        <c:axId val="300701288"/>
      </c:scatterChart>
      <c:valAx>
        <c:axId val="30069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01288"/>
        <c:crosses val="autoZero"/>
        <c:crossBetween val="midCat"/>
      </c:valAx>
      <c:valAx>
        <c:axId val="3007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9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'Sb-Valve'!$E$984:$E$990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'Sb-Valve'!$F$984:$F$990</c:f>
              <c:numCache>
                <c:formatCode>0.00E+00</c:formatCode>
                <c:ptCount val="7"/>
                <c:pt idx="0">
                  <c:v>3.5900000000000003E-7</c:v>
                </c:pt>
                <c:pt idx="1">
                  <c:v>3.1899999999999998E-7</c:v>
                </c:pt>
                <c:pt idx="2">
                  <c:v>2.7799999999999997E-7</c:v>
                </c:pt>
                <c:pt idx="3">
                  <c:v>2.36E-7</c:v>
                </c:pt>
                <c:pt idx="4">
                  <c:v>1.9000000000000001E-7</c:v>
                </c:pt>
                <c:pt idx="5">
                  <c:v>1.35E-7</c:v>
                </c:pt>
                <c:pt idx="6">
                  <c:v>7.0000000000000005E-8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2-4412-8F95-74870305C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99976"/>
        <c:axId val="300701288"/>
      </c:scatterChart>
      <c:valAx>
        <c:axId val="30069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01288"/>
        <c:crosses val="autoZero"/>
        <c:crossBetween val="midCat"/>
      </c:valAx>
      <c:valAx>
        <c:axId val="3007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9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'Sb-Valve'!$E$991:$E$994</c:f>
              <c:numCache>
                <c:formatCode>General</c:formatCode>
                <c:ptCount val="4"/>
                <c:pt idx="0">
                  <c:v>300</c:v>
                </c:pt>
                <c:pt idx="1">
                  <c:v>200</c:v>
                </c:pt>
                <c:pt idx="2">
                  <c:v>100</c:v>
                </c:pt>
                <c:pt idx="3">
                  <c:v>0</c:v>
                </c:pt>
              </c:numCache>
            </c:numRef>
          </c:xVal>
          <c:yVal>
            <c:numRef>
              <c:f>'Sb-Valve'!$F$991:$F$994</c:f>
              <c:numCache>
                <c:formatCode>0.00E+00</c:formatCode>
                <c:ptCount val="4"/>
                <c:pt idx="0">
                  <c:v>1.3799999999999999E-6</c:v>
                </c:pt>
                <c:pt idx="1">
                  <c:v>1.08E-6</c:v>
                </c:pt>
                <c:pt idx="2">
                  <c:v>7.4600000000000004E-7</c:v>
                </c:pt>
                <c:pt idx="3">
                  <c:v>2.7500000000000001E-7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2-4FE2-B3A0-1E06249A1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99976"/>
        <c:axId val="300701288"/>
      </c:scatterChart>
      <c:valAx>
        <c:axId val="30069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01288"/>
        <c:crosses val="autoZero"/>
        <c:crossBetween val="midCat"/>
      </c:valAx>
      <c:valAx>
        <c:axId val="3007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9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Temp vs.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5634908136482942"/>
                  <c:y val="0.1127693934091571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'Gallium - GaSb'!$B$135:$B$157</c:f>
              <c:numCache>
                <c:formatCode>General</c:formatCode>
                <c:ptCount val="23"/>
                <c:pt idx="0">
                  <c:v>893</c:v>
                </c:pt>
                <c:pt idx="1">
                  <c:v>892</c:v>
                </c:pt>
                <c:pt idx="2">
                  <c:v>837</c:v>
                </c:pt>
                <c:pt idx="3">
                  <c:v>827</c:v>
                </c:pt>
                <c:pt idx="4">
                  <c:v>851</c:v>
                </c:pt>
                <c:pt idx="6">
                  <c:v>827</c:v>
                </c:pt>
                <c:pt idx="7">
                  <c:v>893</c:v>
                </c:pt>
                <c:pt idx="8">
                  <c:v>893</c:v>
                </c:pt>
                <c:pt idx="9">
                  <c:v>870</c:v>
                </c:pt>
                <c:pt idx="10">
                  <c:v>827</c:v>
                </c:pt>
                <c:pt idx="11">
                  <c:v>837</c:v>
                </c:pt>
                <c:pt idx="12">
                  <c:v>827</c:v>
                </c:pt>
                <c:pt idx="13">
                  <c:v>893</c:v>
                </c:pt>
                <c:pt idx="14">
                  <c:v>894</c:v>
                </c:pt>
                <c:pt idx="15">
                  <c:v>827</c:v>
                </c:pt>
                <c:pt idx="16">
                  <c:v>854</c:v>
                </c:pt>
                <c:pt idx="17">
                  <c:v>853</c:v>
                </c:pt>
                <c:pt idx="18">
                  <c:v>853</c:v>
                </c:pt>
                <c:pt idx="19">
                  <c:v>854</c:v>
                </c:pt>
                <c:pt idx="20">
                  <c:v>872</c:v>
                </c:pt>
                <c:pt idx="21">
                  <c:v>855</c:v>
                </c:pt>
                <c:pt idx="22">
                  <c:v>893</c:v>
                </c:pt>
              </c:numCache>
            </c:numRef>
          </c:xVal>
          <c:yVal>
            <c:numRef>
              <c:f>'Gallium - GaSb'!$F$135:$F$157</c:f>
              <c:numCache>
                <c:formatCode>0.00E+00</c:formatCode>
                <c:ptCount val="23"/>
                <c:pt idx="0">
                  <c:v>5.2200000000000004E-7</c:v>
                </c:pt>
                <c:pt idx="1">
                  <c:v>5.0500000000000004E-7</c:v>
                </c:pt>
                <c:pt idx="2">
                  <c:v>1.6299999999999999E-7</c:v>
                </c:pt>
                <c:pt idx="3">
                  <c:v>1.3E-7</c:v>
                </c:pt>
                <c:pt idx="4">
                  <c:v>2.2700000000000001E-7</c:v>
                </c:pt>
                <c:pt idx="6">
                  <c:v>1.31E-7</c:v>
                </c:pt>
                <c:pt idx="7">
                  <c:v>5.1799999999999995E-7</c:v>
                </c:pt>
                <c:pt idx="8">
                  <c:v>5.2E-7</c:v>
                </c:pt>
                <c:pt idx="9">
                  <c:v>3.2000000000000001E-7</c:v>
                </c:pt>
                <c:pt idx="10">
                  <c:v>1.3400000000000001E-7</c:v>
                </c:pt>
                <c:pt idx="11">
                  <c:v>1.6999999999999999E-7</c:v>
                </c:pt>
                <c:pt idx="12">
                  <c:v>1.31E-7</c:v>
                </c:pt>
                <c:pt idx="13">
                  <c:v>4.9999999999999998E-7</c:v>
                </c:pt>
                <c:pt idx="14">
                  <c:v>4.9999999999999998E-7</c:v>
                </c:pt>
                <c:pt idx="15">
                  <c:v>1.29E-7</c:v>
                </c:pt>
                <c:pt idx="16">
                  <c:v>2.2600000000000001E-7</c:v>
                </c:pt>
                <c:pt idx="17">
                  <c:v>2.2700000000000001E-7</c:v>
                </c:pt>
                <c:pt idx="18">
                  <c:v>2.2399999999999999E-7</c:v>
                </c:pt>
                <c:pt idx="19">
                  <c:v>2.28E-7</c:v>
                </c:pt>
                <c:pt idx="20">
                  <c:v>3.3200000000000001E-7</c:v>
                </c:pt>
                <c:pt idx="21">
                  <c:v>2.2999999999999999E-7</c:v>
                </c:pt>
                <c:pt idx="22">
                  <c:v>5.0100000000000005E-7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4-48F6-8B39-C00BF15EA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18600"/>
        <c:axId val="285611056"/>
      </c:scatterChart>
      <c:valAx>
        <c:axId val="285618600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11056"/>
        <c:crosses val="autoZero"/>
        <c:crossBetween val="midCat"/>
      </c:valAx>
      <c:valAx>
        <c:axId val="2856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1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 vs. Growth Rate</a:t>
            </a:r>
          </a:p>
        </c:rich>
      </c:tx>
      <c:layout>
        <c:manualLayout>
          <c:xMode val="edge"/>
          <c:yMode val="edge"/>
          <c:x val="0.2689582239720034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4285936132983375"/>
                  <c:y val="8.8425925925925929E-3"/>
                </c:manualLayout>
              </c:layout>
              <c:numFmt formatCode="0.00E+00" sourceLinked="0"/>
            </c:trendlineLbl>
          </c:trendline>
          <c:xVal>
            <c:numRef>
              <c:f>'Gallium - GaSb'!$F$77:$F$154</c:f>
              <c:numCache>
                <c:formatCode>0.00E+00</c:formatCode>
                <c:ptCount val="78"/>
                <c:pt idx="0">
                  <c:v>5.1099999999999996E-7</c:v>
                </c:pt>
                <c:pt idx="1">
                  <c:v>2.6899999999999999E-7</c:v>
                </c:pt>
                <c:pt idx="2">
                  <c:v>1.4100000000000001E-7</c:v>
                </c:pt>
                <c:pt idx="4">
                  <c:v>5.1200000000000003E-7</c:v>
                </c:pt>
                <c:pt idx="5">
                  <c:v>1.3799999999999999E-7</c:v>
                </c:pt>
                <c:pt idx="6">
                  <c:v>4.9800000000000004E-7</c:v>
                </c:pt>
                <c:pt idx="7">
                  <c:v>1.4000000000000001E-7</c:v>
                </c:pt>
                <c:pt idx="8">
                  <c:v>1.36E-7</c:v>
                </c:pt>
                <c:pt idx="9">
                  <c:v>1.68E-7</c:v>
                </c:pt>
                <c:pt idx="10">
                  <c:v>1.4000000000000001E-7</c:v>
                </c:pt>
                <c:pt idx="11">
                  <c:v>1.36E-7</c:v>
                </c:pt>
                <c:pt idx="12">
                  <c:v>1.35E-7</c:v>
                </c:pt>
                <c:pt idx="13">
                  <c:v>1.37E-7</c:v>
                </c:pt>
                <c:pt idx="14">
                  <c:v>1.35E-7</c:v>
                </c:pt>
                <c:pt idx="15">
                  <c:v>1.35E-7</c:v>
                </c:pt>
                <c:pt idx="16">
                  <c:v>1.35E-7</c:v>
                </c:pt>
                <c:pt idx="17">
                  <c:v>1.3300000000000001E-7</c:v>
                </c:pt>
                <c:pt idx="18">
                  <c:v>1.3E-7</c:v>
                </c:pt>
                <c:pt idx="19">
                  <c:v>5.0500000000000004E-7</c:v>
                </c:pt>
                <c:pt idx="20">
                  <c:v>3.1300000000000001E-7</c:v>
                </c:pt>
                <c:pt idx="21">
                  <c:v>4.9699999999999996E-7</c:v>
                </c:pt>
                <c:pt idx="22">
                  <c:v>3.1E-7</c:v>
                </c:pt>
                <c:pt idx="23">
                  <c:v>5.0699999999999997E-7</c:v>
                </c:pt>
                <c:pt idx="24">
                  <c:v>3.03E-7</c:v>
                </c:pt>
                <c:pt idx="25">
                  <c:v>5.2E-7</c:v>
                </c:pt>
                <c:pt idx="26">
                  <c:v>5.1200000000000003E-7</c:v>
                </c:pt>
                <c:pt idx="27">
                  <c:v>3.3000000000000002E-7</c:v>
                </c:pt>
                <c:pt idx="28">
                  <c:v>2.1799999999999999E-7</c:v>
                </c:pt>
                <c:pt idx="29">
                  <c:v>2.23E-7</c:v>
                </c:pt>
                <c:pt idx="30">
                  <c:v>1.68E-7</c:v>
                </c:pt>
                <c:pt idx="31">
                  <c:v>1.6899999999999999E-7</c:v>
                </c:pt>
                <c:pt idx="32">
                  <c:v>1.3300000000000001E-7</c:v>
                </c:pt>
                <c:pt idx="33">
                  <c:v>1.6999999999999999E-7</c:v>
                </c:pt>
                <c:pt idx="34">
                  <c:v>1.35E-7</c:v>
                </c:pt>
                <c:pt idx="35">
                  <c:v>3.3299999999999998E-7</c:v>
                </c:pt>
                <c:pt idx="36">
                  <c:v>2.1500000000000001E-7</c:v>
                </c:pt>
                <c:pt idx="37">
                  <c:v>1.6999999999999999E-7</c:v>
                </c:pt>
                <c:pt idx="38">
                  <c:v>5.0999999999999999E-7</c:v>
                </c:pt>
                <c:pt idx="39">
                  <c:v>1.68E-7</c:v>
                </c:pt>
                <c:pt idx="40">
                  <c:v>5.0399999999999996E-7</c:v>
                </c:pt>
                <c:pt idx="41">
                  <c:v>1.67E-7</c:v>
                </c:pt>
                <c:pt idx="42">
                  <c:v>1.6999999999999999E-7</c:v>
                </c:pt>
                <c:pt idx="43">
                  <c:v>5.0999999999999999E-7</c:v>
                </c:pt>
                <c:pt idx="44">
                  <c:v>2.9900000000000002E-7</c:v>
                </c:pt>
                <c:pt idx="45">
                  <c:v>1.6500000000000001E-7</c:v>
                </c:pt>
                <c:pt idx="46">
                  <c:v>4.9900000000000001E-7</c:v>
                </c:pt>
                <c:pt idx="47">
                  <c:v>1.6199999999999999E-7</c:v>
                </c:pt>
                <c:pt idx="48">
                  <c:v>4.8999999999999997E-7</c:v>
                </c:pt>
                <c:pt idx="49">
                  <c:v>5.0399999999999996E-7</c:v>
                </c:pt>
                <c:pt idx="50">
                  <c:v>3.2300000000000002E-7</c:v>
                </c:pt>
                <c:pt idx="51">
                  <c:v>3.3299999999999998E-7</c:v>
                </c:pt>
                <c:pt idx="52">
                  <c:v>2.22E-7</c:v>
                </c:pt>
                <c:pt idx="53">
                  <c:v>2.28E-7</c:v>
                </c:pt>
                <c:pt idx="55">
                  <c:v>2.2600000000000001E-7</c:v>
                </c:pt>
                <c:pt idx="56">
                  <c:v>5.1500000000000005E-7</c:v>
                </c:pt>
                <c:pt idx="57">
                  <c:v>1.3199999999999999E-7</c:v>
                </c:pt>
                <c:pt idx="58">
                  <c:v>5.2200000000000004E-7</c:v>
                </c:pt>
                <c:pt idx="59">
                  <c:v>5.0500000000000004E-7</c:v>
                </c:pt>
                <c:pt idx="60">
                  <c:v>1.6299999999999999E-7</c:v>
                </c:pt>
                <c:pt idx="61">
                  <c:v>1.3E-7</c:v>
                </c:pt>
                <c:pt idx="62">
                  <c:v>2.2700000000000001E-7</c:v>
                </c:pt>
                <c:pt idx="64">
                  <c:v>1.31E-7</c:v>
                </c:pt>
                <c:pt idx="65">
                  <c:v>5.1799999999999995E-7</c:v>
                </c:pt>
                <c:pt idx="66">
                  <c:v>5.2E-7</c:v>
                </c:pt>
                <c:pt idx="67">
                  <c:v>3.2000000000000001E-7</c:v>
                </c:pt>
                <c:pt idx="68">
                  <c:v>1.3400000000000001E-7</c:v>
                </c:pt>
                <c:pt idx="69">
                  <c:v>1.6999999999999999E-7</c:v>
                </c:pt>
                <c:pt idx="70">
                  <c:v>1.31E-7</c:v>
                </c:pt>
                <c:pt idx="71">
                  <c:v>4.9999999999999998E-7</c:v>
                </c:pt>
                <c:pt idx="72">
                  <c:v>4.9999999999999998E-7</c:v>
                </c:pt>
                <c:pt idx="73">
                  <c:v>1.29E-7</c:v>
                </c:pt>
                <c:pt idx="74">
                  <c:v>2.2600000000000001E-7</c:v>
                </c:pt>
                <c:pt idx="75">
                  <c:v>2.2700000000000001E-7</c:v>
                </c:pt>
                <c:pt idx="76">
                  <c:v>2.2399999999999999E-7</c:v>
                </c:pt>
                <c:pt idx="77">
                  <c:v>2.28E-7</c:v>
                </c:pt>
              </c:numCache>
            </c:numRef>
          </c:xVal>
          <c:yVal>
            <c:numRef>
              <c:f>'Gallium - GaSb'!$H$77:$H$154</c:f>
              <c:numCache>
                <c:formatCode>General</c:formatCode>
                <c:ptCount val="78"/>
                <c:pt idx="0">
                  <c:v>0.88</c:v>
                </c:pt>
                <c:pt idx="4">
                  <c:v>0.88</c:v>
                </c:pt>
                <c:pt idx="5">
                  <c:v>0.25</c:v>
                </c:pt>
                <c:pt idx="6">
                  <c:v>0.89</c:v>
                </c:pt>
                <c:pt idx="8">
                  <c:v>0.248</c:v>
                </c:pt>
                <c:pt idx="9">
                  <c:v>0.26200000000000001</c:v>
                </c:pt>
                <c:pt idx="10">
                  <c:v>0.24199999999999999</c:v>
                </c:pt>
                <c:pt idx="11">
                  <c:v>0.23599999999999999</c:v>
                </c:pt>
                <c:pt idx="12">
                  <c:v>0.24299999999999999</c:v>
                </c:pt>
                <c:pt idx="14">
                  <c:v>0.24</c:v>
                </c:pt>
                <c:pt idx="15">
                  <c:v>0.245</c:v>
                </c:pt>
                <c:pt idx="16">
                  <c:v>0.23</c:v>
                </c:pt>
                <c:pt idx="17">
                  <c:v>0.23</c:v>
                </c:pt>
                <c:pt idx="18">
                  <c:v>0.24</c:v>
                </c:pt>
                <c:pt idx="26">
                  <c:v>0.9</c:v>
                </c:pt>
                <c:pt idx="27">
                  <c:v>0.61499999999999999</c:v>
                </c:pt>
                <c:pt idx="28">
                  <c:v>0.42</c:v>
                </c:pt>
                <c:pt idx="29">
                  <c:v>0.4</c:v>
                </c:pt>
                <c:pt idx="30">
                  <c:v>0.3</c:v>
                </c:pt>
                <c:pt idx="35">
                  <c:v>0.60199999999999998</c:v>
                </c:pt>
                <c:pt idx="37">
                  <c:v>0.30099999999999999</c:v>
                </c:pt>
                <c:pt idx="38">
                  <c:v>0.89800000000000002</c:v>
                </c:pt>
                <c:pt idx="40">
                  <c:v>0.89</c:v>
                </c:pt>
                <c:pt idx="51">
                  <c:v>0.64600000000000002</c:v>
                </c:pt>
                <c:pt idx="53">
                  <c:v>0.39900000000000002</c:v>
                </c:pt>
                <c:pt idx="55">
                  <c:v>0.40600000000000003</c:v>
                </c:pt>
                <c:pt idx="62">
                  <c:v>0.39</c:v>
                </c:pt>
                <c:pt idx="65">
                  <c:v>0.92</c:v>
                </c:pt>
                <c:pt idx="75">
                  <c:v>0.39</c:v>
                </c:pt>
                <c:pt idx="76">
                  <c:v>0.38</c:v>
                </c:pt>
                <c:pt idx="77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01-4C0E-863E-82176920F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18600"/>
        <c:axId val="285611056"/>
      </c:scatterChart>
      <c:valAx>
        <c:axId val="2856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11056"/>
        <c:crosses val="autoZero"/>
        <c:crossBetween val="midCat"/>
      </c:valAx>
      <c:valAx>
        <c:axId val="2856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186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Temp vs. Flux - Aug 22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5634908136482942"/>
                  <c:y val="0.1127693934091571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'Gallium - GaSb'!$B$135:$B$168</c:f>
              <c:numCache>
                <c:formatCode>General</c:formatCode>
                <c:ptCount val="34"/>
                <c:pt idx="0">
                  <c:v>893</c:v>
                </c:pt>
                <c:pt idx="1">
                  <c:v>892</c:v>
                </c:pt>
                <c:pt idx="2">
                  <c:v>837</c:v>
                </c:pt>
                <c:pt idx="3">
                  <c:v>827</c:v>
                </c:pt>
                <c:pt idx="4">
                  <c:v>851</c:v>
                </c:pt>
                <c:pt idx="6">
                  <c:v>827</c:v>
                </c:pt>
                <c:pt idx="7">
                  <c:v>893</c:v>
                </c:pt>
                <c:pt idx="8">
                  <c:v>893</c:v>
                </c:pt>
                <c:pt idx="9">
                  <c:v>870</c:v>
                </c:pt>
                <c:pt idx="10">
                  <c:v>827</c:v>
                </c:pt>
                <c:pt idx="11">
                  <c:v>837</c:v>
                </c:pt>
                <c:pt idx="12">
                  <c:v>827</c:v>
                </c:pt>
                <c:pt idx="13">
                  <c:v>893</c:v>
                </c:pt>
                <c:pt idx="14">
                  <c:v>894</c:v>
                </c:pt>
                <c:pt idx="15">
                  <c:v>827</c:v>
                </c:pt>
                <c:pt idx="16">
                  <c:v>854</c:v>
                </c:pt>
                <c:pt idx="17">
                  <c:v>853</c:v>
                </c:pt>
                <c:pt idx="18">
                  <c:v>853</c:v>
                </c:pt>
                <c:pt idx="19">
                  <c:v>854</c:v>
                </c:pt>
                <c:pt idx="20">
                  <c:v>872</c:v>
                </c:pt>
                <c:pt idx="21">
                  <c:v>855</c:v>
                </c:pt>
                <c:pt idx="22">
                  <c:v>893</c:v>
                </c:pt>
                <c:pt idx="23">
                  <c:v>870</c:v>
                </c:pt>
                <c:pt idx="24">
                  <c:v>855</c:v>
                </c:pt>
                <c:pt idx="25">
                  <c:v>870</c:v>
                </c:pt>
                <c:pt idx="26">
                  <c:v>855</c:v>
                </c:pt>
                <c:pt idx="27">
                  <c:v>850</c:v>
                </c:pt>
                <c:pt idx="28">
                  <c:v>850</c:v>
                </c:pt>
                <c:pt idx="29">
                  <c:v>850</c:v>
                </c:pt>
                <c:pt idx="30">
                  <c:v>893</c:v>
                </c:pt>
                <c:pt idx="31">
                  <c:v>894</c:v>
                </c:pt>
                <c:pt idx="32">
                  <c:v>894</c:v>
                </c:pt>
                <c:pt idx="33">
                  <c:v>894</c:v>
                </c:pt>
              </c:numCache>
            </c:numRef>
          </c:xVal>
          <c:yVal>
            <c:numRef>
              <c:f>'Gallium - GaSb'!$F$135:$F$168</c:f>
              <c:numCache>
                <c:formatCode>0.00E+00</c:formatCode>
                <c:ptCount val="34"/>
                <c:pt idx="0">
                  <c:v>5.2200000000000004E-7</c:v>
                </c:pt>
                <c:pt idx="1">
                  <c:v>5.0500000000000004E-7</c:v>
                </c:pt>
                <c:pt idx="2">
                  <c:v>1.6299999999999999E-7</c:v>
                </c:pt>
                <c:pt idx="3">
                  <c:v>1.3E-7</c:v>
                </c:pt>
                <c:pt idx="4">
                  <c:v>2.2700000000000001E-7</c:v>
                </c:pt>
                <c:pt idx="6">
                  <c:v>1.31E-7</c:v>
                </c:pt>
                <c:pt idx="7">
                  <c:v>5.1799999999999995E-7</c:v>
                </c:pt>
                <c:pt idx="8">
                  <c:v>5.2E-7</c:v>
                </c:pt>
                <c:pt idx="9">
                  <c:v>3.2000000000000001E-7</c:v>
                </c:pt>
                <c:pt idx="10">
                  <c:v>1.3400000000000001E-7</c:v>
                </c:pt>
                <c:pt idx="11">
                  <c:v>1.6999999999999999E-7</c:v>
                </c:pt>
                <c:pt idx="12">
                  <c:v>1.31E-7</c:v>
                </c:pt>
                <c:pt idx="13">
                  <c:v>4.9999999999999998E-7</c:v>
                </c:pt>
                <c:pt idx="14">
                  <c:v>4.9999999999999998E-7</c:v>
                </c:pt>
                <c:pt idx="15">
                  <c:v>1.29E-7</c:v>
                </c:pt>
                <c:pt idx="16">
                  <c:v>2.2600000000000001E-7</c:v>
                </c:pt>
                <c:pt idx="17">
                  <c:v>2.2700000000000001E-7</c:v>
                </c:pt>
                <c:pt idx="18">
                  <c:v>2.2399999999999999E-7</c:v>
                </c:pt>
                <c:pt idx="19">
                  <c:v>2.28E-7</c:v>
                </c:pt>
                <c:pt idx="20">
                  <c:v>3.3200000000000001E-7</c:v>
                </c:pt>
                <c:pt idx="21">
                  <c:v>2.2999999999999999E-7</c:v>
                </c:pt>
                <c:pt idx="22">
                  <c:v>5.0100000000000005E-7</c:v>
                </c:pt>
                <c:pt idx="23">
                  <c:v>3.4799999999999999E-7</c:v>
                </c:pt>
                <c:pt idx="24">
                  <c:v>2.28E-7</c:v>
                </c:pt>
                <c:pt idx="25">
                  <c:v>3.3000000000000002E-7</c:v>
                </c:pt>
                <c:pt idx="26">
                  <c:v>2.2600000000000001E-7</c:v>
                </c:pt>
                <c:pt idx="27">
                  <c:v>2.2399999999999999E-7</c:v>
                </c:pt>
                <c:pt idx="28">
                  <c:v>2.05E-7</c:v>
                </c:pt>
                <c:pt idx="29">
                  <c:v>2.1E-7</c:v>
                </c:pt>
                <c:pt idx="30">
                  <c:v>5.0500000000000004E-7</c:v>
                </c:pt>
                <c:pt idx="31">
                  <c:v>5.0299999999999999E-7</c:v>
                </c:pt>
                <c:pt idx="32">
                  <c:v>5.2E-7</c:v>
                </c:pt>
                <c:pt idx="33">
                  <c:v>5.3499999999999996E-7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2-42FF-9494-D9D03F083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18600"/>
        <c:axId val="285611056"/>
      </c:scatterChart>
      <c:valAx>
        <c:axId val="285618600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11056"/>
        <c:crosses val="autoZero"/>
        <c:crossBetween val="midCat"/>
      </c:valAx>
      <c:valAx>
        <c:axId val="2856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1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Flux vs. Growth Rate - Jun 2022 on</a:t>
            </a:r>
          </a:p>
        </c:rich>
      </c:tx>
      <c:layout>
        <c:manualLayout>
          <c:xMode val="edge"/>
          <c:yMode val="edge"/>
          <c:x val="0.2689582239720034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0.0000E+00" sourceLinked="0"/>
            </c:trendlineLbl>
          </c:trendline>
          <c:xVal>
            <c:numRef>
              <c:f>'Gallium - GaSb'!$F$117:$F$169</c:f>
              <c:numCache>
                <c:formatCode>0.00E+00</c:formatCode>
                <c:ptCount val="53"/>
                <c:pt idx="0">
                  <c:v>5.0399999999999996E-7</c:v>
                </c:pt>
                <c:pt idx="1">
                  <c:v>1.67E-7</c:v>
                </c:pt>
                <c:pt idx="2">
                  <c:v>1.6999999999999999E-7</c:v>
                </c:pt>
                <c:pt idx="3">
                  <c:v>5.0999999999999999E-7</c:v>
                </c:pt>
                <c:pt idx="4">
                  <c:v>2.9900000000000002E-7</c:v>
                </c:pt>
                <c:pt idx="5">
                  <c:v>1.6500000000000001E-7</c:v>
                </c:pt>
                <c:pt idx="6">
                  <c:v>4.9900000000000001E-7</c:v>
                </c:pt>
                <c:pt idx="7">
                  <c:v>1.6199999999999999E-7</c:v>
                </c:pt>
                <c:pt idx="8">
                  <c:v>4.8999999999999997E-7</c:v>
                </c:pt>
                <c:pt idx="9">
                  <c:v>5.0399999999999996E-7</c:v>
                </c:pt>
                <c:pt idx="10">
                  <c:v>3.2300000000000002E-7</c:v>
                </c:pt>
                <c:pt idx="11">
                  <c:v>3.3299999999999998E-7</c:v>
                </c:pt>
                <c:pt idx="12">
                  <c:v>2.22E-7</c:v>
                </c:pt>
                <c:pt idx="13">
                  <c:v>2.28E-7</c:v>
                </c:pt>
                <c:pt idx="15">
                  <c:v>2.2600000000000001E-7</c:v>
                </c:pt>
                <c:pt idx="16">
                  <c:v>5.1500000000000005E-7</c:v>
                </c:pt>
                <c:pt idx="17">
                  <c:v>1.3199999999999999E-7</c:v>
                </c:pt>
                <c:pt idx="18">
                  <c:v>5.2200000000000004E-7</c:v>
                </c:pt>
                <c:pt idx="19">
                  <c:v>5.0500000000000004E-7</c:v>
                </c:pt>
                <c:pt idx="20">
                  <c:v>1.6299999999999999E-7</c:v>
                </c:pt>
                <c:pt idx="21">
                  <c:v>1.3E-7</c:v>
                </c:pt>
                <c:pt idx="22">
                  <c:v>2.2700000000000001E-7</c:v>
                </c:pt>
                <c:pt idx="24">
                  <c:v>1.31E-7</c:v>
                </c:pt>
                <c:pt idx="25">
                  <c:v>5.1799999999999995E-7</c:v>
                </c:pt>
                <c:pt idx="26">
                  <c:v>5.2E-7</c:v>
                </c:pt>
                <c:pt idx="27">
                  <c:v>3.2000000000000001E-7</c:v>
                </c:pt>
                <c:pt idx="28">
                  <c:v>1.3400000000000001E-7</c:v>
                </c:pt>
                <c:pt idx="29">
                  <c:v>1.6999999999999999E-7</c:v>
                </c:pt>
                <c:pt idx="30">
                  <c:v>1.31E-7</c:v>
                </c:pt>
                <c:pt idx="31">
                  <c:v>4.9999999999999998E-7</c:v>
                </c:pt>
                <c:pt idx="32">
                  <c:v>4.9999999999999998E-7</c:v>
                </c:pt>
                <c:pt idx="33">
                  <c:v>1.29E-7</c:v>
                </c:pt>
                <c:pt idx="34">
                  <c:v>2.2600000000000001E-7</c:v>
                </c:pt>
                <c:pt idx="35">
                  <c:v>2.2700000000000001E-7</c:v>
                </c:pt>
                <c:pt idx="36">
                  <c:v>2.2399999999999999E-7</c:v>
                </c:pt>
                <c:pt idx="37">
                  <c:v>2.28E-7</c:v>
                </c:pt>
                <c:pt idx="38">
                  <c:v>3.3200000000000001E-7</c:v>
                </c:pt>
                <c:pt idx="39">
                  <c:v>2.2999999999999999E-7</c:v>
                </c:pt>
                <c:pt idx="40">
                  <c:v>5.0100000000000005E-7</c:v>
                </c:pt>
                <c:pt idx="41">
                  <c:v>3.4799999999999999E-7</c:v>
                </c:pt>
                <c:pt idx="42">
                  <c:v>2.28E-7</c:v>
                </c:pt>
                <c:pt idx="43">
                  <c:v>3.3000000000000002E-7</c:v>
                </c:pt>
                <c:pt idx="44">
                  <c:v>2.2600000000000001E-7</c:v>
                </c:pt>
                <c:pt idx="45">
                  <c:v>2.2399999999999999E-7</c:v>
                </c:pt>
                <c:pt idx="46">
                  <c:v>2.05E-7</c:v>
                </c:pt>
                <c:pt idx="47">
                  <c:v>2.1E-7</c:v>
                </c:pt>
                <c:pt idx="48">
                  <c:v>5.0500000000000004E-7</c:v>
                </c:pt>
                <c:pt idx="49">
                  <c:v>5.0299999999999999E-7</c:v>
                </c:pt>
                <c:pt idx="50">
                  <c:v>5.2E-7</c:v>
                </c:pt>
                <c:pt idx="51">
                  <c:v>5.3499999999999996E-7</c:v>
                </c:pt>
                <c:pt idx="52">
                  <c:v>4.5999999999999999E-7</c:v>
                </c:pt>
              </c:numCache>
            </c:numRef>
          </c:xVal>
          <c:yVal>
            <c:numRef>
              <c:f>'Gallium - GaSb'!$H$117:$H$169</c:f>
              <c:numCache>
                <c:formatCode>General</c:formatCode>
                <c:ptCount val="53"/>
                <c:pt idx="0">
                  <c:v>0.89</c:v>
                </c:pt>
                <c:pt idx="11">
                  <c:v>0.64600000000000002</c:v>
                </c:pt>
                <c:pt idx="13">
                  <c:v>0.39900000000000002</c:v>
                </c:pt>
                <c:pt idx="15">
                  <c:v>0.40600000000000003</c:v>
                </c:pt>
                <c:pt idx="22">
                  <c:v>0.39</c:v>
                </c:pt>
                <c:pt idx="25">
                  <c:v>0.92</c:v>
                </c:pt>
                <c:pt idx="35">
                  <c:v>0.39</c:v>
                </c:pt>
                <c:pt idx="36">
                  <c:v>0.38</c:v>
                </c:pt>
                <c:pt idx="37">
                  <c:v>0.38</c:v>
                </c:pt>
                <c:pt idx="38">
                  <c:v>0.72</c:v>
                </c:pt>
                <c:pt idx="41">
                  <c:v>0.66500000000000004</c:v>
                </c:pt>
                <c:pt idx="42">
                  <c:v>0.41</c:v>
                </c:pt>
                <c:pt idx="43">
                  <c:v>0.61199999999999999</c:v>
                </c:pt>
                <c:pt idx="44">
                  <c:v>0.438</c:v>
                </c:pt>
                <c:pt idx="49">
                  <c:v>0.94</c:v>
                </c:pt>
                <c:pt idx="50">
                  <c:v>0.96</c:v>
                </c:pt>
                <c:pt idx="51">
                  <c:v>0.98</c:v>
                </c:pt>
                <c:pt idx="52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1-4097-AF31-D5E963009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18600"/>
        <c:axId val="285611056"/>
      </c:scatterChart>
      <c:valAx>
        <c:axId val="2856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85611056"/>
        <c:crosses val="autoZero"/>
        <c:crossBetween val="midCat"/>
      </c:valAx>
      <c:valAx>
        <c:axId val="2856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856186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Flux vs. Growth Rate - Oct 2022 on</a:t>
            </a:r>
          </a:p>
        </c:rich>
      </c:tx>
      <c:layout>
        <c:manualLayout>
          <c:xMode val="edge"/>
          <c:yMode val="edge"/>
          <c:x val="0.2689582239720034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backward val="1.0000000000000005E-7"/>
            <c:dispRSqr val="1"/>
            <c:dispEq val="1"/>
            <c:trendlineLbl>
              <c:numFmt formatCode="0.0000E+00" sourceLinked="0"/>
            </c:trendlineLbl>
          </c:trendline>
          <c:xVal>
            <c:numRef>
              <c:f>'Gallium - GaSb'!$F$152:$F$169</c:f>
              <c:numCache>
                <c:formatCode>0.00E+00</c:formatCode>
                <c:ptCount val="18"/>
                <c:pt idx="0">
                  <c:v>2.2700000000000001E-7</c:v>
                </c:pt>
                <c:pt idx="1">
                  <c:v>2.2399999999999999E-7</c:v>
                </c:pt>
                <c:pt idx="2">
                  <c:v>2.28E-7</c:v>
                </c:pt>
                <c:pt idx="3">
                  <c:v>3.3200000000000001E-7</c:v>
                </c:pt>
                <c:pt idx="4">
                  <c:v>2.2999999999999999E-7</c:v>
                </c:pt>
                <c:pt idx="5">
                  <c:v>5.0100000000000005E-7</c:v>
                </c:pt>
                <c:pt idx="6">
                  <c:v>3.4799999999999999E-7</c:v>
                </c:pt>
                <c:pt idx="7">
                  <c:v>2.28E-7</c:v>
                </c:pt>
                <c:pt idx="8">
                  <c:v>3.3000000000000002E-7</c:v>
                </c:pt>
                <c:pt idx="9">
                  <c:v>2.2600000000000001E-7</c:v>
                </c:pt>
                <c:pt idx="10">
                  <c:v>2.2399999999999999E-7</c:v>
                </c:pt>
                <c:pt idx="11">
                  <c:v>2.05E-7</c:v>
                </c:pt>
                <c:pt idx="12">
                  <c:v>2.1E-7</c:v>
                </c:pt>
                <c:pt idx="13">
                  <c:v>5.0500000000000004E-7</c:v>
                </c:pt>
                <c:pt idx="14">
                  <c:v>5.0299999999999999E-7</c:v>
                </c:pt>
                <c:pt idx="15">
                  <c:v>5.2E-7</c:v>
                </c:pt>
                <c:pt idx="16">
                  <c:v>5.3499999999999996E-7</c:v>
                </c:pt>
                <c:pt idx="17">
                  <c:v>4.5999999999999999E-7</c:v>
                </c:pt>
              </c:numCache>
            </c:numRef>
          </c:xVal>
          <c:yVal>
            <c:numRef>
              <c:f>'Gallium - GaSb'!$H$152:$H$169</c:f>
              <c:numCache>
                <c:formatCode>General</c:formatCode>
                <c:ptCount val="18"/>
                <c:pt idx="0">
                  <c:v>0.39</c:v>
                </c:pt>
                <c:pt idx="1">
                  <c:v>0.38</c:v>
                </c:pt>
                <c:pt idx="2">
                  <c:v>0.38</c:v>
                </c:pt>
                <c:pt idx="3">
                  <c:v>0.72</c:v>
                </c:pt>
                <c:pt idx="6">
                  <c:v>0.66500000000000004</c:v>
                </c:pt>
                <c:pt idx="7">
                  <c:v>0.41</c:v>
                </c:pt>
                <c:pt idx="8">
                  <c:v>0.61199999999999999</c:v>
                </c:pt>
                <c:pt idx="9">
                  <c:v>0.438</c:v>
                </c:pt>
                <c:pt idx="14">
                  <c:v>0.94</c:v>
                </c:pt>
                <c:pt idx="15">
                  <c:v>0.96</c:v>
                </c:pt>
                <c:pt idx="16">
                  <c:v>0.98</c:v>
                </c:pt>
                <c:pt idx="17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5-4424-9DC2-5CB9B7DD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18600"/>
        <c:axId val="285611056"/>
      </c:scatterChart>
      <c:valAx>
        <c:axId val="2856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85611056"/>
        <c:crosses val="autoZero"/>
        <c:crossBetween val="midCat"/>
      </c:valAx>
      <c:valAx>
        <c:axId val="2856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856186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'Gallium - GaSb'!$F$169:$F$176</c:f>
              <c:numCache>
                <c:formatCode>0.00E+00</c:formatCode>
                <c:ptCount val="8"/>
                <c:pt idx="0">
                  <c:v>4.5999999999999999E-7</c:v>
                </c:pt>
                <c:pt idx="1">
                  <c:v>5.2E-7</c:v>
                </c:pt>
                <c:pt idx="2">
                  <c:v>4.2599999999999998E-7</c:v>
                </c:pt>
                <c:pt idx="3">
                  <c:v>1.06E-7</c:v>
                </c:pt>
                <c:pt idx="4">
                  <c:v>4.1300000000000001E-7</c:v>
                </c:pt>
                <c:pt idx="5">
                  <c:v>1.11E-7</c:v>
                </c:pt>
                <c:pt idx="6">
                  <c:v>4.1300000000000001E-7</c:v>
                </c:pt>
                <c:pt idx="7">
                  <c:v>1.08E-7</c:v>
                </c:pt>
              </c:numCache>
            </c:numRef>
          </c:xVal>
          <c:yVal>
            <c:numRef>
              <c:f>'Gallium - GaSb'!$H$169:$H$176</c:f>
              <c:numCache>
                <c:formatCode>General</c:formatCode>
                <c:ptCount val="8"/>
                <c:pt idx="0">
                  <c:v>1.06</c:v>
                </c:pt>
                <c:pt idx="1">
                  <c:v>1.17</c:v>
                </c:pt>
                <c:pt idx="2">
                  <c:v>0.95</c:v>
                </c:pt>
                <c:pt idx="3">
                  <c:v>0.23</c:v>
                </c:pt>
                <c:pt idx="4">
                  <c:v>0.96</c:v>
                </c:pt>
                <c:pt idx="5">
                  <c:v>0.23</c:v>
                </c:pt>
                <c:pt idx="6">
                  <c:v>0.96</c:v>
                </c:pt>
                <c:pt idx="7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4-4285-BD05-B37124E3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75296"/>
        <c:axId val="312776936"/>
      </c:scatterChart>
      <c:valAx>
        <c:axId val="3127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76936"/>
        <c:crosses val="autoZero"/>
        <c:crossBetween val="midCat"/>
      </c:valAx>
      <c:valAx>
        <c:axId val="31277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 vs. GR</a:t>
            </a:r>
            <a:r>
              <a:rPr lang="en-US" baseline="0"/>
              <a:t> 5/2023 - Present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'Gallium - GaSb'!$F$178:$F$190</c:f>
              <c:numCache>
                <c:formatCode>0.00E+00</c:formatCode>
                <c:ptCount val="13"/>
                <c:pt idx="0">
                  <c:v>5.5799999999999999E-7</c:v>
                </c:pt>
                <c:pt idx="1">
                  <c:v>2.6899999999999999E-7</c:v>
                </c:pt>
                <c:pt idx="2">
                  <c:v>1.3199999999999999E-7</c:v>
                </c:pt>
                <c:pt idx="3">
                  <c:v>5.5799999999999999E-7</c:v>
                </c:pt>
                <c:pt idx="4">
                  <c:v>2.6899999999999999E-7</c:v>
                </c:pt>
                <c:pt idx="5">
                  <c:v>1.3199999999999999E-7</c:v>
                </c:pt>
                <c:pt idx="6">
                  <c:v>5.3099999999999998E-7</c:v>
                </c:pt>
                <c:pt idx="7">
                  <c:v>5.3200000000000005E-7</c:v>
                </c:pt>
                <c:pt idx="8">
                  <c:v>2.28E-7</c:v>
                </c:pt>
                <c:pt idx="9">
                  <c:v>2.1400000000000001E-7</c:v>
                </c:pt>
                <c:pt idx="10">
                  <c:v>2.3099999999999999E-7</c:v>
                </c:pt>
                <c:pt idx="11">
                  <c:v>5.6599999999999996E-7</c:v>
                </c:pt>
                <c:pt idx="12">
                  <c:v>5.5899999999999996E-7</c:v>
                </c:pt>
              </c:numCache>
            </c:numRef>
          </c:xVal>
          <c:yVal>
            <c:numRef>
              <c:f>'Gallium - GaSb'!$H$178:$H$190</c:f>
              <c:numCache>
                <c:formatCode>General</c:formatCode>
                <c:ptCount val="13"/>
                <c:pt idx="0">
                  <c:v>1.05</c:v>
                </c:pt>
                <c:pt idx="1">
                  <c:v>0.47499999999999998</c:v>
                </c:pt>
                <c:pt idx="2">
                  <c:v>0.254</c:v>
                </c:pt>
                <c:pt idx="3">
                  <c:v>1</c:v>
                </c:pt>
                <c:pt idx="4">
                  <c:v>0.45</c:v>
                </c:pt>
                <c:pt idx="5">
                  <c:v>0.25900000000000001</c:v>
                </c:pt>
                <c:pt idx="8">
                  <c:v>0.45900000000000002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4-4797-B0D7-EB455AB6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75296"/>
        <c:axId val="312776936"/>
      </c:scatterChart>
      <c:valAx>
        <c:axId val="3127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76936"/>
        <c:crosses val="autoZero"/>
        <c:crossBetween val="midCat"/>
      </c:valAx>
      <c:valAx>
        <c:axId val="31277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Bulk Temp vs. Flux 5/2023</a:t>
            </a:r>
            <a:r>
              <a:rPr lang="en-US" baseline="0"/>
              <a:t> - Present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'Gallium - GaSb'!$B$178:$B$192</c:f>
              <c:numCache>
                <c:formatCode>General</c:formatCode>
                <c:ptCount val="15"/>
                <c:pt idx="0">
                  <c:v>890</c:v>
                </c:pt>
                <c:pt idx="1">
                  <c:v>850</c:v>
                </c:pt>
                <c:pt idx="2">
                  <c:v>825</c:v>
                </c:pt>
                <c:pt idx="3">
                  <c:v>890</c:v>
                </c:pt>
                <c:pt idx="4">
                  <c:v>850</c:v>
                </c:pt>
                <c:pt idx="5">
                  <c:v>825</c:v>
                </c:pt>
                <c:pt idx="6">
                  <c:v>890</c:v>
                </c:pt>
                <c:pt idx="7">
                  <c:v>890</c:v>
                </c:pt>
                <c:pt idx="8">
                  <c:v>850</c:v>
                </c:pt>
                <c:pt idx="9">
                  <c:v>850</c:v>
                </c:pt>
                <c:pt idx="10">
                  <c:v>850</c:v>
                </c:pt>
                <c:pt idx="11">
                  <c:v>890</c:v>
                </c:pt>
                <c:pt idx="12">
                  <c:v>890</c:v>
                </c:pt>
                <c:pt idx="13">
                  <c:v>850</c:v>
                </c:pt>
                <c:pt idx="14">
                  <c:v>850</c:v>
                </c:pt>
              </c:numCache>
            </c:numRef>
          </c:xVal>
          <c:yVal>
            <c:numRef>
              <c:f>'Gallium - GaSb'!$F$178:$F$192</c:f>
              <c:numCache>
                <c:formatCode>0.00E+00</c:formatCode>
                <c:ptCount val="15"/>
                <c:pt idx="0">
                  <c:v>5.5799999999999999E-7</c:v>
                </c:pt>
                <c:pt idx="1">
                  <c:v>2.6899999999999999E-7</c:v>
                </c:pt>
                <c:pt idx="2">
                  <c:v>1.3199999999999999E-7</c:v>
                </c:pt>
                <c:pt idx="3">
                  <c:v>5.5799999999999999E-7</c:v>
                </c:pt>
                <c:pt idx="4">
                  <c:v>2.6899999999999999E-7</c:v>
                </c:pt>
                <c:pt idx="5">
                  <c:v>1.3199999999999999E-7</c:v>
                </c:pt>
                <c:pt idx="6">
                  <c:v>5.3099999999999998E-7</c:v>
                </c:pt>
                <c:pt idx="7">
                  <c:v>5.3200000000000005E-7</c:v>
                </c:pt>
                <c:pt idx="8">
                  <c:v>2.28E-7</c:v>
                </c:pt>
                <c:pt idx="9">
                  <c:v>2.1400000000000001E-7</c:v>
                </c:pt>
                <c:pt idx="10">
                  <c:v>2.3099999999999999E-7</c:v>
                </c:pt>
                <c:pt idx="11">
                  <c:v>5.6599999999999996E-7</c:v>
                </c:pt>
                <c:pt idx="12">
                  <c:v>5.5899999999999996E-7</c:v>
                </c:pt>
                <c:pt idx="13">
                  <c:v>2.2600000000000001E-7</c:v>
                </c:pt>
                <c:pt idx="14">
                  <c:v>2.2399999999999999E-7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C-4F82-BB78-9B701F510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75296"/>
        <c:axId val="312776936"/>
      </c:scatterChart>
      <c:valAx>
        <c:axId val="3127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76936"/>
        <c:crosses val="autoZero"/>
        <c:crossBetween val="midCat"/>
      </c:valAx>
      <c:valAx>
        <c:axId val="31277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 - Before Bake</a:t>
            </a:r>
          </a:p>
        </c:rich>
      </c:tx>
      <c:layout>
        <c:manualLayout>
          <c:xMode val="edge"/>
          <c:yMode val="edge"/>
          <c:x val="0.42970702193086513"/>
          <c:y val="4.8437647494066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2.6235257010710951E-2"/>
                  <c:y val="0.4109141008260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 - GaAs'!$H$63:$H$121</c:f>
            </c:numRef>
          </c:xVal>
          <c:yVal>
            <c:numRef>
              <c:f>'Ga - GaAs'!$G$63:$G$121</c:f>
            </c:numRef>
          </c:yVal>
          <c:smooth val="0"/>
          <c:extLst>
            <c:ext xmlns:c16="http://schemas.microsoft.com/office/drawing/2014/chart" uri="{C3380CC4-5D6E-409C-BE32-E72D297353CC}">
              <c16:uniqueId val="{00000000-AF3E-4502-B2BA-55C42A7B9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0816"/>
        <c:axId val="334733560"/>
      </c:scatterChart>
      <c:valAx>
        <c:axId val="3347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3560"/>
        <c:crosses val="autoZero"/>
        <c:crossBetween val="midCat"/>
      </c:valAx>
      <c:valAx>
        <c:axId val="33473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3/28/2017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890594925634299"/>
                  <c:y val="-0.16193132108486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Indium - InAs'!$E$2:$E$6</c:f>
              <c:numCache>
                <c:formatCode>General</c:formatCode>
                <c:ptCount val="5"/>
                <c:pt idx="0">
                  <c:v>9.3196644920782852</c:v>
                </c:pt>
                <c:pt idx="1">
                  <c:v>9.4073377234242717</c:v>
                </c:pt>
                <c:pt idx="2">
                  <c:v>9.4966761633428298</c:v>
                </c:pt>
                <c:pt idx="3">
                  <c:v>9.615384615384615</c:v>
                </c:pt>
                <c:pt idx="4">
                  <c:v>9.6525096525096519</c:v>
                </c:pt>
              </c:numCache>
            </c:numRef>
          </c:xVal>
          <c:yVal>
            <c:numRef>
              <c:f>' Indium - InAs'!$H$2:$H$6</c:f>
              <c:numCache>
                <c:formatCode>General</c:formatCode>
                <c:ptCount val="5"/>
                <c:pt idx="0">
                  <c:v>-13.560868339590693</c:v>
                </c:pt>
                <c:pt idx="1">
                  <c:v>-13.805560227111107</c:v>
                </c:pt>
                <c:pt idx="2">
                  <c:v>-14.020077723705548</c:v>
                </c:pt>
                <c:pt idx="3">
                  <c:v>-14.224983687469978</c:v>
                </c:pt>
                <c:pt idx="4">
                  <c:v>-14.321348640219226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0-43F8-84D1-5519BC5F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10048"/>
        <c:axId val="172808088"/>
      </c:scatterChart>
      <c:valAx>
        <c:axId val="1728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8088"/>
        <c:crosses val="autoZero"/>
        <c:crossBetween val="midCat"/>
      </c:valAx>
      <c:valAx>
        <c:axId val="17280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3/28/2017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8333770778653"/>
                  <c:y val="0.11479476523767899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Indium - InAs'!$F$2:$F$6</c:f>
              <c:numCache>
                <c:formatCode>General</c:formatCode>
                <c:ptCount val="5"/>
                <c:pt idx="0">
                  <c:v>1.0369999999999999</c:v>
                </c:pt>
                <c:pt idx="1">
                  <c:v>0.90069999999999995</c:v>
                </c:pt>
                <c:pt idx="2">
                  <c:v>0.70799999999999996</c:v>
                </c:pt>
                <c:pt idx="3">
                  <c:v>0.57450000000000001</c:v>
                </c:pt>
                <c:pt idx="4">
                  <c:v>0.51</c:v>
                </c:pt>
              </c:numCache>
            </c:numRef>
          </c:xVal>
          <c:yVal>
            <c:numRef>
              <c:f>' Indium - InAs'!$H$2:$H$6</c:f>
              <c:numCache>
                <c:formatCode>General</c:formatCode>
                <c:ptCount val="5"/>
                <c:pt idx="0">
                  <c:v>-13.560868339590693</c:v>
                </c:pt>
                <c:pt idx="1">
                  <c:v>-13.805560227111107</c:v>
                </c:pt>
                <c:pt idx="2">
                  <c:v>-14.020077723705548</c:v>
                </c:pt>
                <c:pt idx="3">
                  <c:v>-14.224983687469978</c:v>
                </c:pt>
                <c:pt idx="4">
                  <c:v>-14.321348640219226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B-4A9B-9444-5B797F052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6696"/>
        <c:axId val="334739048"/>
      </c:scatterChart>
      <c:valAx>
        <c:axId val="33473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9048"/>
        <c:crosses val="autoZero"/>
        <c:crossBetween val="midCat"/>
      </c:valAx>
      <c:valAx>
        <c:axId val="33473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5/10/17 Post Bake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419984066124061"/>
                  <c:y val="-3.471980272377457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Indium - InAs'!$E$7:$E$18</c:f>
              <c:numCache>
                <c:formatCode>General</c:formatCode>
                <c:ptCount val="12"/>
                <c:pt idx="0">
                  <c:v>9.6805421103581804</c:v>
                </c:pt>
                <c:pt idx="1">
                  <c:v>9.6339113680154149</c:v>
                </c:pt>
                <c:pt idx="2">
                  <c:v>9.5877277085330785</c:v>
                </c:pt>
                <c:pt idx="3">
                  <c:v>9.5877277085330785</c:v>
                </c:pt>
                <c:pt idx="4">
                  <c:v>9.5969289827255277</c:v>
                </c:pt>
                <c:pt idx="5">
                  <c:v>9.8716683119447186</c:v>
                </c:pt>
                <c:pt idx="6">
                  <c:v>10.718113612004288</c:v>
                </c:pt>
                <c:pt idx="7">
                  <c:v>9.6805421103581804</c:v>
                </c:pt>
                <c:pt idx="8">
                  <c:v>9.4073377234242717</c:v>
                </c:pt>
                <c:pt idx="9">
                  <c:v>10.604453870625663</c:v>
                </c:pt>
                <c:pt idx="10">
                  <c:v>10.775862068965518</c:v>
                </c:pt>
                <c:pt idx="11">
                  <c:v>9.4517958412098295</c:v>
                </c:pt>
              </c:numCache>
            </c:numRef>
          </c:xVal>
          <c:yVal>
            <c:numRef>
              <c:f>' Indium - InAs'!$H$7:$H$18</c:f>
              <c:numCache>
                <c:formatCode>General</c:formatCode>
                <c:ptCount val="12"/>
                <c:pt idx="0">
                  <c:v>-14.457964624208701</c:v>
                </c:pt>
                <c:pt idx="1">
                  <c:v>-14.361963359373416</c:v>
                </c:pt>
                <c:pt idx="2">
                  <c:v>-14.254015520150638</c:v>
                </c:pt>
                <c:pt idx="3">
                  <c:v>-14.25091954244551</c:v>
                </c:pt>
                <c:pt idx="4">
                  <c:v>-14.272795414802236</c:v>
                </c:pt>
                <c:pt idx="5">
                  <c:v>-14.767428467481579</c:v>
                </c:pt>
                <c:pt idx="6">
                  <c:v>-16.858334439052115</c:v>
                </c:pt>
                <c:pt idx="7">
                  <c:v>-14.341449819540314</c:v>
                </c:pt>
                <c:pt idx="8">
                  <c:v>-13.766720393794841</c:v>
                </c:pt>
                <c:pt idx="9">
                  <c:v>-16.548878567050775</c:v>
                </c:pt>
                <c:pt idx="10">
                  <c:v>-16.992764708141657</c:v>
                </c:pt>
                <c:pt idx="11">
                  <c:v>-13.844939368655087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5-4CAE-8E75-546F16D5E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4344"/>
        <c:axId val="334741008"/>
      </c:scatterChart>
      <c:valAx>
        <c:axId val="33473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41008"/>
        <c:crosses val="autoZero"/>
        <c:crossBetween val="midCat"/>
      </c:valAx>
      <c:valAx>
        <c:axId val="334741008"/>
        <c:scaling>
          <c:orientation val="minMax"/>
          <c:max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59311661243036"/>
                  <c:y val="0.16321044110985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Indium - InAs'!$F$14:$F$15</c:f>
              <c:numCache>
                <c:formatCode>General</c:formatCode>
                <c:ptCount val="2"/>
                <c:pt idx="0">
                  <c:v>0.51700000000000002</c:v>
                </c:pt>
                <c:pt idx="1">
                  <c:v>1.044</c:v>
                </c:pt>
              </c:numCache>
            </c:numRef>
          </c:xVal>
          <c:yVal>
            <c:numRef>
              <c:f>' Indium - InAs'!$H$14:$H$15</c:f>
              <c:numCache>
                <c:formatCode>General</c:formatCode>
                <c:ptCount val="2"/>
                <c:pt idx="0">
                  <c:v>-14.341449819540314</c:v>
                </c:pt>
                <c:pt idx="1">
                  <c:v>-13.766720393794841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F-4451-81A5-6AB1DF2F4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87056"/>
        <c:axId val="336487384"/>
      </c:scatterChart>
      <c:valAx>
        <c:axId val="33648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87384"/>
        <c:crosses val="autoZero"/>
        <c:crossBetween val="midCat"/>
      </c:valAx>
      <c:valAx>
        <c:axId val="33648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8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9/26/2017 &gt;0.5ML/s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59311661243036"/>
                  <c:y val="0.16321044110985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 Indium - InAs'!$F$15,' Indium - InAs'!$F$18,' Indium - InAs'!$F$21,' Indium - InAs'!$F$22,' Indium - InAs'!$F$14,' Indium - InAs'!$F$23,' Indium - InAs'!$F$24)</c:f>
              <c:numCache>
                <c:formatCode>General</c:formatCode>
                <c:ptCount val="7"/>
                <c:pt idx="0">
                  <c:v>1.044</c:v>
                </c:pt>
                <c:pt idx="1">
                  <c:v>0.90900000000000003</c:v>
                </c:pt>
                <c:pt idx="2">
                  <c:v>0.57099999999999995</c:v>
                </c:pt>
                <c:pt idx="3">
                  <c:v>0.66700000000000004</c:v>
                </c:pt>
                <c:pt idx="4">
                  <c:v>0.51700000000000002</c:v>
                </c:pt>
                <c:pt idx="5">
                  <c:v>0.55500000000000005</c:v>
                </c:pt>
                <c:pt idx="6">
                  <c:v>0.622</c:v>
                </c:pt>
              </c:numCache>
            </c:numRef>
          </c:xVal>
          <c:yVal>
            <c:numRef>
              <c:f>(' Indium - InAs'!$H$15,' Indium - InAs'!$H$18,' Indium - InAs'!$H$21,' Indium - InAs'!$H$22,' Indium - InAs'!$H$14,' Indium - InAs'!$H$24)</c:f>
              <c:numCache>
                <c:formatCode>General</c:formatCode>
                <c:ptCount val="6"/>
                <c:pt idx="0">
                  <c:v>-13.766720393794841</c:v>
                </c:pt>
                <c:pt idx="1">
                  <c:v>-13.844939368655087</c:v>
                </c:pt>
                <c:pt idx="2">
                  <c:v>-14.308168877774817</c:v>
                </c:pt>
                <c:pt idx="3">
                  <c:v>-14.205594564034136</c:v>
                </c:pt>
                <c:pt idx="4">
                  <c:v>-14.341449819540314</c:v>
                </c:pt>
                <c:pt idx="5">
                  <c:v>-14.205594564034136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7-448A-98A8-0E25B627C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87056"/>
        <c:axId val="336487384"/>
      </c:scatterChart>
      <c:valAx>
        <c:axId val="33648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87384"/>
        <c:crosses val="autoZero"/>
        <c:crossBetween val="midCat"/>
      </c:valAx>
      <c:valAx>
        <c:axId val="33648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8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9/26/17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419984066124061"/>
                  <c:y val="-3.471980272377457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Indium - InAs'!$E$25:$E$42</c:f>
              <c:numCache>
                <c:formatCode>General</c:formatCode>
                <c:ptCount val="18"/>
                <c:pt idx="0">
                  <c:v>10.49317943336831</c:v>
                </c:pt>
                <c:pt idx="1">
                  <c:v>10.330578512396695</c:v>
                </c:pt>
                <c:pt idx="2">
                  <c:v>10.277492291880781</c:v>
                </c:pt>
                <c:pt idx="3">
                  <c:v>10.245901639344263</c:v>
                </c:pt>
                <c:pt idx="4">
                  <c:v>10.172939979654121</c:v>
                </c:pt>
                <c:pt idx="5">
                  <c:v>10.070493454179255</c:v>
                </c:pt>
                <c:pt idx="6">
                  <c:v>9.9700897308075778</c:v>
                </c:pt>
                <c:pt idx="7">
                  <c:v>9.9403578528827037</c:v>
                </c:pt>
                <c:pt idx="8">
                  <c:v>9.9502487562189046</c:v>
                </c:pt>
                <c:pt idx="9">
                  <c:v>10.49317943336831</c:v>
                </c:pt>
                <c:pt idx="10">
                  <c:v>10.384215991692628</c:v>
                </c:pt>
                <c:pt idx="11">
                  <c:v>10.277492291880781</c:v>
                </c:pt>
                <c:pt idx="12">
                  <c:v>10.070493454179255</c:v>
                </c:pt>
                <c:pt idx="13">
                  <c:v>10.172939979654121</c:v>
                </c:pt>
                <c:pt idx="14">
                  <c:v>9.6805421103581804</c:v>
                </c:pt>
                <c:pt idx="15">
                  <c:v>10.775862068965518</c:v>
                </c:pt>
                <c:pt idx="16">
                  <c:v>10.460251046025105</c:v>
                </c:pt>
                <c:pt idx="17">
                  <c:v>9.9304865938430975</c:v>
                </c:pt>
              </c:numCache>
            </c:numRef>
          </c:xVal>
          <c:yVal>
            <c:numRef>
              <c:f>' Indium - InAs'!$H$25:$H$42</c:f>
              <c:numCache>
                <c:formatCode>General</c:formatCode>
                <c:ptCount val="18"/>
                <c:pt idx="0">
                  <c:v>-16.098293023662141</c:v>
                </c:pt>
                <c:pt idx="1">
                  <c:v>-15.863453432584739</c:v>
                </c:pt>
                <c:pt idx="2">
                  <c:v>-15.760421206686503</c:v>
                </c:pt>
                <c:pt idx="3">
                  <c:v>-15.635669501714027</c:v>
                </c:pt>
                <c:pt idx="4">
                  <c:v>-15.475768192728349</c:v>
                </c:pt>
                <c:pt idx="5">
                  <c:v>-15.24262691360442</c:v>
                </c:pt>
                <c:pt idx="6">
                  <c:v>-15.036290480606592</c:v>
                </c:pt>
                <c:pt idx="7">
                  <c:v>-14.967523623359499</c:v>
                </c:pt>
                <c:pt idx="8" formatCode="0.00E+00">
                  <c:v>-14.989924560048665</c:v>
                </c:pt>
                <c:pt idx="9">
                  <c:v>-16.258507804675066</c:v>
                </c:pt>
                <c:pt idx="10">
                  <c:v>-16.022785471153995</c:v>
                </c:pt>
                <c:pt idx="11">
                  <c:v>-15.774505946568242</c:v>
                </c:pt>
                <c:pt idx="12">
                  <c:v>-15.29392020799197</c:v>
                </c:pt>
                <c:pt idx="13">
                  <c:v>-15.512141682100753</c:v>
                </c:pt>
                <c:pt idx="15">
                  <c:v>-16.921057697525473</c:v>
                </c:pt>
                <c:pt idx="16">
                  <c:v>-16.188518115254865</c:v>
                </c:pt>
                <c:pt idx="17">
                  <c:v>-14.942522321154081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6-41E3-A895-3350E92EB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4344"/>
        <c:axId val="334741008"/>
      </c:scatterChart>
      <c:valAx>
        <c:axId val="33473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41008"/>
        <c:crosses val="autoZero"/>
        <c:crossBetween val="midCat"/>
      </c:valAx>
      <c:valAx>
        <c:axId val="334741008"/>
        <c:scaling>
          <c:orientation val="minMax"/>
          <c:max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 w/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Old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0.5"/>
            <c:backward val="0.5"/>
            <c:dispRSqr val="1"/>
            <c:dispEq val="1"/>
            <c:trendlineLbl>
              <c:layout>
                <c:manualLayout>
                  <c:x val="-8.1740929612284949E-2"/>
                  <c:y val="-0.2728720634734544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Indium - InAs'!$E$28:$E$33</c:f>
              <c:numCache>
                <c:formatCode>General</c:formatCode>
                <c:ptCount val="6"/>
                <c:pt idx="0">
                  <c:v>10.245901639344263</c:v>
                </c:pt>
                <c:pt idx="1">
                  <c:v>10.172939979654121</c:v>
                </c:pt>
                <c:pt idx="2">
                  <c:v>10.070493454179255</c:v>
                </c:pt>
                <c:pt idx="3">
                  <c:v>9.9700897308075778</c:v>
                </c:pt>
                <c:pt idx="4">
                  <c:v>9.9403578528827037</c:v>
                </c:pt>
                <c:pt idx="5">
                  <c:v>9.9502487562189046</c:v>
                </c:pt>
              </c:numCache>
            </c:numRef>
          </c:xVal>
          <c:yVal>
            <c:numRef>
              <c:f>' Indium - InAs'!$F$28:$F$33</c:f>
              <c:numCache>
                <c:formatCode>General</c:formatCode>
                <c:ptCount val="6"/>
                <c:pt idx="0">
                  <c:v>0.13</c:v>
                </c:pt>
                <c:pt idx="1">
                  <c:v>0.16</c:v>
                </c:pt>
                <c:pt idx="2">
                  <c:v>0.20499999999999999</c:v>
                </c:pt>
                <c:pt idx="3">
                  <c:v>0.26100000000000001</c:v>
                </c:pt>
                <c:pt idx="4">
                  <c:v>0.27900000000000003</c:v>
                </c:pt>
                <c:pt idx="5">
                  <c:v>0.26900000000000002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1-4601-80CF-FACE3C4612DE}"/>
            </c:ext>
          </c:extLst>
        </c:ser>
        <c:ser>
          <c:idx val="1"/>
          <c:order val="1"/>
          <c:tx>
            <c:v>10/30/2017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1"/>
            <c:trendlineLbl>
              <c:layout>
                <c:manualLayout>
                  <c:x val="-6.8204911302597024E-2"/>
                  <c:y val="-0.1479871123746580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Indium - InAs'!$E$37:$E$39</c:f>
              <c:numCache>
                <c:formatCode>General</c:formatCode>
                <c:ptCount val="3"/>
                <c:pt idx="0">
                  <c:v>10.070493454179255</c:v>
                </c:pt>
                <c:pt idx="1">
                  <c:v>10.172939979654121</c:v>
                </c:pt>
                <c:pt idx="2">
                  <c:v>9.6805421103581804</c:v>
                </c:pt>
              </c:numCache>
            </c:numRef>
          </c:xVal>
          <c:yVal>
            <c:numRef>
              <c:f>' Indium - InAs'!$F$37:$F$39</c:f>
              <c:numCache>
                <c:formatCode>General</c:formatCode>
                <c:ptCount val="3"/>
                <c:pt idx="0">
                  <c:v>0.1973</c:v>
                </c:pt>
                <c:pt idx="1">
                  <c:v>0.1462</c:v>
                </c:pt>
                <c:pt idx="2">
                  <c:v>0.52610000000000001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8-48D6-A37B-EF6F0321D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87056"/>
        <c:axId val="336487384"/>
      </c:scatterChart>
      <c:valAx>
        <c:axId val="33648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87384"/>
        <c:crosses val="autoZero"/>
        <c:crossBetween val="midCat"/>
      </c:valAx>
      <c:valAx>
        <c:axId val="33648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8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46247734246264E-3"/>
          <c:y val="0.88971935589607842"/>
          <c:w val="0.9"/>
          <c:h val="7.5715844245406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54766251075706"/>
                  <c:y val="-2.3028601978080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Indium - InAs'!$E$54:$E$67</c:f>
              <c:numCache>
                <c:formatCode>General</c:formatCode>
                <c:ptCount val="14"/>
                <c:pt idx="0">
                  <c:v>10.482180293501049</c:v>
                </c:pt>
                <c:pt idx="1">
                  <c:v>10.416666666666666</c:v>
                </c:pt>
                <c:pt idx="2">
                  <c:v>10.351966873706004</c:v>
                </c:pt>
                <c:pt idx="3">
                  <c:v>10.277492291880781</c:v>
                </c:pt>
                <c:pt idx="4">
                  <c:v>10.570824524312897</c:v>
                </c:pt>
                <c:pt idx="5">
                  <c:v>10.277492291880781</c:v>
                </c:pt>
                <c:pt idx="6">
                  <c:v>10.277492291880781</c:v>
                </c:pt>
                <c:pt idx="7">
                  <c:v>10.351966873706004</c:v>
                </c:pt>
                <c:pt idx="8">
                  <c:v>10.570824524312897</c:v>
                </c:pt>
                <c:pt idx="9">
                  <c:v>10.309278350515465</c:v>
                </c:pt>
                <c:pt idx="10">
                  <c:v>10.660980810234541</c:v>
                </c:pt>
                <c:pt idx="11">
                  <c:v>10.570824524312897</c:v>
                </c:pt>
                <c:pt idx="12">
                  <c:v>10.351966873706004</c:v>
                </c:pt>
                <c:pt idx="13">
                  <c:v>10.718113612004288</c:v>
                </c:pt>
              </c:numCache>
            </c:numRef>
          </c:xVal>
          <c:yVal>
            <c:numRef>
              <c:f>' Indium - InAs'!$H$54:$H$67</c:f>
              <c:numCache>
                <c:formatCode>General</c:formatCode>
                <c:ptCount val="14"/>
                <c:pt idx="0">
                  <c:v>-16.278264403111141</c:v>
                </c:pt>
                <c:pt idx="1">
                  <c:v>-16.137278470375094</c:v>
                </c:pt>
                <c:pt idx="2">
                  <c:v>-15.995878018234071</c:v>
                </c:pt>
                <c:pt idx="3">
                  <c:v>-15.8254260369955</c:v>
                </c:pt>
                <c:pt idx="4">
                  <c:v>-16.503758131770304</c:v>
                </c:pt>
                <c:pt idx="5">
                  <c:v>-15.753452537370411</c:v>
                </c:pt>
                <c:pt idx="6">
                  <c:v>-15.803284911118286</c:v>
                </c:pt>
                <c:pt idx="7">
                  <c:v>-15.969675645840047</c:v>
                </c:pt>
                <c:pt idx="8">
                  <c:v>-16.514105600295728</c:v>
                </c:pt>
                <c:pt idx="9">
                  <c:v>-15.944142343834882</c:v>
                </c:pt>
                <c:pt idx="10">
                  <c:v>-16.714116120787544</c:v>
                </c:pt>
                <c:pt idx="11">
                  <c:v>-16.551960233588183</c:v>
                </c:pt>
                <c:pt idx="12">
                  <c:v>-16.031917954717269</c:v>
                </c:pt>
                <c:pt idx="13">
                  <c:v>-16.932281159895322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A-4119-8BFF-70E26C5AC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4344"/>
        <c:axId val="334741008"/>
      </c:scatterChart>
      <c:valAx>
        <c:axId val="33473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41008"/>
        <c:crosses val="autoZero"/>
        <c:crossBetween val="midCat"/>
      </c:valAx>
      <c:valAx>
        <c:axId val="3347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 &lt;0.25ML/s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578903692488157"/>
                  <c:y val="0.12022459557257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Indium - InAs'!$F$52:$F$57</c:f>
              <c:numCache>
                <c:formatCode>General</c:formatCode>
                <c:ptCount val="6"/>
                <c:pt idx="2">
                  <c:v>6.9919999999999996E-2</c:v>
                </c:pt>
                <c:pt idx="3">
                  <c:v>8.6514999999999995E-2</c:v>
                </c:pt>
                <c:pt idx="4">
                  <c:v>9.5755000000000007E-2</c:v>
                </c:pt>
                <c:pt idx="5">
                  <c:v>0.11595</c:v>
                </c:pt>
              </c:numCache>
            </c:numRef>
          </c:xVal>
          <c:yVal>
            <c:numRef>
              <c:f>' Indium - InAs'!$H$52:$H$57</c:f>
              <c:numCache>
                <c:formatCode>General</c:formatCode>
                <c:ptCount val="6"/>
                <c:pt idx="0">
                  <c:v>-15.952581212480746</c:v>
                </c:pt>
                <c:pt idx="1">
                  <c:v>-16.280614580456096</c:v>
                </c:pt>
                <c:pt idx="2">
                  <c:v>-16.278264403111141</c:v>
                </c:pt>
                <c:pt idx="3">
                  <c:v>-16.137278470375094</c:v>
                </c:pt>
                <c:pt idx="4">
                  <c:v>-15.995878018234071</c:v>
                </c:pt>
                <c:pt idx="5">
                  <c:v>-15.8254260369955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9-4D0C-9B8A-81E4465A2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87056"/>
        <c:axId val="336487384"/>
      </c:scatterChart>
      <c:valAx>
        <c:axId val="33648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87384"/>
        <c:crosses val="autoZero"/>
        <c:crossBetween val="midCat"/>
      </c:valAx>
      <c:valAx>
        <c:axId val="33648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8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890594925634299"/>
                  <c:y val="-0.16193132108486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Indium - InAs'!$E$2:$E$67</c:f>
              <c:numCache>
                <c:formatCode>General</c:formatCode>
                <c:ptCount val="66"/>
                <c:pt idx="0">
                  <c:v>9.3196644920782852</c:v>
                </c:pt>
                <c:pt idx="1">
                  <c:v>9.4073377234242717</c:v>
                </c:pt>
                <c:pt idx="2">
                  <c:v>9.4966761633428298</c:v>
                </c:pt>
                <c:pt idx="3">
                  <c:v>9.615384615384615</c:v>
                </c:pt>
                <c:pt idx="4">
                  <c:v>9.6525096525096519</c:v>
                </c:pt>
                <c:pt idx="5">
                  <c:v>9.6805421103581804</c:v>
                </c:pt>
                <c:pt idx="6">
                  <c:v>9.6339113680154149</c:v>
                </c:pt>
                <c:pt idx="7">
                  <c:v>9.5877277085330785</c:v>
                </c:pt>
                <c:pt idx="8">
                  <c:v>9.5877277085330785</c:v>
                </c:pt>
                <c:pt idx="9">
                  <c:v>9.5969289827255277</c:v>
                </c:pt>
                <c:pt idx="10">
                  <c:v>9.8716683119447186</c:v>
                </c:pt>
                <c:pt idx="11">
                  <c:v>10.718113612004288</c:v>
                </c:pt>
                <c:pt idx="12">
                  <c:v>9.6805421103581804</c:v>
                </c:pt>
                <c:pt idx="13">
                  <c:v>9.4073377234242717</c:v>
                </c:pt>
                <c:pt idx="14">
                  <c:v>10.604453870625663</c:v>
                </c:pt>
                <c:pt idx="15">
                  <c:v>10.775862068965518</c:v>
                </c:pt>
                <c:pt idx="16">
                  <c:v>9.4517958412098295</c:v>
                </c:pt>
                <c:pt idx="17">
                  <c:v>9.6061479346781944</c:v>
                </c:pt>
                <c:pt idx="18">
                  <c:v>9.6805421103581804</c:v>
                </c:pt>
                <c:pt idx="19">
                  <c:v>9.6339113680154149</c:v>
                </c:pt>
                <c:pt idx="20">
                  <c:v>9.5877277085330785</c:v>
                </c:pt>
                <c:pt idx="21">
                  <c:v>9.6432015429122462</c:v>
                </c:pt>
                <c:pt idx="22">
                  <c:v>9.5904862376522484</c:v>
                </c:pt>
                <c:pt idx="23">
                  <c:v>10.49317943336831</c:v>
                </c:pt>
                <c:pt idx="24">
                  <c:v>10.330578512396695</c:v>
                </c:pt>
                <c:pt idx="25">
                  <c:v>10.277492291880781</c:v>
                </c:pt>
                <c:pt idx="26">
                  <c:v>10.245901639344263</c:v>
                </c:pt>
                <c:pt idx="27">
                  <c:v>10.172939979654121</c:v>
                </c:pt>
                <c:pt idx="28">
                  <c:v>10.070493454179255</c:v>
                </c:pt>
                <c:pt idx="29">
                  <c:v>9.9700897308075778</c:v>
                </c:pt>
                <c:pt idx="30">
                  <c:v>9.9403578528827037</c:v>
                </c:pt>
                <c:pt idx="31">
                  <c:v>9.9502487562189046</c:v>
                </c:pt>
                <c:pt idx="32">
                  <c:v>10.49317943336831</c:v>
                </c:pt>
                <c:pt idx="33">
                  <c:v>10.384215991692628</c:v>
                </c:pt>
                <c:pt idx="34">
                  <c:v>10.277492291880781</c:v>
                </c:pt>
                <c:pt idx="35">
                  <c:v>10.070493454179255</c:v>
                </c:pt>
                <c:pt idx="36">
                  <c:v>10.172939979654121</c:v>
                </c:pt>
                <c:pt idx="37">
                  <c:v>9.6805421103581804</c:v>
                </c:pt>
                <c:pt idx="38">
                  <c:v>10.775862068965518</c:v>
                </c:pt>
                <c:pt idx="39">
                  <c:v>10.460251046025105</c:v>
                </c:pt>
                <c:pt idx="40">
                  <c:v>9.9304865938430975</c:v>
                </c:pt>
                <c:pt idx="41">
                  <c:v>10.277492291880781</c:v>
                </c:pt>
                <c:pt idx="42">
                  <c:v>10.172939979654121</c:v>
                </c:pt>
                <c:pt idx="43">
                  <c:v>10.070493454179255</c:v>
                </c:pt>
                <c:pt idx="44">
                  <c:v>10.121457489878543</c:v>
                </c:pt>
                <c:pt idx="45">
                  <c:v>10.224948875255624</c:v>
                </c:pt>
                <c:pt idx="46">
                  <c:v>10.330578512396695</c:v>
                </c:pt>
                <c:pt idx="47">
                  <c:v>10.277492291880781</c:v>
                </c:pt>
                <c:pt idx="48">
                  <c:v>10.416666666666666</c:v>
                </c:pt>
                <c:pt idx="49">
                  <c:v>10.351966873706004</c:v>
                </c:pt>
                <c:pt idx="50">
                  <c:v>10.351966873706004</c:v>
                </c:pt>
                <c:pt idx="51">
                  <c:v>10.482180293501049</c:v>
                </c:pt>
                <c:pt idx="52">
                  <c:v>10.482180293501049</c:v>
                </c:pt>
                <c:pt idx="53">
                  <c:v>10.416666666666666</c:v>
                </c:pt>
                <c:pt idx="54">
                  <c:v>10.351966873706004</c:v>
                </c:pt>
                <c:pt idx="55">
                  <c:v>10.277492291880781</c:v>
                </c:pt>
                <c:pt idx="56">
                  <c:v>10.570824524312897</c:v>
                </c:pt>
                <c:pt idx="57">
                  <c:v>10.277492291880781</c:v>
                </c:pt>
                <c:pt idx="58">
                  <c:v>10.277492291880781</c:v>
                </c:pt>
                <c:pt idx="59">
                  <c:v>10.351966873706004</c:v>
                </c:pt>
                <c:pt idx="60">
                  <c:v>10.570824524312897</c:v>
                </c:pt>
                <c:pt idx="61">
                  <c:v>10.309278350515465</c:v>
                </c:pt>
                <c:pt idx="62">
                  <c:v>10.660980810234541</c:v>
                </c:pt>
                <c:pt idx="63">
                  <c:v>10.570824524312897</c:v>
                </c:pt>
                <c:pt idx="64">
                  <c:v>10.351966873706004</c:v>
                </c:pt>
                <c:pt idx="65">
                  <c:v>10.718113612004288</c:v>
                </c:pt>
              </c:numCache>
            </c:numRef>
          </c:xVal>
          <c:yVal>
            <c:numRef>
              <c:f>' Indium - InAs'!$H$2:$H$67</c:f>
              <c:numCache>
                <c:formatCode>General</c:formatCode>
                <c:ptCount val="66"/>
                <c:pt idx="0">
                  <c:v>-13.560868339590693</c:v>
                </c:pt>
                <c:pt idx="1">
                  <c:v>-13.805560227111107</c:v>
                </c:pt>
                <c:pt idx="2">
                  <c:v>-14.020077723705548</c:v>
                </c:pt>
                <c:pt idx="3">
                  <c:v>-14.224983687469978</c:v>
                </c:pt>
                <c:pt idx="4">
                  <c:v>-14.321348640219226</c:v>
                </c:pt>
                <c:pt idx="5">
                  <c:v>-14.457964624208701</c:v>
                </c:pt>
                <c:pt idx="6">
                  <c:v>-14.361963359373416</c:v>
                </c:pt>
                <c:pt idx="7">
                  <c:v>-14.254015520150638</c:v>
                </c:pt>
                <c:pt idx="8">
                  <c:v>-14.25091954244551</c:v>
                </c:pt>
                <c:pt idx="9">
                  <c:v>-14.272795414802236</c:v>
                </c:pt>
                <c:pt idx="10">
                  <c:v>-14.767428467481579</c:v>
                </c:pt>
                <c:pt idx="11">
                  <c:v>-16.858334439052115</c:v>
                </c:pt>
                <c:pt idx="12">
                  <c:v>-14.341449819540314</c:v>
                </c:pt>
                <c:pt idx="13">
                  <c:v>-13.766720393794841</c:v>
                </c:pt>
                <c:pt idx="14">
                  <c:v>-16.548878567050775</c:v>
                </c:pt>
                <c:pt idx="15">
                  <c:v>-16.992764708141657</c:v>
                </c:pt>
                <c:pt idx="16">
                  <c:v>-13.844939368655087</c:v>
                </c:pt>
                <c:pt idx="17">
                  <c:v>-14.271216882509185</c:v>
                </c:pt>
                <c:pt idx="18">
                  <c:v>-14.363691968274034</c:v>
                </c:pt>
                <c:pt idx="19">
                  <c:v>-14.308168877774817</c:v>
                </c:pt>
                <c:pt idx="20">
                  <c:v>-14.205594564034136</c:v>
                </c:pt>
                <c:pt idx="22">
                  <c:v>-14.205594564034136</c:v>
                </c:pt>
                <c:pt idx="23">
                  <c:v>-16.098293023662141</c:v>
                </c:pt>
                <c:pt idx="24">
                  <c:v>-15.863453432584739</c:v>
                </c:pt>
                <c:pt idx="25">
                  <c:v>-15.760421206686503</c:v>
                </c:pt>
                <c:pt idx="26">
                  <c:v>-15.635669501714027</c:v>
                </c:pt>
                <c:pt idx="27">
                  <c:v>-15.475768192728349</c:v>
                </c:pt>
                <c:pt idx="28">
                  <c:v>-15.24262691360442</c:v>
                </c:pt>
                <c:pt idx="29">
                  <c:v>-15.036290480606592</c:v>
                </c:pt>
                <c:pt idx="30">
                  <c:v>-14.967523623359499</c:v>
                </c:pt>
                <c:pt idx="31" formatCode="0.00E+00">
                  <c:v>-14.989924560048665</c:v>
                </c:pt>
                <c:pt idx="32">
                  <c:v>-16.258507804675066</c:v>
                </c:pt>
                <c:pt idx="33">
                  <c:v>-16.022785471153995</c:v>
                </c:pt>
                <c:pt idx="34">
                  <c:v>-15.774505946568242</c:v>
                </c:pt>
                <c:pt idx="35">
                  <c:v>-15.29392020799197</c:v>
                </c:pt>
                <c:pt idx="36">
                  <c:v>-15.512141682100753</c:v>
                </c:pt>
                <c:pt idx="38">
                  <c:v>-16.921057697525473</c:v>
                </c:pt>
                <c:pt idx="39">
                  <c:v>-16.188518115254865</c:v>
                </c:pt>
                <c:pt idx="40">
                  <c:v>-14.942522321154081</c:v>
                </c:pt>
                <c:pt idx="41">
                  <c:v>-15.746532094525836</c:v>
                </c:pt>
                <c:pt idx="42">
                  <c:v>-15.541482286654325</c:v>
                </c:pt>
                <c:pt idx="43">
                  <c:v>-15.2717982909047</c:v>
                </c:pt>
                <c:pt idx="44">
                  <c:v>-15.391513694312136</c:v>
                </c:pt>
                <c:pt idx="45">
                  <c:v>-15.634435695265099</c:v>
                </c:pt>
                <c:pt idx="46">
                  <c:v>-15.882233327236335</c:v>
                </c:pt>
                <c:pt idx="47">
                  <c:v>-15.739659215238074</c:v>
                </c:pt>
                <c:pt idx="48">
                  <c:v>-16.108145320105152</c:v>
                </c:pt>
                <c:pt idx="49">
                  <c:v>-15.919244792213155</c:v>
                </c:pt>
                <c:pt idx="50">
                  <c:v>-15.952581212480746</c:v>
                </c:pt>
                <c:pt idx="51">
                  <c:v>-16.280614580456096</c:v>
                </c:pt>
                <c:pt idx="52">
                  <c:v>-16.278264403111141</c:v>
                </c:pt>
                <c:pt idx="53">
                  <c:v>-16.137278470375094</c:v>
                </c:pt>
                <c:pt idx="54">
                  <c:v>-15.995878018234071</c:v>
                </c:pt>
                <c:pt idx="55">
                  <c:v>-15.8254260369955</c:v>
                </c:pt>
                <c:pt idx="56">
                  <c:v>-16.503758131770304</c:v>
                </c:pt>
                <c:pt idx="57">
                  <c:v>-15.753452537370411</c:v>
                </c:pt>
                <c:pt idx="58">
                  <c:v>-15.803284911118286</c:v>
                </c:pt>
                <c:pt idx="59">
                  <c:v>-15.969675645840047</c:v>
                </c:pt>
                <c:pt idx="60">
                  <c:v>-16.514105600295728</c:v>
                </c:pt>
                <c:pt idx="61">
                  <c:v>-15.944142343834882</c:v>
                </c:pt>
                <c:pt idx="62">
                  <c:v>-16.714116120787544</c:v>
                </c:pt>
                <c:pt idx="63">
                  <c:v>-16.551960233588183</c:v>
                </c:pt>
                <c:pt idx="64">
                  <c:v>-16.031917954717269</c:v>
                </c:pt>
                <c:pt idx="65">
                  <c:v>-16.932281159895322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6-4FC2-8309-238FF1D8632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481282492096593"/>
                  <c:y val="-0.13869744224287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Indium - InAs'!$E$91:$E$103</c:f>
              <c:numCache>
                <c:formatCode>General</c:formatCode>
                <c:ptCount val="13"/>
                <c:pt idx="0">
                  <c:v>10.060362173038229</c:v>
                </c:pt>
                <c:pt idx="1">
                  <c:v>10.141987829614605</c:v>
                </c:pt>
                <c:pt idx="2">
                  <c:v>10.235414534288639</c:v>
                </c:pt>
                <c:pt idx="3">
                  <c:v>10.49317943336831</c:v>
                </c:pt>
                <c:pt idx="4">
                  <c:v>9.5877277085330785</c:v>
                </c:pt>
                <c:pt idx="5">
                  <c:v>10.060362173038229</c:v>
                </c:pt>
                <c:pt idx="6">
                  <c:v>10.141987829614605</c:v>
                </c:pt>
                <c:pt idx="7">
                  <c:v>10.214504596527069</c:v>
                </c:pt>
                <c:pt idx="8">
                  <c:v>10.49317943336831</c:v>
                </c:pt>
                <c:pt idx="9">
                  <c:v>10.49317943336831</c:v>
                </c:pt>
                <c:pt idx="10">
                  <c:v>10.548523206751055</c:v>
                </c:pt>
                <c:pt idx="11">
                  <c:v>10.49317943336831</c:v>
                </c:pt>
                <c:pt idx="12">
                  <c:v>10.172939979654121</c:v>
                </c:pt>
              </c:numCache>
            </c:numRef>
          </c:xVal>
          <c:yVal>
            <c:numRef>
              <c:f>' Indium - InAs'!$H$91:$H$103</c:f>
              <c:numCache>
                <c:formatCode>General</c:formatCode>
                <c:ptCount val="13"/>
                <c:pt idx="0">
                  <c:v>-14.873941056999552</c:v>
                </c:pt>
                <c:pt idx="1">
                  <c:v>-15.07077665667776</c:v>
                </c:pt>
                <c:pt idx="2">
                  <c:v>-15.267944721588711</c:v>
                </c:pt>
                <c:pt idx="3">
                  <c:v>-15.871235573026794</c:v>
                </c:pt>
                <c:pt idx="4">
                  <c:v>-13.72020037815995</c:v>
                </c:pt>
                <c:pt idx="5">
                  <c:v>-14.906154676983206</c:v>
                </c:pt>
                <c:pt idx="6">
                  <c:v>-15.039686069607729</c:v>
                </c:pt>
                <c:pt idx="7">
                  <c:v>-15.205812940481703</c:v>
                </c:pt>
                <c:pt idx="8">
                  <c:v>-15.871235573026794</c:v>
                </c:pt>
                <c:pt idx="9">
                  <c:v>-15.848068513745259</c:v>
                </c:pt>
                <c:pt idx="10">
                  <c:v>-15.987067388551916</c:v>
                </c:pt>
                <c:pt idx="11">
                  <c:v>-15.902984271341374</c:v>
                </c:pt>
                <c:pt idx="12">
                  <c:v>-15.088476233777161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96-4FC2-8309-238FF1D8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10048"/>
        <c:axId val="172808088"/>
      </c:scatterChart>
      <c:valAx>
        <c:axId val="1728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8088"/>
        <c:crosses val="autoZero"/>
        <c:crossBetween val="midCat"/>
      </c:valAx>
      <c:valAx>
        <c:axId val="17280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2019 and onward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972339788250922"/>
                  <c:y val="-0.17409660331282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 - GaAs'!$E$162:$E$175</c:f>
            </c:numRef>
          </c:xVal>
          <c:yVal>
            <c:numRef>
              <c:f>'Ga - GaAs'!$G$162:$G$175</c:f>
            </c:numRef>
          </c:yVal>
          <c:smooth val="0"/>
          <c:extLst>
            <c:ext xmlns:c16="http://schemas.microsoft.com/office/drawing/2014/chart" uri="{C3380CC4-5D6E-409C-BE32-E72D297353CC}">
              <c16:uniqueId val="{00000001-2E96-4973-84AE-5B1A5B112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43360"/>
        <c:axId val="334729640"/>
      </c:scatterChart>
      <c:valAx>
        <c:axId val="3347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29640"/>
        <c:crosses val="autoZero"/>
        <c:crossBetween val="midCat"/>
      </c:valAx>
      <c:valAx>
        <c:axId val="33472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8983481130392683E-2"/>
                  <c:y val="0.4301842353836021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Indium - InAs'!$F$2:$F$67</c:f>
              <c:numCache>
                <c:formatCode>General</c:formatCode>
                <c:ptCount val="66"/>
                <c:pt idx="0">
                  <c:v>1.0369999999999999</c:v>
                </c:pt>
                <c:pt idx="1">
                  <c:v>0.90069999999999995</c:v>
                </c:pt>
                <c:pt idx="2">
                  <c:v>0.70799999999999996</c:v>
                </c:pt>
                <c:pt idx="3">
                  <c:v>0.57450000000000001</c:v>
                </c:pt>
                <c:pt idx="4">
                  <c:v>0.51</c:v>
                </c:pt>
                <c:pt idx="12">
                  <c:v>0.51700000000000002</c:v>
                </c:pt>
                <c:pt idx="13">
                  <c:v>1.044</c:v>
                </c:pt>
                <c:pt idx="15">
                  <c:v>3.5999999999999997E-2</c:v>
                </c:pt>
                <c:pt idx="16">
                  <c:v>0.90900000000000003</c:v>
                </c:pt>
                <c:pt idx="19">
                  <c:v>0.57099999999999995</c:v>
                </c:pt>
                <c:pt idx="20">
                  <c:v>0.66700000000000004</c:v>
                </c:pt>
                <c:pt idx="21">
                  <c:v>0.55500000000000005</c:v>
                </c:pt>
                <c:pt idx="22">
                  <c:v>0.622</c:v>
                </c:pt>
                <c:pt idx="25">
                  <c:v>0.12</c:v>
                </c:pt>
                <c:pt idx="26">
                  <c:v>0.13</c:v>
                </c:pt>
                <c:pt idx="27">
                  <c:v>0.16</c:v>
                </c:pt>
                <c:pt idx="28">
                  <c:v>0.20499999999999999</c:v>
                </c:pt>
                <c:pt idx="29">
                  <c:v>0.26100000000000001</c:v>
                </c:pt>
                <c:pt idx="30">
                  <c:v>0.27900000000000003</c:v>
                </c:pt>
                <c:pt idx="31">
                  <c:v>0.26900000000000002</c:v>
                </c:pt>
                <c:pt idx="35">
                  <c:v>0.1973</c:v>
                </c:pt>
                <c:pt idx="36">
                  <c:v>0.1462</c:v>
                </c:pt>
                <c:pt idx="37">
                  <c:v>0.52610000000000001</c:v>
                </c:pt>
                <c:pt idx="41">
                  <c:v>0.11600000000000001</c:v>
                </c:pt>
                <c:pt idx="42">
                  <c:v>0.1535</c:v>
                </c:pt>
                <c:pt idx="43">
                  <c:v>0.191</c:v>
                </c:pt>
                <c:pt idx="44">
                  <c:v>0.17100000000000001</c:v>
                </c:pt>
                <c:pt idx="45">
                  <c:v>0.13250000000000001</c:v>
                </c:pt>
                <c:pt idx="46">
                  <c:v>0.1023</c:v>
                </c:pt>
                <c:pt idx="52">
                  <c:v>6.9919999999999996E-2</c:v>
                </c:pt>
                <c:pt idx="53">
                  <c:v>8.6514999999999995E-2</c:v>
                </c:pt>
                <c:pt idx="54">
                  <c:v>9.5755000000000007E-2</c:v>
                </c:pt>
                <c:pt idx="55">
                  <c:v>0.11595</c:v>
                </c:pt>
              </c:numCache>
            </c:numRef>
          </c:xVal>
          <c:yVal>
            <c:numRef>
              <c:f>' Indium - InAs'!$H$2:$H$67</c:f>
              <c:numCache>
                <c:formatCode>General</c:formatCode>
                <c:ptCount val="66"/>
                <c:pt idx="0">
                  <c:v>-13.560868339590693</c:v>
                </c:pt>
                <c:pt idx="1">
                  <c:v>-13.805560227111107</c:v>
                </c:pt>
                <c:pt idx="2">
                  <c:v>-14.020077723705548</c:v>
                </c:pt>
                <c:pt idx="3">
                  <c:v>-14.224983687469978</c:v>
                </c:pt>
                <c:pt idx="4">
                  <c:v>-14.321348640219226</c:v>
                </c:pt>
                <c:pt idx="5">
                  <c:v>-14.457964624208701</c:v>
                </c:pt>
                <c:pt idx="6">
                  <c:v>-14.361963359373416</c:v>
                </c:pt>
                <c:pt idx="7">
                  <c:v>-14.254015520150638</c:v>
                </c:pt>
                <c:pt idx="8">
                  <c:v>-14.25091954244551</c:v>
                </c:pt>
                <c:pt idx="9">
                  <c:v>-14.272795414802236</c:v>
                </c:pt>
                <c:pt idx="10">
                  <c:v>-14.767428467481579</c:v>
                </c:pt>
                <c:pt idx="11">
                  <c:v>-16.858334439052115</c:v>
                </c:pt>
                <c:pt idx="12">
                  <c:v>-14.341449819540314</c:v>
                </c:pt>
                <c:pt idx="13">
                  <c:v>-13.766720393794841</c:v>
                </c:pt>
                <c:pt idx="14">
                  <c:v>-16.548878567050775</c:v>
                </c:pt>
                <c:pt idx="15">
                  <c:v>-16.992764708141657</c:v>
                </c:pt>
                <c:pt idx="16">
                  <c:v>-13.844939368655087</c:v>
                </c:pt>
                <c:pt idx="17">
                  <c:v>-14.271216882509185</c:v>
                </c:pt>
                <c:pt idx="18">
                  <c:v>-14.363691968274034</c:v>
                </c:pt>
                <c:pt idx="19">
                  <c:v>-14.308168877774817</c:v>
                </c:pt>
                <c:pt idx="20">
                  <c:v>-14.205594564034136</c:v>
                </c:pt>
                <c:pt idx="22">
                  <c:v>-14.205594564034136</c:v>
                </c:pt>
                <c:pt idx="23">
                  <c:v>-16.098293023662141</c:v>
                </c:pt>
                <c:pt idx="24">
                  <c:v>-15.863453432584739</c:v>
                </c:pt>
                <c:pt idx="25">
                  <c:v>-15.760421206686503</c:v>
                </c:pt>
                <c:pt idx="26">
                  <c:v>-15.635669501714027</c:v>
                </c:pt>
                <c:pt idx="27">
                  <c:v>-15.475768192728349</c:v>
                </c:pt>
                <c:pt idx="28">
                  <c:v>-15.24262691360442</c:v>
                </c:pt>
                <c:pt idx="29">
                  <c:v>-15.036290480606592</c:v>
                </c:pt>
                <c:pt idx="30">
                  <c:v>-14.967523623359499</c:v>
                </c:pt>
                <c:pt idx="31" formatCode="0.00E+00">
                  <c:v>-14.989924560048665</c:v>
                </c:pt>
                <c:pt idx="32">
                  <c:v>-16.258507804675066</c:v>
                </c:pt>
                <c:pt idx="33">
                  <c:v>-16.022785471153995</c:v>
                </c:pt>
                <c:pt idx="34">
                  <c:v>-15.774505946568242</c:v>
                </c:pt>
                <c:pt idx="35">
                  <c:v>-15.29392020799197</c:v>
                </c:pt>
                <c:pt idx="36">
                  <c:v>-15.512141682100753</c:v>
                </c:pt>
                <c:pt idx="38">
                  <c:v>-16.921057697525473</c:v>
                </c:pt>
                <c:pt idx="39">
                  <c:v>-16.188518115254865</c:v>
                </c:pt>
                <c:pt idx="40">
                  <c:v>-14.942522321154081</c:v>
                </c:pt>
                <c:pt idx="41">
                  <c:v>-15.746532094525836</c:v>
                </c:pt>
                <c:pt idx="42">
                  <c:v>-15.541482286654325</c:v>
                </c:pt>
                <c:pt idx="43">
                  <c:v>-15.2717982909047</c:v>
                </c:pt>
                <c:pt idx="44">
                  <c:v>-15.391513694312136</c:v>
                </c:pt>
                <c:pt idx="45">
                  <c:v>-15.634435695265099</c:v>
                </c:pt>
                <c:pt idx="46">
                  <c:v>-15.882233327236335</c:v>
                </c:pt>
                <c:pt idx="47">
                  <c:v>-15.739659215238074</c:v>
                </c:pt>
                <c:pt idx="48">
                  <c:v>-16.108145320105152</c:v>
                </c:pt>
                <c:pt idx="49">
                  <c:v>-15.919244792213155</c:v>
                </c:pt>
                <c:pt idx="50">
                  <c:v>-15.952581212480746</c:v>
                </c:pt>
                <c:pt idx="51">
                  <c:v>-16.280614580456096</c:v>
                </c:pt>
                <c:pt idx="52">
                  <c:v>-16.278264403111141</c:v>
                </c:pt>
                <c:pt idx="53">
                  <c:v>-16.137278470375094</c:v>
                </c:pt>
                <c:pt idx="54">
                  <c:v>-15.995878018234071</c:v>
                </c:pt>
                <c:pt idx="55">
                  <c:v>-15.8254260369955</c:v>
                </c:pt>
                <c:pt idx="56">
                  <c:v>-16.503758131770304</c:v>
                </c:pt>
                <c:pt idx="57">
                  <c:v>-15.753452537370411</c:v>
                </c:pt>
                <c:pt idx="58">
                  <c:v>-15.803284911118286</c:v>
                </c:pt>
                <c:pt idx="59">
                  <c:v>-15.969675645840047</c:v>
                </c:pt>
                <c:pt idx="60">
                  <c:v>-16.514105600295728</c:v>
                </c:pt>
                <c:pt idx="61">
                  <c:v>-15.944142343834882</c:v>
                </c:pt>
                <c:pt idx="62">
                  <c:v>-16.714116120787544</c:v>
                </c:pt>
                <c:pt idx="63">
                  <c:v>-16.551960233588183</c:v>
                </c:pt>
                <c:pt idx="64">
                  <c:v>-16.031917954717269</c:v>
                </c:pt>
                <c:pt idx="65">
                  <c:v>-16.932281159895322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B-4702-84CE-ED469166DE6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8659011002232532"/>
                  <c:y val="5.1026406848410089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Indium - InAs'!$F$107:$F$111</c:f>
              <c:numCache>
                <c:formatCode>General</c:formatCode>
                <c:ptCount val="5"/>
                <c:pt idx="0">
                  <c:v>0.44</c:v>
                </c:pt>
                <c:pt idx="1">
                  <c:v>0.17799999999999999</c:v>
                </c:pt>
                <c:pt idx="2">
                  <c:v>0.28100000000000003</c:v>
                </c:pt>
              </c:numCache>
            </c:numRef>
          </c:xVal>
          <c:yVal>
            <c:numRef>
              <c:f>' Indium - InAs'!$H$107:$H$111</c:f>
              <c:numCache>
                <c:formatCode>General</c:formatCode>
                <c:ptCount val="5"/>
                <c:pt idx="0">
                  <c:v>-13.965171332518681</c:v>
                </c:pt>
                <c:pt idx="1">
                  <c:v>-14.865332682462952</c:v>
                </c:pt>
                <c:pt idx="2">
                  <c:v>-14.38998620880672</c:v>
                </c:pt>
                <c:pt idx="3">
                  <c:v>-15.719319531000952</c:v>
                </c:pt>
                <c:pt idx="4">
                  <c:v>-15.726053563182296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5-4BBE-AC03-2894F64F8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6696"/>
        <c:axId val="334739048"/>
      </c:scatterChart>
      <c:valAx>
        <c:axId val="33473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9048"/>
        <c:crosses val="autoZero"/>
        <c:crossBetween val="midCat"/>
      </c:valAx>
      <c:valAx>
        <c:axId val="334739048"/>
        <c:scaling>
          <c:orientation val="minMax"/>
          <c:max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 and temperature Aug</a:t>
            </a:r>
            <a:r>
              <a:rPr lang="en-US" baseline="0"/>
              <a:t> 22 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Indium - InAs'!$B$128:$B$146</c:f>
              <c:numCache>
                <c:formatCode>General</c:formatCode>
                <c:ptCount val="19"/>
                <c:pt idx="0">
                  <c:v>750</c:v>
                </c:pt>
                <c:pt idx="1">
                  <c:v>730</c:v>
                </c:pt>
                <c:pt idx="2">
                  <c:v>750</c:v>
                </c:pt>
                <c:pt idx="3">
                  <c:v>730</c:v>
                </c:pt>
                <c:pt idx="4">
                  <c:v>710</c:v>
                </c:pt>
                <c:pt idx="5">
                  <c:v>700</c:v>
                </c:pt>
                <c:pt idx="6">
                  <c:v>720</c:v>
                </c:pt>
                <c:pt idx="7">
                  <c:v>720</c:v>
                </c:pt>
                <c:pt idx="8">
                  <c:v>760</c:v>
                </c:pt>
                <c:pt idx="9">
                  <c:v>750</c:v>
                </c:pt>
                <c:pt idx="10">
                  <c:v>720</c:v>
                </c:pt>
                <c:pt idx="11">
                  <c:v>700</c:v>
                </c:pt>
                <c:pt idx="12">
                  <c:v>750</c:v>
                </c:pt>
                <c:pt idx="13">
                  <c:v>730</c:v>
                </c:pt>
                <c:pt idx="14">
                  <c:v>700</c:v>
                </c:pt>
                <c:pt idx="15">
                  <c:v>730</c:v>
                </c:pt>
                <c:pt idx="16">
                  <c:v>750</c:v>
                </c:pt>
                <c:pt idx="17">
                  <c:v>755</c:v>
                </c:pt>
                <c:pt idx="18">
                  <c:v>752</c:v>
                </c:pt>
              </c:numCache>
            </c:numRef>
          </c:xVal>
          <c:yVal>
            <c:numRef>
              <c:f>' Indium - InAs'!$G$128:$G$146</c:f>
              <c:numCache>
                <c:formatCode>0.00E+00</c:formatCode>
                <c:ptCount val="19"/>
                <c:pt idx="0">
                  <c:v>9.4499999999999995E-7</c:v>
                </c:pt>
                <c:pt idx="1">
                  <c:v>5.8299999999999997E-7</c:v>
                </c:pt>
                <c:pt idx="2">
                  <c:v>9.4399999999999998E-7</c:v>
                </c:pt>
                <c:pt idx="3">
                  <c:v>5.6899999999999997E-7</c:v>
                </c:pt>
                <c:pt idx="4">
                  <c:v>3.5400000000000002E-7</c:v>
                </c:pt>
                <c:pt idx="5">
                  <c:v>2.8000000000000002E-7</c:v>
                </c:pt>
                <c:pt idx="6">
                  <c:v>4.4999999999999998E-7</c:v>
                </c:pt>
                <c:pt idx="7">
                  <c:v>4.4999999999999998E-7</c:v>
                </c:pt>
                <c:pt idx="8">
                  <c:v>1.5099999999999999E-6</c:v>
                </c:pt>
                <c:pt idx="9">
                  <c:v>9.0999999999999997E-7</c:v>
                </c:pt>
                <c:pt idx="10">
                  <c:v>4.5999999999999999E-7</c:v>
                </c:pt>
                <c:pt idx="11">
                  <c:v>2.8599999999999999E-7</c:v>
                </c:pt>
                <c:pt idx="12">
                  <c:v>9.0999999999999997E-7</c:v>
                </c:pt>
                <c:pt idx="15">
                  <c:v>5.7000000000000005E-7</c:v>
                </c:pt>
                <c:pt idx="16">
                  <c:v>8.6899999999999996E-7</c:v>
                </c:pt>
                <c:pt idx="17">
                  <c:v>9.64E-7</c:v>
                </c:pt>
                <c:pt idx="18">
                  <c:v>9.09E-7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A-428A-8046-16423E3E5B2A}"/>
            </c:ext>
          </c:extLst>
        </c:ser>
        <c:ser>
          <c:idx val="1"/>
          <c:order val="1"/>
          <c:tx>
            <c:v>Exclude 760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4326209077532173"/>
                  <c:y val="1.1572618297751792E-2"/>
                </c:manualLayout>
              </c:layout>
              <c:numFmt formatCode="0.0000E+00" sourceLinked="0"/>
              <c:spPr>
                <a:noFill/>
                <a:ln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Indium - InAs'!$B$128:$B$146</c:f>
              <c:numCache>
                <c:formatCode>General</c:formatCode>
                <c:ptCount val="19"/>
                <c:pt idx="0">
                  <c:v>750</c:v>
                </c:pt>
                <c:pt idx="1">
                  <c:v>730</c:v>
                </c:pt>
                <c:pt idx="2">
                  <c:v>750</c:v>
                </c:pt>
                <c:pt idx="3">
                  <c:v>730</c:v>
                </c:pt>
                <c:pt idx="4">
                  <c:v>710</c:v>
                </c:pt>
                <c:pt idx="5">
                  <c:v>700</c:v>
                </c:pt>
                <c:pt idx="6">
                  <c:v>720</c:v>
                </c:pt>
                <c:pt idx="7">
                  <c:v>720</c:v>
                </c:pt>
                <c:pt idx="8">
                  <c:v>760</c:v>
                </c:pt>
                <c:pt idx="9">
                  <c:v>750</c:v>
                </c:pt>
                <c:pt idx="10">
                  <c:v>720</c:v>
                </c:pt>
                <c:pt idx="11">
                  <c:v>700</c:v>
                </c:pt>
                <c:pt idx="12">
                  <c:v>750</c:v>
                </c:pt>
                <c:pt idx="13">
                  <c:v>730</c:v>
                </c:pt>
                <c:pt idx="14">
                  <c:v>700</c:v>
                </c:pt>
                <c:pt idx="15">
                  <c:v>730</c:v>
                </c:pt>
                <c:pt idx="16">
                  <c:v>750</c:v>
                </c:pt>
                <c:pt idx="17">
                  <c:v>755</c:v>
                </c:pt>
                <c:pt idx="18">
                  <c:v>752</c:v>
                </c:pt>
              </c:numCache>
            </c:numRef>
          </c:xVal>
          <c:yVal>
            <c:numRef>
              <c:f>' Indium - InAs'!$K$128:$K$146</c:f>
              <c:numCache>
                <c:formatCode>0.00E+00</c:formatCode>
                <c:ptCount val="19"/>
                <c:pt idx="0">
                  <c:v>9.4499999999999995E-7</c:v>
                </c:pt>
                <c:pt idx="1">
                  <c:v>5.8299999999999997E-7</c:v>
                </c:pt>
                <c:pt idx="2">
                  <c:v>9.4399999999999998E-7</c:v>
                </c:pt>
                <c:pt idx="3">
                  <c:v>5.6899999999999997E-7</c:v>
                </c:pt>
                <c:pt idx="4">
                  <c:v>3.5400000000000002E-7</c:v>
                </c:pt>
                <c:pt idx="5">
                  <c:v>2.8000000000000002E-7</c:v>
                </c:pt>
                <c:pt idx="6">
                  <c:v>4.4999999999999998E-7</c:v>
                </c:pt>
                <c:pt idx="7">
                  <c:v>4.4999999999999998E-7</c:v>
                </c:pt>
                <c:pt idx="9">
                  <c:v>9.0999999999999997E-7</c:v>
                </c:pt>
                <c:pt idx="10">
                  <c:v>4.5999999999999999E-7</c:v>
                </c:pt>
                <c:pt idx="11">
                  <c:v>2.8599999999999999E-7</c:v>
                </c:pt>
                <c:pt idx="12">
                  <c:v>9.0999999999999997E-7</c:v>
                </c:pt>
                <c:pt idx="15">
                  <c:v>5.7000000000000005E-7</c:v>
                </c:pt>
                <c:pt idx="16">
                  <c:v>8.6899999999999996E-7</c:v>
                </c:pt>
                <c:pt idx="17">
                  <c:v>9.64E-7</c:v>
                </c:pt>
                <c:pt idx="18">
                  <c:v>9.09E-7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0-4A68-9349-6E75933E615A}"/>
            </c:ext>
          </c:extLst>
        </c:ser>
        <c:ser>
          <c:idx val="2"/>
          <c:order val="2"/>
          <c:tx>
            <c:v>from 11-3 to 11-18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Indium - InAs'!$B$137:$B$143</c:f>
              <c:numCache>
                <c:formatCode>General</c:formatCode>
                <c:ptCount val="7"/>
                <c:pt idx="0">
                  <c:v>750</c:v>
                </c:pt>
                <c:pt idx="1">
                  <c:v>720</c:v>
                </c:pt>
                <c:pt idx="2">
                  <c:v>700</c:v>
                </c:pt>
                <c:pt idx="3">
                  <c:v>750</c:v>
                </c:pt>
                <c:pt idx="4">
                  <c:v>730</c:v>
                </c:pt>
                <c:pt idx="5">
                  <c:v>700</c:v>
                </c:pt>
                <c:pt idx="6">
                  <c:v>730</c:v>
                </c:pt>
              </c:numCache>
            </c:numRef>
          </c:xVal>
          <c:yVal>
            <c:numRef>
              <c:f>' Indium - InAs'!$G$137:$G$143</c:f>
              <c:numCache>
                <c:formatCode>0.00E+00</c:formatCode>
                <c:ptCount val="7"/>
                <c:pt idx="0">
                  <c:v>9.0999999999999997E-7</c:v>
                </c:pt>
                <c:pt idx="1">
                  <c:v>4.5999999999999999E-7</c:v>
                </c:pt>
                <c:pt idx="2">
                  <c:v>2.8599999999999999E-7</c:v>
                </c:pt>
                <c:pt idx="3">
                  <c:v>9.0999999999999997E-7</c:v>
                </c:pt>
                <c:pt idx="6">
                  <c:v>5.7000000000000005E-7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0-4A68-9349-6E75933E615A}"/>
            </c:ext>
          </c:extLst>
        </c:ser>
        <c:ser>
          <c:idx val="3"/>
          <c:order val="3"/>
          <c:tx>
            <c:v>11-18 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0128447974505513E-2"/>
                  <c:y val="0.21899090224512915"/>
                </c:manualLayout>
              </c:layout>
              <c:numFmt formatCode="0.0000E+00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Indium - InAs'!$B$140:$B$153</c:f>
              <c:numCache>
                <c:formatCode>General</c:formatCode>
                <c:ptCount val="14"/>
                <c:pt idx="0">
                  <c:v>750</c:v>
                </c:pt>
                <c:pt idx="1">
                  <c:v>730</c:v>
                </c:pt>
                <c:pt idx="2">
                  <c:v>700</c:v>
                </c:pt>
                <c:pt idx="3">
                  <c:v>730</c:v>
                </c:pt>
                <c:pt idx="4">
                  <c:v>750</c:v>
                </c:pt>
                <c:pt idx="5">
                  <c:v>755</c:v>
                </c:pt>
                <c:pt idx="6">
                  <c:v>752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730</c:v>
                </c:pt>
                <c:pt idx="11">
                  <c:v>710</c:v>
                </c:pt>
                <c:pt idx="12">
                  <c:v>700</c:v>
                </c:pt>
                <c:pt idx="13">
                  <c:v>750</c:v>
                </c:pt>
              </c:numCache>
            </c:numRef>
          </c:xVal>
          <c:yVal>
            <c:numRef>
              <c:f>' Indium - InAs'!$G$140:$G$153</c:f>
              <c:numCache>
                <c:formatCode>0.00E+00</c:formatCode>
                <c:ptCount val="14"/>
                <c:pt idx="0">
                  <c:v>9.0999999999999997E-7</c:v>
                </c:pt>
                <c:pt idx="3">
                  <c:v>5.7000000000000005E-7</c:v>
                </c:pt>
                <c:pt idx="4">
                  <c:v>8.6899999999999996E-7</c:v>
                </c:pt>
                <c:pt idx="5">
                  <c:v>9.64E-7</c:v>
                </c:pt>
                <c:pt idx="6">
                  <c:v>9.09E-7</c:v>
                </c:pt>
                <c:pt idx="7">
                  <c:v>9.0299999999999997E-7</c:v>
                </c:pt>
                <c:pt idx="8">
                  <c:v>8.6199999999999996E-7</c:v>
                </c:pt>
                <c:pt idx="9">
                  <c:v>8.6899999999999996E-7</c:v>
                </c:pt>
                <c:pt idx="10">
                  <c:v>5.44E-7</c:v>
                </c:pt>
                <c:pt idx="11">
                  <c:v>3.7800000000000002E-7</c:v>
                </c:pt>
                <c:pt idx="12">
                  <c:v>2.8000000000000002E-7</c:v>
                </c:pt>
                <c:pt idx="13">
                  <c:v>8.8999999999999995E-7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9-4995-8AA5-55F8E75C4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39080"/>
        <c:axId val="278137768"/>
      </c:scatterChart>
      <c:valAx>
        <c:axId val="27813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37768"/>
        <c:crosses val="autoZero"/>
        <c:crossBetween val="midCat"/>
      </c:valAx>
      <c:valAx>
        <c:axId val="2781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3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 2019 - Aug 2022</a:t>
            </a:r>
            <a:r>
              <a:rPr lang="en-US" baseline="0"/>
              <a:t> flux vs.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274496937882794E-2"/>
                  <c:y val="5.513888888888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Indium - InAs'!$G$107:$G$139</c:f>
              <c:numCache>
                <c:formatCode>0.00E+00</c:formatCode>
                <c:ptCount val="31"/>
                <c:pt idx="0">
                  <c:v>8.6099999999999999E-7</c:v>
                </c:pt>
                <c:pt idx="1">
                  <c:v>3.4999999999999998E-7</c:v>
                </c:pt>
                <c:pt idx="2">
                  <c:v>5.6300000000000005E-7</c:v>
                </c:pt>
                <c:pt idx="3">
                  <c:v>1.49E-7</c:v>
                </c:pt>
                <c:pt idx="4">
                  <c:v>1.48E-7</c:v>
                </c:pt>
                <c:pt idx="5">
                  <c:v>1.9299999999999999E-7</c:v>
                </c:pt>
                <c:pt idx="6">
                  <c:v>1.6899999999999999E-7</c:v>
                </c:pt>
                <c:pt idx="7">
                  <c:v>1.01E-7</c:v>
                </c:pt>
                <c:pt idx="8">
                  <c:v>1.67E-7</c:v>
                </c:pt>
                <c:pt idx="9">
                  <c:v>1.4499999999999999E-7</c:v>
                </c:pt>
                <c:pt idx="10">
                  <c:v>1.5900000000000001E-7</c:v>
                </c:pt>
                <c:pt idx="11">
                  <c:v>1.6199999999999999E-7</c:v>
                </c:pt>
                <c:pt idx="12">
                  <c:v>1.5800000000000001E-7</c:v>
                </c:pt>
                <c:pt idx="13">
                  <c:v>1.5900000000000001E-7</c:v>
                </c:pt>
                <c:pt idx="14">
                  <c:v>9.2500000000000004E-7</c:v>
                </c:pt>
                <c:pt idx="15">
                  <c:v>5.8500000000000001E-7</c:v>
                </c:pt>
                <c:pt idx="16">
                  <c:v>5.9999999999999997E-7</c:v>
                </c:pt>
                <c:pt idx="17">
                  <c:v>4.7E-7</c:v>
                </c:pt>
                <c:pt idx="19">
                  <c:v>9.4499999999999995E-7</c:v>
                </c:pt>
                <c:pt idx="20">
                  <c:v>5.8299999999999997E-7</c:v>
                </c:pt>
                <c:pt idx="21">
                  <c:v>9.4399999999999998E-7</c:v>
                </c:pt>
                <c:pt idx="22">
                  <c:v>5.6899999999999997E-7</c:v>
                </c:pt>
                <c:pt idx="23">
                  <c:v>3.5400000000000002E-7</c:v>
                </c:pt>
                <c:pt idx="24">
                  <c:v>2.8000000000000002E-7</c:v>
                </c:pt>
                <c:pt idx="25">
                  <c:v>4.4999999999999998E-7</c:v>
                </c:pt>
                <c:pt idx="26">
                  <c:v>4.4999999999999998E-7</c:v>
                </c:pt>
                <c:pt idx="27">
                  <c:v>1.5099999999999999E-6</c:v>
                </c:pt>
                <c:pt idx="28">
                  <c:v>9.0999999999999997E-7</c:v>
                </c:pt>
                <c:pt idx="29">
                  <c:v>4.5999999999999999E-7</c:v>
                </c:pt>
                <c:pt idx="30">
                  <c:v>2.8599999999999999E-7</c:v>
                </c:pt>
              </c:numCache>
            </c:numRef>
          </c:xVal>
          <c:yVal>
            <c:numRef>
              <c:f>' Indium - InAs'!$F$107:$F$139</c:f>
              <c:numCache>
                <c:formatCode>General</c:formatCode>
                <c:ptCount val="31"/>
                <c:pt idx="0">
                  <c:v>0.44</c:v>
                </c:pt>
                <c:pt idx="1">
                  <c:v>0.17799999999999999</c:v>
                </c:pt>
                <c:pt idx="2">
                  <c:v>0.28100000000000003</c:v>
                </c:pt>
                <c:pt idx="22">
                  <c:v>0.28199999999999997</c:v>
                </c:pt>
                <c:pt idx="23">
                  <c:v>0.16700000000000001</c:v>
                </c:pt>
                <c:pt idx="24">
                  <c:v>0.13600000000000001</c:v>
                </c:pt>
                <c:pt idx="26">
                  <c:v>0.22500000000000001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B-49E6-943B-633B52E17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93696"/>
        <c:axId val="272794024"/>
      </c:scatterChart>
      <c:valAx>
        <c:axId val="27279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BFM flux torr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94024"/>
        <c:crosses val="autoZero"/>
        <c:crossBetween val="midCat"/>
      </c:valAx>
      <c:valAx>
        <c:axId val="27279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ML/s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9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 vs. rate Aug 22 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22485322033842"/>
          <c:y val="0.11818803210392791"/>
          <c:w val="0.80437898777937922"/>
          <c:h val="0.72102514150527375"/>
        </c:manualLayout>
      </c:layout>
      <c:scatterChart>
        <c:scatterStyle val="lineMarker"/>
        <c:varyColors val="0"/>
        <c:ser>
          <c:idx val="0"/>
          <c:order val="0"/>
          <c:tx>
            <c:v>flux vs.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Indium - InAs'!$G$128:$G$144</c:f>
              <c:numCache>
                <c:formatCode>0.00E+00</c:formatCode>
                <c:ptCount val="17"/>
                <c:pt idx="0">
                  <c:v>9.4499999999999995E-7</c:v>
                </c:pt>
                <c:pt idx="1">
                  <c:v>5.8299999999999997E-7</c:v>
                </c:pt>
                <c:pt idx="2">
                  <c:v>9.4399999999999998E-7</c:v>
                </c:pt>
                <c:pt idx="3">
                  <c:v>5.6899999999999997E-7</c:v>
                </c:pt>
                <c:pt idx="4">
                  <c:v>3.5400000000000002E-7</c:v>
                </c:pt>
                <c:pt idx="5">
                  <c:v>2.8000000000000002E-7</c:v>
                </c:pt>
                <c:pt idx="6">
                  <c:v>4.4999999999999998E-7</c:v>
                </c:pt>
                <c:pt idx="7">
                  <c:v>4.4999999999999998E-7</c:v>
                </c:pt>
                <c:pt idx="8">
                  <c:v>1.5099999999999999E-6</c:v>
                </c:pt>
                <c:pt idx="9">
                  <c:v>9.0999999999999997E-7</c:v>
                </c:pt>
                <c:pt idx="10">
                  <c:v>4.5999999999999999E-7</c:v>
                </c:pt>
                <c:pt idx="11">
                  <c:v>2.8599999999999999E-7</c:v>
                </c:pt>
                <c:pt idx="12">
                  <c:v>9.0999999999999997E-7</c:v>
                </c:pt>
                <c:pt idx="15">
                  <c:v>5.7000000000000005E-7</c:v>
                </c:pt>
                <c:pt idx="16">
                  <c:v>8.6899999999999996E-7</c:v>
                </c:pt>
              </c:numCache>
            </c:numRef>
          </c:xVal>
          <c:yVal>
            <c:numRef>
              <c:f>' Indium - InAs'!$F$128:$F$144</c:f>
              <c:numCache>
                <c:formatCode>General</c:formatCode>
                <c:ptCount val="17"/>
                <c:pt idx="3">
                  <c:v>0.28199999999999997</c:v>
                </c:pt>
                <c:pt idx="4">
                  <c:v>0.16700000000000001</c:v>
                </c:pt>
                <c:pt idx="5">
                  <c:v>0.13600000000000001</c:v>
                </c:pt>
                <c:pt idx="7">
                  <c:v>0.22500000000000001</c:v>
                </c:pt>
                <c:pt idx="12">
                  <c:v>0.47</c:v>
                </c:pt>
                <c:pt idx="13">
                  <c:v>0.26900000000000002</c:v>
                </c:pt>
                <c:pt idx="14">
                  <c:v>0.13200000000000001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D-4206-A6DA-54F5BA218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01200"/>
        <c:axId val="313493000"/>
      </c:scatterChart>
      <c:valAx>
        <c:axId val="31350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BFM</a:t>
                </a:r>
                <a:r>
                  <a:rPr lang="en-US" baseline="0"/>
                  <a:t> flux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93000"/>
        <c:crosses val="autoZero"/>
        <c:crossBetween val="midCat"/>
      </c:valAx>
      <c:valAx>
        <c:axId val="31349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0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 vs. rate 11/18 only</a:t>
            </a:r>
          </a:p>
        </c:rich>
      </c:tx>
      <c:layout>
        <c:manualLayout>
          <c:xMode val="edge"/>
          <c:yMode val="edge"/>
          <c:x val="0.33335542305350663"/>
          <c:y val="1.6472199596366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22485322033842"/>
          <c:y val="0.11818803210392791"/>
          <c:w val="0.80437898777937922"/>
          <c:h val="0.72102514150527375"/>
        </c:manualLayout>
      </c:layout>
      <c:scatterChart>
        <c:scatterStyle val="lineMarker"/>
        <c:varyColors val="0"/>
        <c:ser>
          <c:idx val="0"/>
          <c:order val="0"/>
          <c:tx>
            <c:v>flux vs.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35295999529913"/>
                  <c:y val="0.22772815941976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Indium - InAs'!$L$140:$L$142</c:f>
              <c:numCache>
                <c:formatCode>0.00E+00</c:formatCode>
                <c:ptCount val="3"/>
                <c:pt idx="0">
                  <c:v>9.09E-7</c:v>
                </c:pt>
                <c:pt idx="1">
                  <c:v>5.7309999999999996E-7</c:v>
                </c:pt>
                <c:pt idx="2">
                  <c:v>2.868E-7</c:v>
                </c:pt>
              </c:numCache>
            </c:numRef>
          </c:xVal>
          <c:yVal>
            <c:numRef>
              <c:f>' Indium - InAs'!$F$140:$F$142</c:f>
              <c:numCache>
                <c:formatCode>General</c:formatCode>
                <c:ptCount val="3"/>
                <c:pt idx="0">
                  <c:v>0.47</c:v>
                </c:pt>
                <c:pt idx="1">
                  <c:v>0.26900000000000002</c:v>
                </c:pt>
                <c:pt idx="2">
                  <c:v>0.13200000000000001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F-4D54-9C5A-1EB1B63A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01200"/>
        <c:axId val="313493000"/>
      </c:scatterChart>
      <c:valAx>
        <c:axId val="31350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BFM</a:t>
                </a:r>
                <a:r>
                  <a:rPr lang="en-US" baseline="0"/>
                  <a:t> flux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93000"/>
        <c:crosses val="autoZero"/>
        <c:crossBetween val="midCat"/>
      </c:valAx>
      <c:valAx>
        <c:axId val="31349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0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Bulk vs. Flux May 2023</a:t>
            </a:r>
            <a:r>
              <a:rPr lang="en-US" baseline="0"/>
              <a:t> -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7.6165573053368324E-2"/>
                  <c:y val="-4.1666666666666669E-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Indium - InAs'!$B$157:$B$164</c:f>
              <c:numCache>
                <c:formatCode>General</c:formatCode>
                <c:ptCount val="8"/>
                <c:pt idx="0">
                  <c:v>750</c:v>
                </c:pt>
                <c:pt idx="1">
                  <c:v>730</c:v>
                </c:pt>
                <c:pt idx="2">
                  <c:v>710</c:v>
                </c:pt>
                <c:pt idx="3">
                  <c:v>775</c:v>
                </c:pt>
                <c:pt idx="4">
                  <c:v>750</c:v>
                </c:pt>
                <c:pt idx="5">
                  <c:v>725</c:v>
                </c:pt>
                <c:pt idx="6">
                  <c:v>750</c:v>
                </c:pt>
                <c:pt idx="7">
                  <c:v>750</c:v>
                </c:pt>
              </c:numCache>
            </c:numRef>
          </c:xVal>
          <c:yVal>
            <c:numRef>
              <c:f>' Indium - InAs'!$G$157:$G$164</c:f>
              <c:numCache>
                <c:formatCode>0.00E+00</c:formatCode>
                <c:ptCount val="8"/>
                <c:pt idx="0">
                  <c:v>9.7600000000000006E-7</c:v>
                </c:pt>
                <c:pt idx="1">
                  <c:v>6.13E-7</c:v>
                </c:pt>
                <c:pt idx="2">
                  <c:v>3.7500000000000001E-7</c:v>
                </c:pt>
                <c:pt idx="3">
                  <c:v>1.64E-6</c:v>
                </c:pt>
                <c:pt idx="4">
                  <c:v>9.4799999999999997E-7</c:v>
                </c:pt>
                <c:pt idx="5">
                  <c:v>5.4099999999999999E-7</c:v>
                </c:pt>
                <c:pt idx="6">
                  <c:v>9.5999999999999991E-7</c:v>
                </c:pt>
                <c:pt idx="7">
                  <c:v>9.4600000000000003E-7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A-4CC9-A6AE-FE298071E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53840"/>
        <c:axId val="278254168"/>
      </c:scatterChart>
      <c:valAx>
        <c:axId val="2782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54168"/>
        <c:crosses val="autoZero"/>
        <c:crossBetween val="midCat"/>
      </c:valAx>
      <c:valAx>
        <c:axId val="27825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 and temperature Aug 22 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7.0350830306540366E-2"/>
                  <c:y val="-1.1885288186935098E-2"/>
                </c:manualLayout>
              </c:layout>
              <c:numFmt formatCode="0.0000E+00" sourceLinked="0"/>
              <c:spPr>
                <a:solidFill>
                  <a:sysClr val="window" lastClr="FFFFFF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 - InSb '!$B$3:$B$21</c:f>
              <c:numCache>
                <c:formatCode>General</c:formatCode>
                <c:ptCount val="19"/>
                <c:pt idx="0">
                  <c:v>720</c:v>
                </c:pt>
                <c:pt idx="1">
                  <c:v>720</c:v>
                </c:pt>
                <c:pt idx="3">
                  <c:v>750</c:v>
                </c:pt>
                <c:pt idx="4">
                  <c:v>720</c:v>
                </c:pt>
                <c:pt idx="5">
                  <c:v>700</c:v>
                </c:pt>
                <c:pt idx="6">
                  <c:v>750</c:v>
                </c:pt>
                <c:pt idx="7">
                  <c:v>730</c:v>
                </c:pt>
                <c:pt idx="8">
                  <c:v>700</c:v>
                </c:pt>
                <c:pt idx="9">
                  <c:v>730</c:v>
                </c:pt>
                <c:pt idx="10">
                  <c:v>750</c:v>
                </c:pt>
                <c:pt idx="11">
                  <c:v>755</c:v>
                </c:pt>
                <c:pt idx="12">
                  <c:v>752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730</c:v>
                </c:pt>
                <c:pt idx="17">
                  <c:v>710</c:v>
                </c:pt>
                <c:pt idx="18">
                  <c:v>700</c:v>
                </c:pt>
              </c:numCache>
            </c:numRef>
          </c:xVal>
          <c:yVal>
            <c:numRef>
              <c:f>' In - InSb '!$G$3:$G$21</c:f>
              <c:numCache>
                <c:formatCode>0.00E+00</c:formatCode>
                <c:ptCount val="19"/>
                <c:pt idx="0">
                  <c:v>4.4999999999999998E-7</c:v>
                </c:pt>
                <c:pt idx="1">
                  <c:v>4.4999999999999998E-7</c:v>
                </c:pt>
                <c:pt idx="3">
                  <c:v>9.0999999999999997E-7</c:v>
                </c:pt>
                <c:pt idx="4">
                  <c:v>4.5999999999999999E-7</c:v>
                </c:pt>
                <c:pt idx="5">
                  <c:v>2.8599999999999999E-7</c:v>
                </c:pt>
                <c:pt idx="6">
                  <c:v>9.0999999999999997E-7</c:v>
                </c:pt>
                <c:pt idx="9">
                  <c:v>5.7000000000000005E-7</c:v>
                </c:pt>
                <c:pt idx="10">
                  <c:v>8.6899999999999996E-7</c:v>
                </c:pt>
                <c:pt idx="11">
                  <c:v>9.64E-7</c:v>
                </c:pt>
                <c:pt idx="12">
                  <c:v>9.09E-7</c:v>
                </c:pt>
                <c:pt idx="13">
                  <c:v>9.0299999999999997E-7</c:v>
                </c:pt>
                <c:pt idx="14">
                  <c:v>8.6199999999999996E-7</c:v>
                </c:pt>
                <c:pt idx="15">
                  <c:v>8.6899999999999996E-7</c:v>
                </c:pt>
                <c:pt idx="16">
                  <c:v>5.44E-7</c:v>
                </c:pt>
                <c:pt idx="17">
                  <c:v>3.8099999999999998E-7</c:v>
                </c:pt>
                <c:pt idx="18">
                  <c:v>2.8000000000000002E-7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4-46F8-BF4B-2FBAE44CF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39080"/>
        <c:axId val="278137768"/>
      </c:scatterChart>
      <c:valAx>
        <c:axId val="27813908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37768"/>
        <c:crosses val="autoZero"/>
        <c:crossBetween val="midCat"/>
      </c:valAx>
      <c:valAx>
        <c:axId val="2781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3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temp vs. flux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38200868770576"/>
          <c:y val="0.15526946682168022"/>
          <c:w val="0.76541692224878888"/>
          <c:h val="0.6588454478060383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5373391919014893"/>
                  <c:y val="1.218210160288728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'Al- AlAs'!$B$3:$B$14</c:f>
              <c:numCache>
                <c:formatCode>General</c:formatCode>
                <c:ptCount val="12"/>
                <c:pt idx="0">
                  <c:v>1225</c:v>
                </c:pt>
                <c:pt idx="1">
                  <c:v>1175</c:v>
                </c:pt>
                <c:pt idx="2">
                  <c:v>1125</c:v>
                </c:pt>
                <c:pt idx="3">
                  <c:v>1075</c:v>
                </c:pt>
                <c:pt idx="4">
                  <c:v>1025</c:v>
                </c:pt>
                <c:pt idx="5">
                  <c:v>1075</c:v>
                </c:pt>
                <c:pt idx="6">
                  <c:v>1050</c:v>
                </c:pt>
                <c:pt idx="7">
                  <c:v>1050</c:v>
                </c:pt>
                <c:pt idx="8">
                  <c:v>1080</c:v>
                </c:pt>
                <c:pt idx="9">
                  <c:v>1125</c:v>
                </c:pt>
                <c:pt idx="10">
                  <c:v>1100</c:v>
                </c:pt>
                <c:pt idx="11">
                  <c:v>1075</c:v>
                </c:pt>
              </c:numCache>
            </c:numRef>
          </c:xVal>
          <c:yVal>
            <c:numRef>
              <c:f>'Al- AlAs'!$F$3:$F$14</c:f>
              <c:numCache>
                <c:formatCode>0.00E+00</c:formatCode>
                <c:ptCount val="12"/>
                <c:pt idx="0">
                  <c:v>3.6799999999999999E-6</c:v>
                </c:pt>
                <c:pt idx="1">
                  <c:v>1.75E-6</c:v>
                </c:pt>
                <c:pt idx="2">
                  <c:v>7.4700000000000001E-7</c:v>
                </c:pt>
                <c:pt idx="3">
                  <c:v>2.8700000000000002E-7</c:v>
                </c:pt>
                <c:pt idx="5">
                  <c:v>2.8900000000000001E-7</c:v>
                </c:pt>
                <c:pt idx="6">
                  <c:v>1.73E-7</c:v>
                </c:pt>
                <c:pt idx="7">
                  <c:v>1.7100000000000001E-7</c:v>
                </c:pt>
                <c:pt idx="8">
                  <c:v>2.8099999999999999E-7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2-4EFB-B8EE-095B2ED02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95120"/>
        <c:axId val="286195448"/>
      </c:scatterChart>
      <c:valAx>
        <c:axId val="28619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95448"/>
        <c:crosses val="autoZero"/>
        <c:crossBetween val="midCat"/>
      </c:valAx>
      <c:valAx>
        <c:axId val="2861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BFM flux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7110345581802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9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336967815430074"/>
          <c:y val="0.59699582656632322"/>
          <c:w val="0.24704897579376506"/>
          <c:h val="0.14128824974544396"/>
        </c:manualLayout>
      </c:layout>
      <c:overlay val="0"/>
      <c:spPr>
        <a:solidFill>
          <a:sysClr val="window" lastClr="FFFFFF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Temp vs. growth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38200868770576"/>
          <c:y val="0.15526946682168022"/>
          <c:w val="0.76541692224878888"/>
          <c:h val="0.6588454478060383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9598795677379295"/>
                  <c:y val="0.2629236846069486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'Al- AlAs'!$B$5:$B$14</c:f>
              <c:numCache>
                <c:formatCode>General</c:formatCode>
                <c:ptCount val="10"/>
                <c:pt idx="0">
                  <c:v>1125</c:v>
                </c:pt>
                <c:pt idx="1">
                  <c:v>1075</c:v>
                </c:pt>
                <c:pt idx="2">
                  <c:v>1025</c:v>
                </c:pt>
                <c:pt idx="3">
                  <c:v>1075</c:v>
                </c:pt>
                <c:pt idx="4">
                  <c:v>1050</c:v>
                </c:pt>
                <c:pt idx="5">
                  <c:v>1050</c:v>
                </c:pt>
                <c:pt idx="6">
                  <c:v>1080</c:v>
                </c:pt>
                <c:pt idx="7">
                  <c:v>1125</c:v>
                </c:pt>
                <c:pt idx="8">
                  <c:v>1100</c:v>
                </c:pt>
                <c:pt idx="9">
                  <c:v>1075</c:v>
                </c:pt>
              </c:numCache>
            </c:numRef>
          </c:xVal>
          <c:yVal>
            <c:numRef>
              <c:f>'Al- AlAs'!$H$5:$H$14</c:f>
              <c:numCache>
                <c:formatCode>General</c:formatCode>
                <c:ptCount val="10"/>
                <c:pt idx="0">
                  <c:v>1.02</c:v>
                </c:pt>
                <c:pt idx="1">
                  <c:v>0.35</c:v>
                </c:pt>
                <c:pt idx="2">
                  <c:v>0.12</c:v>
                </c:pt>
                <c:pt idx="3">
                  <c:v>0.34899999999999998</c:v>
                </c:pt>
                <c:pt idx="4">
                  <c:v>0.20300000000000001</c:v>
                </c:pt>
                <c:pt idx="6">
                  <c:v>0.35299999999999998</c:v>
                </c:pt>
                <c:pt idx="7">
                  <c:v>0.84</c:v>
                </c:pt>
                <c:pt idx="8">
                  <c:v>0.5</c:v>
                </c:pt>
                <c:pt idx="9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F-4963-8270-52D5DD0DF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95120"/>
        <c:axId val="286195448"/>
      </c:scatterChart>
      <c:valAx>
        <c:axId val="28619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95448"/>
        <c:crosses val="autoZero"/>
        <c:crossBetween val="midCat"/>
      </c:valAx>
      <c:valAx>
        <c:axId val="2861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(Ml/s)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7110345581802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9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336967815430074"/>
          <c:y val="0.59699582656632322"/>
          <c:w val="0.24704897579376506"/>
          <c:h val="0.14128824974544396"/>
        </c:manualLayout>
      </c:layout>
      <c:overlay val="0"/>
      <c:spPr>
        <a:solidFill>
          <a:sysClr val="window" lastClr="FFFFFF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temp vs. flux pre bake and pst bake May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38200868770576"/>
          <c:y val="0.15526946682168022"/>
          <c:w val="0.76541692224878888"/>
          <c:h val="0.65884544780603838"/>
        </c:manualLayout>
      </c:layout>
      <c:scatterChart>
        <c:scatterStyle val="lineMarker"/>
        <c:varyColors val="0"/>
        <c:ser>
          <c:idx val="0"/>
          <c:order val="0"/>
          <c:tx>
            <c:v>before bake March 23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4233447712726337"/>
                  <c:y val="0.23152394218937797"/>
                </c:manualLayout>
              </c:layout>
              <c:numFmt formatCode="0.0000E+00" sourceLinked="0"/>
              <c:spPr>
                <a:solidFill>
                  <a:sysClr val="window" lastClr="FFFFFF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'Al- AlAs'!$B$8:$B$17</c:f>
              <c:numCache>
                <c:formatCode>General</c:formatCode>
                <c:ptCount val="10"/>
                <c:pt idx="0">
                  <c:v>1075</c:v>
                </c:pt>
                <c:pt idx="1">
                  <c:v>1050</c:v>
                </c:pt>
                <c:pt idx="2">
                  <c:v>1050</c:v>
                </c:pt>
                <c:pt idx="3">
                  <c:v>1080</c:v>
                </c:pt>
                <c:pt idx="4">
                  <c:v>1125</c:v>
                </c:pt>
                <c:pt idx="5">
                  <c:v>1100</c:v>
                </c:pt>
                <c:pt idx="6">
                  <c:v>1075</c:v>
                </c:pt>
                <c:pt idx="7">
                  <c:v>1127</c:v>
                </c:pt>
                <c:pt idx="8">
                  <c:v>1127</c:v>
                </c:pt>
                <c:pt idx="9">
                  <c:v>1023</c:v>
                </c:pt>
              </c:numCache>
            </c:numRef>
          </c:xVal>
          <c:yVal>
            <c:numRef>
              <c:f>'Al- AlAs'!$F$8:$F$17</c:f>
              <c:numCache>
                <c:formatCode>0.00E+00</c:formatCode>
                <c:ptCount val="10"/>
                <c:pt idx="0">
                  <c:v>2.8900000000000001E-7</c:v>
                </c:pt>
                <c:pt idx="1">
                  <c:v>1.73E-7</c:v>
                </c:pt>
                <c:pt idx="2">
                  <c:v>1.7100000000000001E-7</c:v>
                </c:pt>
                <c:pt idx="3">
                  <c:v>2.8099999999999999E-7</c:v>
                </c:pt>
                <c:pt idx="7">
                  <c:v>5.6499999999999999E-7</c:v>
                </c:pt>
                <c:pt idx="8">
                  <c:v>5.7199999999999999E-7</c:v>
                </c:pt>
                <c:pt idx="9">
                  <c:v>9.1399999999999998E-8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7-44C8-8C07-AE005AB25050}"/>
            </c:ext>
          </c:extLst>
        </c:ser>
        <c:ser>
          <c:idx val="1"/>
          <c:order val="1"/>
          <c:tx>
            <c:v>pst bake may 2023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948117724609484"/>
                  <c:y val="8.8470650346104809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'Al- AlAs'!$B$19:$B$24</c:f>
              <c:numCache>
                <c:formatCode>General</c:formatCode>
                <c:ptCount val="6"/>
                <c:pt idx="0">
                  <c:v>1125</c:v>
                </c:pt>
                <c:pt idx="1">
                  <c:v>1100</c:v>
                </c:pt>
                <c:pt idx="2">
                  <c:v>1075</c:v>
                </c:pt>
                <c:pt idx="3">
                  <c:v>1125</c:v>
                </c:pt>
                <c:pt idx="4">
                  <c:v>1100</c:v>
                </c:pt>
                <c:pt idx="5">
                  <c:v>1075</c:v>
                </c:pt>
              </c:numCache>
            </c:numRef>
          </c:xVal>
          <c:yVal>
            <c:numRef>
              <c:f>'Al- AlAs'!$F$19:$F$24</c:f>
              <c:numCache>
                <c:formatCode>0.00E+00</c:formatCode>
                <c:ptCount val="6"/>
                <c:pt idx="0">
                  <c:v>6.99E-7</c:v>
                </c:pt>
                <c:pt idx="1">
                  <c:v>4.4999999999999998E-7</c:v>
                </c:pt>
                <c:pt idx="2">
                  <c:v>2.8599999999999999E-7</c:v>
                </c:pt>
                <c:pt idx="3">
                  <c:v>6.7299999999999995E-7</c:v>
                </c:pt>
                <c:pt idx="4">
                  <c:v>4.3700000000000001E-7</c:v>
                </c:pt>
                <c:pt idx="5">
                  <c:v>2.72E-7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F7-44C8-8C07-AE005AB25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95120"/>
        <c:axId val="286195448"/>
      </c:scatterChart>
      <c:valAx>
        <c:axId val="28619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95448"/>
        <c:crosses val="autoZero"/>
        <c:crossBetween val="midCat"/>
      </c:valAx>
      <c:valAx>
        <c:axId val="2861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BFM flux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7110345581802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9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17025953970512"/>
          <c:y val="0.60637770548672965"/>
          <c:w val="0.30556600225648739"/>
          <c:h val="0.2110920492788447"/>
        </c:manualLayout>
      </c:layout>
      <c:overlay val="0"/>
      <c:spPr>
        <a:solidFill>
          <a:sysClr val="window" lastClr="FFFFFF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2019 and onward</a:t>
            </a:r>
          </a:p>
        </c:rich>
      </c:tx>
      <c:layout>
        <c:manualLayout>
          <c:xMode val="edge"/>
          <c:yMode val="edge"/>
          <c:x val="0.42970702193086513"/>
          <c:y val="4.8437647494066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2.6235257010710951E-2"/>
                  <c:y val="0.4109141008260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 - GaAs'!$H$161:$H$175</c:f>
            </c:numRef>
          </c:xVal>
          <c:yVal>
            <c:numRef>
              <c:f>'Ga - GaAs'!$G$161:$G$175</c:f>
            </c:numRef>
          </c:yVal>
          <c:smooth val="0"/>
          <c:extLst>
            <c:ext xmlns:c16="http://schemas.microsoft.com/office/drawing/2014/chart" uri="{C3380CC4-5D6E-409C-BE32-E72D297353CC}">
              <c16:uniqueId val="{00000000-DE2B-46FA-A42B-B826E6C1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0816"/>
        <c:axId val="334733560"/>
      </c:scatterChart>
      <c:valAx>
        <c:axId val="3347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3560"/>
        <c:crosses val="autoZero"/>
        <c:crossBetween val="midCat"/>
      </c:valAx>
      <c:valAx>
        <c:axId val="33473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38200868770576"/>
          <c:y val="0.15526946682168022"/>
          <c:w val="0.76541692224878888"/>
          <c:h val="0.6588454478060383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5373391919014893"/>
                  <c:y val="1.218210160288728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 - AlSb'!$B$11:$B$26</c:f>
              <c:numCache>
                <c:formatCode>General</c:formatCode>
                <c:ptCount val="16"/>
                <c:pt idx="0">
                  <c:v>1040</c:v>
                </c:pt>
                <c:pt idx="1">
                  <c:v>1040</c:v>
                </c:pt>
                <c:pt idx="2">
                  <c:v>1040</c:v>
                </c:pt>
                <c:pt idx="3">
                  <c:v>1040</c:v>
                </c:pt>
                <c:pt idx="4">
                  <c:v>1040</c:v>
                </c:pt>
                <c:pt idx="5">
                  <c:v>1040</c:v>
                </c:pt>
                <c:pt idx="6">
                  <c:v>1120</c:v>
                </c:pt>
                <c:pt idx="7">
                  <c:v>1120</c:v>
                </c:pt>
                <c:pt idx="8">
                  <c:v>1124</c:v>
                </c:pt>
                <c:pt idx="9">
                  <c:v>1122</c:v>
                </c:pt>
                <c:pt idx="10">
                  <c:v>1122</c:v>
                </c:pt>
                <c:pt idx="11">
                  <c:v>1123</c:v>
                </c:pt>
                <c:pt idx="12">
                  <c:v>1124</c:v>
                </c:pt>
                <c:pt idx="13">
                  <c:v>1040</c:v>
                </c:pt>
                <c:pt idx="14">
                  <c:v>1124</c:v>
                </c:pt>
                <c:pt idx="15">
                  <c:v>1080</c:v>
                </c:pt>
              </c:numCache>
            </c:numRef>
          </c:xVal>
          <c:yVal>
            <c:numRef>
              <c:f>'Al - AlSb'!$F$11:$F$26</c:f>
              <c:numCache>
                <c:formatCode>0.00E+00</c:formatCode>
                <c:ptCount val="16"/>
                <c:pt idx="0">
                  <c:v>1.3300000000000001E-7</c:v>
                </c:pt>
                <c:pt idx="1">
                  <c:v>1.31E-7</c:v>
                </c:pt>
                <c:pt idx="2">
                  <c:v>1.36E-7</c:v>
                </c:pt>
                <c:pt idx="3">
                  <c:v>1.29E-7</c:v>
                </c:pt>
                <c:pt idx="4">
                  <c:v>1.3199999999999999E-7</c:v>
                </c:pt>
                <c:pt idx="5">
                  <c:v>1.29E-7</c:v>
                </c:pt>
                <c:pt idx="6">
                  <c:v>6.3399999999999999E-7</c:v>
                </c:pt>
                <c:pt idx="7">
                  <c:v>5.8999999999999996E-7</c:v>
                </c:pt>
                <c:pt idx="8">
                  <c:v>6.6199999999999997E-7</c:v>
                </c:pt>
                <c:pt idx="9">
                  <c:v>6.3499999999999996E-7</c:v>
                </c:pt>
                <c:pt idx="10">
                  <c:v>6.0200000000000002E-7</c:v>
                </c:pt>
                <c:pt idx="11">
                  <c:v>6.0999999999999998E-7</c:v>
                </c:pt>
                <c:pt idx="12">
                  <c:v>6.2500000000000005E-7</c:v>
                </c:pt>
                <c:pt idx="13">
                  <c:v>1.29E-7</c:v>
                </c:pt>
                <c:pt idx="14">
                  <c:v>6.2500000000000005E-7</c:v>
                </c:pt>
                <c:pt idx="15">
                  <c:v>2.8099999999999999E-7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2-48A2-A262-3C88D8062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95120"/>
        <c:axId val="286195448"/>
      </c:scatterChart>
      <c:valAx>
        <c:axId val="28619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95448"/>
        <c:crosses val="autoZero"/>
        <c:crossBetween val="midCat"/>
      </c:valAx>
      <c:valAx>
        <c:axId val="2861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BFM flux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7110345581802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9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53674826520176"/>
          <c:y val="0.58878881531012672"/>
          <c:w val="0.24704897579376506"/>
          <c:h val="0.14128824974544396"/>
        </c:manualLayout>
      </c:layout>
      <c:overlay val="0"/>
      <c:spPr>
        <a:solidFill>
          <a:sysClr val="window" lastClr="FFFFFF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plot 1/temp</a:t>
            </a:r>
            <a:r>
              <a:rPr lang="en-US" baseline="0"/>
              <a:t> vs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2806093316922"/>
          <c:y val="0.17171296296296296"/>
          <c:w val="0.8158341179013594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12100212879114"/>
                  <c:y val="-0.24038713910761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 - AlSb'!$E$3:$E$5</c:f>
              <c:numCache>
                <c:formatCode>General</c:formatCode>
                <c:ptCount val="3"/>
                <c:pt idx="0">
                  <c:v>7.1530758226037197</c:v>
                </c:pt>
                <c:pt idx="1">
                  <c:v>7.4183976261127595</c:v>
                </c:pt>
                <c:pt idx="2">
                  <c:v>7.704160246533128</c:v>
                </c:pt>
              </c:numCache>
            </c:numRef>
          </c:xVal>
          <c:yVal>
            <c:numRef>
              <c:f>'Al - AlSb'!$G$3:$G$5</c:f>
              <c:numCache>
                <c:formatCode>General</c:formatCode>
                <c:ptCount val="3"/>
                <c:pt idx="0">
                  <c:v>-14.119322012345938</c:v>
                </c:pt>
                <c:pt idx="1">
                  <c:v>-15.060305356810465</c:v>
                </c:pt>
                <c:pt idx="2">
                  <c:v>-16.069305486788888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6-460A-B864-73E04A968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14144"/>
        <c:axId val="286219392"/>
      </c:scatterChart>
      <c:valAx>
        <c:axId val="286214144"/>
        <c:scaling>
          <c:orientation val="minMax"/>
          <c:max val="10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10000/T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19392"/>
        <c:crosses val="autoZero"/>
        <c:crossBetween val="midCat"/>
      </c:valAx>
      <c:valAx>
        <c:axId val="286219392"/>
        <c:scaling>
          <c:orientation val="minMax"/>
          <c:max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Ln(flux)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1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46332543264926"/>
          <c:y val="0.82523827378720505"/>
          <c:w val="0.2040427552314168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Temp</a:t>
            </a:r>
            <a:r>
              <a:rPr lang="en-US" baseline="0"/>
              <a:t> </a:t>
            </a:r>
            <a:r>
              <a:rPr lang="en-US"/>
              <a:t>vs. Growth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38200868770576"/>
          <c:y val="0.15526946682168022"/>
          <c:w val="0.76541692224878888"/>
          <c:h val="0.6588454478060383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9598795677379295"/>
                  <c:y val="0.2629236846069486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 - AlSb'!$B$3:$B$56</c:f>
              <c:numCache>
                <c:formatCode>General</c:formatCode>
                <c:ptCount val="54"/>
                <c:pt idx="0">
                  <c:v>1125</c:v>
                </c:pt>
                <c:pt idx="1">
                  <c:v>1075</c:v>
                </c:pt>
                <c:pt idx="2">
                  <c:v>1025</c:v>
                </c:pt>
                <c:pt idx="3">
                  <c:v>1010</c:v>
                </c:pt>
                <c:pt idx="4">
                  <c:v>1015</c:v>
                </c:pt>
                <c:pt idx="5">
                  <c:v>1040</c:v>
                </c:pt>
                <c:pt idx="6">
                  <c:v>1040</c:v>
                </c:pt>
                <c:pt idx="7">
                  <c:v>1040</c:v>
                </c:pt>
                <c:pt idx="8">
                  <c:v>1040</c:v>
                </c:pt>
                <c:pt idx="9">
                  <c:v>1040</c:v>
                </c:pt>
                <c:pt idx="10">
                  <c:v>1040</c:v>
                </c:pt>
                <c:pt idx="11">
                  <c:v>1040</c:v>
                </c:pt>
                <c:pt idx="12">
                  <c:v>1040</c:v>
                </c:pt>
                <c:pt idx="13">
                  <c:v>1040</c:v>
                </c:pt>
                <c:pt idx="14">
                  <c:v>1120</c:v>
                </c:pt>
                <c:pt idx="15">
                  <c:v>1120</c:v>
                </c:pt>
                <c:pt idx="16">
                  <c:v>1124</c:v>
                </c:pt>
                <c:pt idx="17">
                  <c:v>1122</c:v>
                </c:pt>
                <c:pt idx="18">
                  <c:v>1122</c:v>
                </c:pt>
                <c:pt idx="19">
                  <c:v>1123</c:v>
                </c:pt>
                <c:pt idx="20">
                  <c:v>1124</c:v>
                </c:pt>
                <c:pt idx="21">
                  <c:v>1040</c:v>
                </c:pt>
                <c:pt idx="22">
                  <c:v>1124</c:v>
                </c:pt>
                <c:pt idx="23">
                  <c:v>1080</c:v>
                </c:pt>
                <c:pt idx="24">
                  <c:v>1040</c:v>
                </c:pt>
                <c:pt idx="25">
                  <c:v>1045</c:v>
                </c:pt>
                <c:pt idx="26">
                  <c:v>1124</c:v>
                </c:pt>
                <c:pt idx="27">
                  <c:v>1122</c:v>
                </c:pt>
                <c:pt idx="28">
                  <c:v>1080</c:v>
                </c:pt>
                <c:pt idx="29">
                  <c:v>1124</c:v>
                </c:pt>
                <c:pt idx="30">
                  <c:v>1127</c:v>
                </c:pt>
                <c:pt idx="31">
                  <c:v>1127</c:v>
                </c:pt>
                <c:pt idx="32">
                  <c:v>1125</c:v>
                </c:pt>
                <c:pt idx="33">
                  <c:v>1127</c:v>
                </c:pt>
                <c:pt idx="34">
                  <c:v>1127</c:v>
                </c:pt>
                <c:pt idx="35">
                  <c:v>1133</c:v>
                </c:pt>
                <c:pt idx="36">
                  <c:v>1135</c:v>
                </c:pt>
                <c:pt idx="37">
                  <c:v>1138</c:v>
                </c:pt>
                <c:pt idx="38">
                  <c:v>1127</c:v>
                </c:pt>
                <c:pt idx="39">
                  <c:v>1127</c:v>
                </c:pt>
                <c:pt idx="40">
                  <c:v>1127</c:v>
                </c:pt>
                <c:pt idx="42">
                  <c:v>1125</c:v>
                </c:pt>
                <c:pt idx="43">
                  <c:v>1100</c:v>
                </c:pt>
                <c:pt idx="44">
                  <c:v>1075</c:v>
                </c:pt>
                <c:pt idx="45">
                  <c:v>1125</c:v>
                </c:pt>
                <c:pt idx="46">
                  <c:v>1100</c:v>
                </c:pt>
                <c:pt idx="47">
                  <c:v>1075</c:v>
                </c:pt>
                <c:pt idx="48">
                  <c:v>1125</c:v>
                </c:pt>
                <c:pt idx="49">
                  <c:v>1100</c:v>
                </c:pt>
                <c:pt idx="50">
                  <c:v>1075</c:v>
                </c:pt>
                <c:pt idx="51">
                  <c:v>1125</c:v>
                </c:pt>
                <c:pt idx="52">
                  <c:v>1100</c:v>
                </c:pt>
                <c:pt idx="53">
                  <c:v>1075</c:v>
                </c:pt>
              </c:numCache>
            </c:numRef>
          </c:xVal>
          <c:yVal>
            <c:numRef>
              <c:f>'Al - AlSb'!$H$3:$H$53</c:f>
              <c:numCache>
                <c:formatCode>General</c:formatCode>
                <c:ptCount val="51"/>
                <c:pt idx="0">
                  <c:v>1.1000000000000001</c:v>
                </c:pt>
                <c:pt idx="1">
                  <c:v>0.40100000000000002</c:v>
                </c:pt>
                <c:pt idx="2">
                  <c:v>0.14199999999999999</c:v>
                </c:pt>
                <c:pt idx="4">
                  <c:v>0.115</c:v>
                </c:pt>
                <c:pt idx="5">
                  <c:v>0.185</c:v>
                </c:pt>
                <c:pt idx="8">
                  <c:v>0.183</c:v>
                </c:pt>
                <c:pt idx="9">
                  <c:v>0.17799999999999999</c:v>
                </c:pt>
                <c:pt idx="14">
                  <c:v>0.95</c:v>
                </c:pt>
                <c:pt idx="17">
                  <c:v>0.99</c:v>
                </c:pt>
                <c:pt idx="28">
                  <c:v>0.40400000000000003</c:v>
                </c:pt>
                <c:pt idx="30" formatCode="0.00E+00">
                  <c:v>0.86399999999999999</c:v>
                </c:pt>
                <c:pt idx="33">
                  <c:v>0.90500000000000003</c:v>
                </c:pt>
                <c:pt idx="34">
                  <c:v>1.05</c:v>
                </c:pt>
                <c:pt idx="37">
                  <c:v>1.3</c:v>
                </c:pt>
                <c:pt idx="39">
                  <c:v>1.02</c:v>
                </c:pt>
                <c:pt idx="40">
                  <c:v>1.05</c:v>
                </c:pt>
                <c:pt idx="48">
                  <c:v>1.1200000000000001</c:v>
                </c:pt>
                <c:pt idx="49">
                  <c:v>0.65</c:v>
                </c:pt>
                <c:pt idx="50">
                  <c:v>0.41899999999999998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2-45FD-AA86-5844D9F36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95120"/>
        <c:axId val="286195448"/>
      </c:scatterChart>
      <c:valAx>
        <c:axId val="28619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95448"/>
        <c:crosses val="autoZero"/>
        <c:crossBetween val="midCat"/>
      </c:valAx>
      <c:valAx>
        <c:axId val="2861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(Ml/s)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7110345581802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9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336967815430074"/>
          <c:y val="0.59699582656632322"/>
          <c:w val="0.24704897579376506"/>
          <c:h val="0.14128824974544396"/>
        </c:manualLayout>
      </c:layout>
      <c:overlay val="0"/>
      <c:spPr>
        <a:solidFill>
          <a:sysClr val="window" lastClr="FFFFFF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 vs. Growth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38200868770576"/>
          <c:y val="0.15526946682168022"/>
          <c:w val="0.76541692224878888"/>
          <c:h val="0.6588454478060383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598795677379295"/>
                  <c:y val="0.2629236846069486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 - AlSb'!$F$7:$F$56</c:f>
              <c:numCache>
                <c:formatCode>0.00E+00</c:formatCode>
                <c:ptCount val="50"/>
                <c:pt idx="0">
                  <c:v>8.3000000000000002E-8</c:v>
                </c:pt>
                <c:pt idx="1">
                  <c:v>1.43E-7</c:v>
                </c:pt>
                <c:pt idx="2">
                  <c:v>1.3799999999999999E-7</c:v>
                </c:pt>
                <c:pt idx="3">
                  <c:v>1.35E-7</c:v>
                </c:pt>
                <c:pt idx="4">
                  <c:v>1.3300000000000001E-7</c:v>
                </c:pt>
                <c:pt idx="5">
                  <c:v>1.31E-7</c:v>
                </c:pt>
                <c:pt idx="6">
                  <c:v>1.36E-7</c:v>
                </c:pt>
                <c:pt idx="7">
                  <c:v>1.29E-7</c:v>
                </c:pt>
                <c:pt idx="8">
                  <c:v>1.3199999999999999E-7</c:v>
                </c:pt>
                <c:pt idx="9">
                  <c:v>1.29E-7</c:v>
                </c:pt>
                <c:pt idx="10">
                  <c:v>6.3399999999999999E-7</c:v>
                </c:pt>
                <c:pt idx="11">
                  <c:v>5.8999999999999996E-7</c:v>
                </c:pt>
                <c:pt idx="12">
                  <c:v>6.6199999999999997E-7</c:v>
                </c:pt>
                <c:pt idx="13">
                  <c:v>6.3499999999999996E-7</c:v>
                </c:pt>
                <c:pt idx="14">
                  <c:v>6.0200000000000002E-7</c:v>
                </c:pt>
                <c:pt idx="15">
                  <c:v>6.0999999999999998E-7</c:v>
                </c:pt>
                <c:pt idx="16">
                  <c:v>6.2500000000000005E-7</c:v>
                </c:pt>
                <c:pt idx="17">
                  <c:v>1.29E-7</c:v>
                </c:pt>
                <c:pt idx="18">
                  <c:v>6.2500000000000005E-7</c:v>
                </c:pt>
                <c:pt idx="19">
                  <c:v>2.8099999999999999E-7</c:v>
                </c:pt>
                <c:pt idx="20">
                  <c:v>1.18E-7</c:v>
                </c:pt>
                <c:pt idx="21">
                  <c:v>1.3E-7</c:v>
                </c:pt>
                <c:pt idx="22">
                  <c:v>6.5499999999999998E-7</c:v>
                </c:pt>
                <c:pt idx="23">
                  <c:v>6.1700000000000002E-6</c:v>
                </c:pt>
                <c:pt idx="24">
                  <c:v>2.67E-7</c:v>
                </c:pt>
                <c:pt idx="25">
                  <c:v>5.4499999999999997E-7</c:v>
                </c:pt>
                <c:pt idx="26">
                  <c:v>5.6499999999999999E-7</c:v>
                </c:pt>
                <c:pt idx="27">
                  <c:v>5.7199999999999999E-7</c:v>
                </c:pt>
                <c:pt idx="28">
                  <c:v>6.3499999999999996E-7</c:v>
                </c:pt>
                <c:pt idx="29">
                  <c:v>6.0500000000000003E-7</c:v>
                </c:pt>
                <c:pt idx="30">
                  <c:v>4.5600000000000001E-7</c:v>
                </c:pt>
                <c:pt idx="31">
                  <c:v>5.5199999999999997E-7</c:v>
                </c:pt>
                <c:pt idx="32">
                  <c:v>5.7400000000000003E-7</c:v>
                </c:pt>
                <c:pt idx="33">
                  <c:v>6.0500000000000003E-7</c:v>
                </c:pt>
                <c:pt idx="34">
                  <c:v>4.6100000000000001E-7</c:v>
                </c:pt>
                <c:pt idx="35">
                  <c:v>4.6199999999999998E-7</c:v>
                </c:pt>
                <c:pt idx="36">
                  <c:v>4.3599999999999999E-7</c:v>
                </c:pt>
                <c:pt idx="38">
                  <c:v>6.99E-7</c:v>
                </c:pt>
                <c:pt idx="39">
                  <c:v>4.4999999999999998E-7</c:v>
                </c:pt>
                <c:pt idx="40">
                  <c:v>2.8599999999999999E-7</c:v>
                </c:pt>
                <c:pt idx="41">
                  <c:v>6.7299999999999995E-7</c:v>
                </c:pt>
                <c:pt idx="42">
                  <c:v>4.3700000000000001E-7</c:v>
                </c:pt>
                <c:pt idx="43">
                  <c:v>2.72E-7</c:v>
                </c:pt>
                <c:pt idx="44">
                  <c:v>6.8700000000000005E-7</c:v>
                </c:pt>
                <c:pt idx="45">
                  <c:v>4.3500000000000002E-7</c:v>
                </c:pt>
                <c:pt idx="46">
                  <c:v>2.7399999999999999E-7</c:v>
                </c:pt>
                <c:pt idx="47">
                  <c:v>6.9299999999999997E-7</c:v>
                </c:pt>
                <c:pt idx="48">
                  <c:v>4.4499999999999997E-7</c:v>
                </c:pt>
                <c:pt idx="49">
                  <c:v>2.7799999999999997E-7</c:v>
                </c:pt>
              </c:numCache>
            </c:numRef>
          </c:xVal>
          <c:yVal>
            <c:numRef>
              <c:f>'Al - AlSb'!$H$7:$H$53</c:f>
              <c:numCache>
                <c:formatCode>General</c:formatCode>
                <c:ptCount val="47"/>
                <c:pt idx="0">
                  <c:v>0.115</c:v>
                </c:pt>
                <c:pt idx="1">
                  <c:v>0.185</c:v>
                </c:pt>
                <c:pt idx="4">
                  <c:v>0.183</c:v>
                </c:pt>
                <c:pt idx="5">
                  <c:v>0.17799999999999999</c:v>
                </c:pt>
                <c:pt idx="10">
                  <c:v>0.95</c:v>
                </c:pt>
                <c:pt idx="13">
                  <c:v>0.99</c:v>
                </c:pt>
                <c:pt idx="24">
                  <c:v>0.40400000000000003</c:v>
                </c:pt>
                <c:pt idx="26" formatCode="0.00E+00">
                  <c:v>0.86399999999999999</c:v>
                </c:pt>
                <c:pt idx="29">
                  <c:v>0.90500000000000003</c:v>
                </c:pt>
                <c:pt idx="30">
                  <c:v>1.05</c:v>
                </c:pt>
                <c:pt idx="33">
                  <c:v>1.3</c:v>
                </c:pt>
                <c:pt idx="35">
                  <c:v>1.02</c:v>
                </c:pt>
                <c:pt idx="36">
                  <c:v>1.05</c:v>
                </c:pt>
                <c:pt idx="44">
                  <c:v>1.1200000000000001</c:v>
                </c:pt>
                <c:pt idx="45">
                  <c:v>0.65</c:v>
                </c:pt>
                <c:pt idx="46">
                  <c:v>0.41899999999999998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7-411C-88B2-08D11A80B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95120"/>
        <c:axId val="286195448"/>
      </c:scatterChart>
      <c:valAx>
        <c:axId val="286195120"/>
        <c:scaling>
          <c:orientation val="minMax"/>
          <c:max val="1.0000000000000004E-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95448"/>
        <c:crosses val="autoZero"/>
        <c:crossBetween val="midCat"/>
      </c:valAx>
      <c:valAx>
        <c:axId val="28619544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(Ml/s)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7110345581802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9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336967815430074"/>
          <c:y val="0.59699582656632322"/>
          <c:w val="0.24704897579376506"/>
          <c:h val="0.14128824974544396"/>
        </c:manualLayout>
      </c:layout>
      <c:overlay val="0"/>
      <c:spPr>
        <a:solidFill>
          <a:sysClr val="window" lastClr="FFFFFF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 - AlSb'!$F$45:$F$56</c:f>
              <c:numCache>
                <c:formatCode>0.00E+00</c:formatCode>
                <c:ptCount val="12"/>
                <c:pt idx="0">
                  <c:v>6.99E-7</c:v>
                </c:pt>
                <c:pt idx="1">
                  <c:v>4.4999999999999998E-7</c:v>
                </c:pt>
                <c:pt idx="2">
                  <c:v>2.8599999999999999E-7</c:v>
                </c:pt>
                <c:pt idx="3">
                  <c:v>6.7299999999999995E-7</c:v>
                </c:pt>
                <c:pt idx="4">
                  <c:v>4.3700000000000001E-7</c:v>
                </c:pt>
                <c:pt idx="5">
                  <c:v>2.72E-7</c:v>
                </c:pt>
                <c:pt idx="6">
                  <c:v>6.8700000000000005E-7</c:v>
                </c:pt>
                <c:pt idx="7">
                  <c:v>4.3500000000000002E-7</c:v>
                </c:pt>
                <c:pt idx="8">
                  <c:v>2.7399999999999999E-7</c:v>
                </c:pt>
                <c:pt idx="9">
                  <c:v>6.9299999999999997E-7</c:v>
                </c:pt>
                <c:pt idx="10">
                  <c:v>4.4499999999999997E-7</c:v>
                </c:pt>
                <c:pt idx="11">
                  <c:v>2.7799999999999997E-7</c:v>
                </c:pt>
              </c:numCache>
            </c:numRef>
          </c:xVal>
          <c:yVal>
            <c:numRef>
              <c:f>'Al - AlSb'!$H$45:$H$56</c:f>
              <c:numCache>
                <c:formatCode>General</c:formatCode>
                <c:ptCount val="12"/>
                <c:pt idx="6">
                  <c:v>1.1200000000000001</c:v>
                </c:pt>
                <c:pt idx="7">
                  <c:v>0.65</c:v>
                </c:pt>
                <c:pt idx="8">
                  <c:v>0.41899999999999998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4-40F9-BD98-DAA574457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46688"/>
        <c:axId val="354738488"/>
      </c:scatterChart>
      <c:valAx>
        <c:axId val="35474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38488"/>
        <c:crosses val="autoZero"/>
        <c:crossBetween val="midCat"/>
      </c:valAx>
      <c:valAx>
        <c:axId val="35473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4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4993219597550306E-2"/>
                  <c:y val="0.339742271799358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 - AlSb'!$B$45:$B$59</c:f>
              <c:numCache>
                <c:formatCode>General</c:formatCode>
                <c:ptCount val="15"/>
                <c:pt idx="0">
                  <c:v>1125</c:v>
                </c:pt>
                <c:pt idx="1">
                  <c:v>1100</c:v>
                </c:pt>
                <c:pt idx="2">
                  <c:v>1075</c:v>
                </c:pt>
                <c:pt idx="3">
                  <c:v>1125</c:v>
                </c:pt>
                <c:pt idx="4">
                  <c:v>1100</c:v>
                </c:pt>
                <c:pt idx="5">
                  <c:v>1075</c:v>
                </c:pt>
                <c:pt idx="6">
                  <c:v>1125</c:v>
                </c:pt>
                <c:pt idx="7">
                  <c:v>1100</c:v>
                </c:pt>
                <c:pt idx="8">
                  <c:v>1075</c:v>
                </c:pt>
                <c:pt idx="9">
                  <c:v>1125</c:v>
                </c:pt>
                <c:pt idx="10">
                  <c:v>1100</c:v>
                </c:pt>
                <c:pt idx="11">
                  <c:v>1075</c:v>
                </c:pt>
                <c:pt idx="12">
                  <c:v>1100</c:v>
                </c:pt>
                <c:pt idx="13">
                  <c:v>1082</c:v>
                </c:pt>
                <c:pt idx="14">
                  <c:v>1020</c:v>
                </c:pt>
              </c:numCache>
            </c:numRef>
          </c:xVal>
          <c:yVal>
            <c:numRef>
              <c:f>'Al - AlSb'!$F$45:$F$59</c:f>
              <c:numCache>
                <c:formatCode>0.00E+00</c:formatCode>
                <c:ptCount val="15"/>
                <c:pt idx="0">
                  <c:v>6.99E-7</c:v>
                </c:pt>
                <c:pt idx="1">
                  <c:v>4.4999999999999998E-7</c:v>
                </c:pt>
                <c:pt idx="2">
                  <c:v>2.8599999999999999E-7</c:v>
                </c:pt>
                <c:pt idx="3">
                  <c:v>6.7299999999999995E-7</c:v>
                </c:pt>
                <c:pt idx="4">
                  <c:v>4.3700000000000001E-7</c:v>
                </c:pt>
                <c:pt idx="5">
                  <c:v>2.72E-7</c:v>
                </c:pt>
                <c:pt idx="6">
                  <c:v>6.8700000000000005E-7</c:v>
                </c:pt>
                <c:pt idx="7">
                  <c:v>4.3500000000000002E-7</c:v>
                </c:pt>
                <c:pt idx="8">
                  <c:v>2.7399999999999999E-7</c:v>
                </c:pt>
                <c:pt idx="9">
                  <c:v>6.9299999999999997E-7</c:v>
                </c:pt>
                <c:pt idx="10">
                  <c:v>4.4499999999999997E-7</c:v>
                </c:pt>
                <c:pt idx="11">
                  <c:v>2.7799999999999997E-7</c:v>
                </c:pt>
                <c:pt idx="12">
                  <c:v>4.2500000000000001E-7</c:v>
                </c:pt>
                <c:pt idx="13">
                  <c:v>3.1E-7</c:v>
                </c:pt>
                <c:pt idx="14">
                  <c:v>9.2500000000000001E-8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2-4ECF-8B46-1C2A7390D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66216"/>
        <c:axId val="312964904"/>
      </c:scatterChart>
      <c:valAx>
        <c:axId val="31296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64904"/>
        <c:crosses val="autoZero"/>
        <c:crossBetween val="midCat"/>
      </c:valAx>
      <c:valAx>
        <c:axId val="312964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6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5/10/2017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97345983925917"/>
                  <c:y val="8.9802172786654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'Bismuth Cell'!$D$4:$D$7</c:f>
            </c:numRef>
          </c:xVal>
          <c:yVal>
            <c:numRef>
              <c:f>'Bismuth Cell'!$F$4:$F$7</c:f>
            </c:numRef>
          </c:yVal>
          <c:smooth val="0"/>
          <c:extLst>
            <c:ext xmlns:c16="http://schemas.microsoft.com/office/drawing/2014/chart" uri="{C3380CC4-5D6E-409C-BE32-E72D297353CC}">
              <c16:uniqueId val="{00000000-E242-4AF6-8E6B-D0E28B5D571E}"/>
            </c:ext>
          </c:extLst>
        </c:ser>
        <c:ser>
          <c:idx val="1"/>
          <c:order val="1"/>
          <c:tx>
            <c:v>5/11/2017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846932176956142E-2"/>
                  <c:y val="7.7042699759617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'Bismuth Cell'!$D$8:$D$10</c:f>
            </c:numRef>
          </c:xVal>
          <c:yVal>
            <c:numRef>
              <c:f>'Bismuth Cell'!$F$8:$F$10</c:f>
            </c:numRef>
          </c:yVal>
          <c:smooth val="0"/>
          <c:extLst>
            <c:ext xmlns:c16="http://schemas.microsoft.com/office/drawing/2014/chart" uri="{C3380CC4-5D6E-409C-BE32-E72D297353CC}">
              <c16:uniqueId val="{00000001-E242-4AF6-8E6B-D0E28B5D571E}"/>
            </c:ext>
          </c:extLst>
        </c:ser>
        <c:ser>
          <c:idx val="2"/>
          <c:order val="2"/>
          <c:tx>
            <c:v>5/12/2017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84716584340001E-2"/>
                  <c:y val="-0.38579304859619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'Bismuth Cell'!$D$11:$D$16</c:f>
            </c:numRef>
          </c:xVal>
          <c:yVal>
            <c:numRef>
              <c:f>'Bismuth Cell'!$F$11:$F$16</c:f>
            </c:numRef>
          </c:yVal>
          <c:smooth val="0"/>
          <c:extLst>
            <c:ext xmlns:c16="http://schemas.microsoft.com/office/drawing/2014/chart" uri="{C3380CC4-5D6E-409C-BE32-E72D297353CC}">
              <c16:uniqueId val="{00000000-10C5-4809-89C5-9B08244BAB75}"/>
            </c:ext>
          </c:extLst>
        </c:ser>
        <c:ser>
          <c:idx val="3"/>
          <c:order val="3"/>
          <c:tx>
            <c:v>5/16/2017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959687257402683"/>
                  <c:y val="-0.31737278294758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'Bismuth Cell'!$D$20:$D$21</c:f>
            </c:numRef>
          </c:xVal>
          <c:yVal>
            <c:numRef>
              <c:f>'Bismuth Cell'!$F$20:$F$21</c:f>
            </c:numRef>
          </c:yVal>
          <c:smooth val="0"/>
          <c:extLst>
            <c:ext xmlns:c16="http://schemas.microsoft.com/office/drawing/2014/chart" uri="{C3380CC4-5D6E-409C-BE32-E72D297353CC}">
              <c16:uniqueId val="{00000000-D310-4CC6-AFC1-2D3CB90F592E}"/>
            </c:ext>
          </c:extLst>
        </c:ser>
        <c:ser>
          <c:idx val="4"/>
          <c:order val="4"/>
          <c:tx>
            <c:v>5/22/2017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523610944570601E-3"/>
                  <c:y val="-0.3208090352342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'Bismuth Cell'!$D$27:$D$29</c:f>
            </c:numRef>
          </c:xVal>
          <c:yVal>
            <c:numRef>
              <c:f>'Bismuth Cell'!$F$27:$F$29</c:f>
            </c:numRef>
          </c:yVal>
          <c:smooth val="0"/>
          <c:extLst>
            <c:ext xmlns:c16="http://schemas.microsoft.com/office/drawing/2014/chart" uri="{C3380CC4-5D6E-409C-BE32-E72D297353CC}">
              <c16:uniqueId val="{00000000-9C1A-4474-858F-C86D4CDA2D55}"/>
            </c:ext>
          </c:extLst>
        </c:ser>
        <c:ser>
          <c:idx val="5"/>
          <c:order val="5"/>
          <c:tx>
            <c:v>8/25/2017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'Bismuth Cell'!$D$32:$D$34</c:f>
            </c:numRef>
          </c:xVal>
          <c:yVal>
            <c:numRef>
              <c:f>'Bismuth Cell'!$F$32:$F$34</c:f>
            </c:numRef>
          </c:yVal>
          <c:smooth val="0"/>
          <c:extLst>
            <c:ext xmlns:c16="http://schemas.microsoft.com/office/drawing/2014/chart" uri="{C3380CC4-5D6E-409C-BE32-E72D297353CC}">
              <c16:uniqueId val="{00000000-7C16-47D1-A79D-882781B7C557}"/>
            </c:ext>
          </c:extLst>
        </c:ser>
        <c:ser>
          <c:idx val="6"/>
          <c:order val="6"/>
          <c:tx>
            <c:v>9/4/2017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32497968210825"/>
                  <c:y val="-0.16497001511174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'Bismuth Cell'!$D$35:$D$38</c:f>
            </c:numRef>
          </c:xVal>
          <c:yVal>
            <c:numRef>
              <c:f>'Bismuth Cell'!$F$35:$F$38</c:f>
            </c:numRef>
          </c:yVal>
          <c:smooth val="0"/>
          <c:extLst>
            <c:ext xmlns:c16="http://schemas.microsoft.com/office/drawing/2014/chart" uri="{C3380CC4-5D6E-409C-BE32-E72D297353CC}">
              <c16:uniqueId val="{00000000-3986-44BA-B14B-D154F115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4736"/>
        <c:axId val="334733168"/>
      </c:scatterChart>
      <c:valAx>
        <c:axId val="3347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3168"/>
        <c:crosses val="autoZero"/>
        <c:crossBetween val="midCat"/>
      </c:valAx>
      <c:valAx>
        <c:axId val="3347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Temp vs. Flux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5/10/2017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'Bismuth Cell'!$B$4:$B$7</c:f>
            </c:numRef>
          </c:xVal>
          <c:yVal>
            <c:numRef>
              <c:f>'Bismuth Cell'!$E$4:$E$7</c:f>
            </c:numRef>
          </c:yVal>
          <c:smooth val="0"/>
          <c:extLst>
            <c:ext xmlns:c16="http://schemas.microsoft.com/office/drawing/2014/chart" uri="{C3380CC4-5D6E-409C-BE32-E72D297353CC}">
              <c16:uniqueId val="{0000000A-8A14-41E8-B0BE-7482D0AFCB35}"/>
            </c:ext>
          </c:extLst>
        </c:ser>
        <c:ser>
          <c:idx val="1"/>
          <c:order val="1"/>
          <c:tx>
            <c:v>5/11/2017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'Bismuth Cell'!$B$8:$B$10</c:f>
            </c:numRef>
          </c:xVal>
          <c:yVal>
            <c:numRef>
              <c:f>'Bismuth Cell'!$E$8:$E$10</c:f>
            </c:numRef>
          </c:yVal>
          <c:smooth val="0"/>
          <c:extLst>
            <c:ext xmlns:c16="http://schemas.microsoft.com/office/drawing/2014/chart" uri="{C3380CC4-5D6E-409C-BE32-E72D297353CC}">
              <c16:uniqueId val="{0000000B-8A14-41E8-B0BE-7482D0AFCB3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'Bismuth Cell'!$B$11:$B$16</c:f>
            </c:numRef>
          </c:xVal>
          <c:yVal>
            <c:numRef>
              <c:f>'Bismuth Cell'!$E$11:$E$16</c:f>
            </c:numRef>
          </c:yVal>
          <c:smooth val="0"/>
          <c:extLst>
            <c:ext xmlns:c16="http://schemas.microsoft.com/office/drawing/2014/chart" uri="{C3380CC4-5D6E-409C-BE32-E72D297353CC}">
              <c16:uniqueId val="{0000000C-8A14-41E8-B0BE-7482D0AFC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6304"/>
        <c:axId val="334737088"/>
      </c:scatterChart>
      <c:valAx>
        <c:axId val="33473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7088"/>
        <c:crosses val="autoZero"/>
        <c:crossBetween val="midCat"/>
      </c:valAx>
      <c:valAx>
        <c:axId val="3347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BFM 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11/28/2017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702138209922455E-2"/>
                  <c:y val="-3.29324743497971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'Bismuth Cell'!$D$59:$D$60</c:f>
            </c:numRef>
          </c:xVal>
          <c:yVal>
            <c:numRef>
              <c:f>'Bismuth Cell'!$F$59:$F$60</c:f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3AF-46EC-A585-1D72C87495F4}"/>
            </c:ext>
          </c:extLst>
        </c:ser>
        <c:ser>
          <c:idx val="5"/>
          <c:order val="1"/>
          <c:tx>
            <c:v>8/25/2017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'Bismuth Cell'!$D$32:$D$34</c:f>
            </c:numRef>
          </c:xVal>
          <c:yVal>
            <c:numRef>
              <c:f>'Bismuth Cell'!$F$32:$F$34</c:f>
            </c:numRef>
          </c:yVal>
          <c:smooth val="0"/>
          <c:extLst>
            <c:ext xmlns:c16="http://schemas.microsoft.com/office/drawing/2014/chart" uri="{C3380CC4-5D6E-409C-BE32-E72D297353CC}">
              <c16:uniqueId val="{00000005-53AF-46EC-A585-1D72C87495F4}"/>
            </c:ext>
          </c:extLst>
        </c:ser>
        <c:ser>
          <c:idx val="7"/>
          <c:order val="2"/>
          <c:tx>
            <c:v>Best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99228875460335"/>
                  <c:y val="-0.68345279567326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('Bismuth Cell'!$D$35:$D$58,'Bismuth Cell'!$D$61,'Bismuth Cell'!$D$62,'Bismuth Cell'!$D$63,'Bismuth Cell'!$D$64,'Bismuth Cell'!$D$65)</c:f>
            </c:numRef>
          </c:xVal>
          <c:yVal>
            <c:numRef>
              <c:f>('Bismuth Cell'!$F$35:$F$58,'Bismuth Cell'!$F$61,'Bismuth Cell'!$F$62,'Bismuth Cell'!$F$63,'Bismuth Cell'!$F$64,'Bismuth Cell'!$F$65)</c:f>
            </c:numRef>
          </c:yVal>
          <c:smooth val="0"/>
          <c:extLst>
            <c:ext xmlns:c16="http://schemas.microsoft.com/office/drawing/2014/chart" uri="{C3380CC4-5D6E-409C-BE32-E72D297353CC}">
              <c16:uniqueId val="{00000007-53AF-46EC-A585-1D72C87495F4}"/>
            </c:ext>
          </c:extLst>
        </c:ser>
        <c:ser>
          <c:idx val="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815125199382231E-2"/>
                  <c:y val="6.19594368885707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'Bismuth Cell'!$D$71:$D$80</c:f>
            </c:numRef>
          </c:xVal>
          <c:yVal>
            <c:numRef>
              <c:f>'Bismuth Cell'!$F$71:$F$80</c:f>
            </c:numRef>
          </c:yVal>
          <c:smooth val="0"/>
          <c:extLst>
            <c:ext xmlns:c16="http://schemas.microsoft.com/office/drawing/2014/chart" uri="{C3380CC4-5D6E-409C-BE32-E72D297353CC}">
              <c16:uniqueId val="{00000000-A782-45F0-BE46-263CD9906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4736"/>
        <c:axId val="33473316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4"/>
                <c:tx>
                  <c:v>11/28/2017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6786831878573319"/>
                        <c:y val="-6.385015509424958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'Bismuth Cell'!$D$69:$D$74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'Bismuth Cell'!$F$69:$F$74</c15:sqref>
                        </c15:formulaRef>
                      </c:ext>
                    </c:extLst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FCB-4EB7-8DB7-8B0D0576A321}"/>
                  </c:ext>
                </c:extLst>
              </c15:ser>
            </c15:filteredScatterSeries>
          </c:ext>
        </c:extLst>
      </c:scatterChart>
      <c:valAx>
        <c:axId val="3347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3168"/>
        <c:crosses val="autoZero"/>
        <c:crossBetween val="midCat"/>
      </c:valAx>
      <c:valAx>
        <c:axId val="3347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</a:t>
            </a:r>
            <a:r>
              <a:rPr lang="en-US" baseline="0"/>
              <a:t>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4"/>
          <c:tx>
            <c:v>Dec-17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02877327249979"/>
                  <c:y val="-0.12573514674302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'Bismuth Cell'!$D$74:$D$84</c:f>
            </c:numRef>
          </c:xVal>
          <c:yVal>
            <c:numRef>
              <c:f>'Bismuth Cell'!$F$74:$F$86</c:f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8EC-41C1-BFDE-E40648779921}"/>
            </c:ext>
          </c:extLst>
        </c:ser>
        <c:ser>
          <c:idx val="3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563347805823339"/>
                  <c:y val="-3.93226755746440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'Bismuth Cell'!$D$92:$D$108</c:f>
            </c:numRef>
          </c:xVal>
          <c:yVal>
            <c:numRef>
              <c:f>'Bismuth Cell'!$F$92:$F$108</c:f>
            </c:numRef>
          </c:yVal>
          <c:smooth val="0"/>
          <c:extLst>
            <c:ext xmlns:c16="http://schemas.microsoft.com/office/drawing/2014/chart" uri="{C3380CC4-5D6E-409C-BE32-E72D297353CC}">
              <c16:uniqueId val="{00000000-9EA7-4A13-9ED9-392689957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4736"/>
        <c:axId val="334733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11/28/2017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1.9702138209922455E-2"/>
                        <c:y val="-3.2932474349797188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'Bismuth Cell'!$D$59:$D$60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'Bismuth Cell'!$F$59:$F$60</c15:sqref>
                        </c15:formulaRef>
                      </c:ext>
                    </c:extLst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8EC-41C1-BFDE-E40648779921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v>8/25/2017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'Bismuth Cell'!$D$32:$D$34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'Bismuth Cell'!$F$32:$F$34</c15:sqref>
                        </c15:formulaRef>
                      </c:ext>
                    </c:extLst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8EC-41C1-BFDE-E40648779921}"/>
                  </c:ext>
                </c:extLst>
              </c15:ser>
            </c15:filteredScatterSeries>
            <c15:filteredScatterSeries>
              <c15:ser>
                <c:idx val="7"/>
                <c:order val="2"/>
                <c:tx>
                  <c:v>Best Fit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2699228875460335"/>
                        <c:y val="-0.68345279567326811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('Bismuth Cell'!$D$35:$D$58,'Bismuth Cell'!$D$61,'Bismuth Cell'!$D$62,'Bismuth Cell'!$D$63,'Bismuth Cell'!$D$64,'Bismuth Cell'!$D$65)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('Bismuth Cell'!$F$35:$F$58,'Bismuth Cell'!$F$61,'Bismuth Cell'!$F$62,'Bismuth Cell'!$F$63,'Bismuth Cell'!$F$64,'Bismuth Cell'!$F$65)</c15:sqref>
                        </c15:formulaRef>
                      </c:ext>
                    </c:extLst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8EC-41C1-BFDE-E40648779921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2.5815125199382231E-2"/>
                        <c:y val="6.1959436888570744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'Bismuth Cell'!$D$71:$D$80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'Bismuth Cell'!$F$71:$F$80</c15:sqref>
                        </c15:formulaRef>
                      </c:ext>
                    </c:extLst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EC-41C1-BFDE-E40648779921}"/>
                  </c:ext>
                </c:extLst>
              </c15:ser>
            </c15:filteredScatterSeries>
          </c:ext>
        </c:extLst>
      </c:scatterChart>
      <c:valAx>
        <c:axId val="3347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3168"/>
        <c:crosses val="autoZero"/>
        <c:crossBetween val="midCat"/>
      </c:valAx>
      <c:valAx>
        <c:axId val="3347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vs.  Growth Rate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03573720136851"/>
                  <c:y val="0.12746825520337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 - GaAs'!$F$153:$F$164</c:f>
            </c:numRef>
          </c:xVal>
          <c:yVal>
            <c:numRef>
              <c:f>'Ga - GaAs'!$H$153:$H$164</c:f>
            </c:numRef>
          </c:yVal>
          <c:smooth val="0"/>
          <c:extLst>
            <c:ext xmlns:c16="http://schemas.microsoft.com/office/drawing/2014/chart" uri="{C3380CC4-5D6E-409C-BE32-E72D297353CC}">
              <c16:uniqueId val="{00000000-95A1-4DB3-AF62-F364658961E1}"/>
            </c:ext>
          </c:extLst>
        </c:ser>
        <c:ser>
          <c:idx val="1"/>
          <c:order val="1"/>
          <c:tx>
            <c:v>Late 2018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693358473128906E-2"/>
                  <c:y val="1.50060809369830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 - GaAs'!$F$122:$F$151</c:f>
            </c:numRef>
          </c:xVal>
          <c:yVal>
            <c:numRef>
              <c:f>'Ga - GaAs'!$H$122:$H$151</c:f>
            </c:numRef>
          </c:yVal>
          <c:smooth val="0"/>
          <c:extLst>
            <c:ext xmlns:c16="http://schemas.microsoft.com/office/drawing/2014/chart" uri="{C3380CC4-5D6E-409C-BE32-E72D297353CC}">
              <c16:uniqueId val="{00000001-95A1-4DB3-AF62-F36465896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85552"/>
        <c:axId val="196385880"/>
      </c:scatterChart>
      <c:valAx>
        <c:axId val="1963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 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5880"/>
        <c:crosses val="autoZero"/>
        <c:crossBetween val="midCat"/>
      </c:valAx>
      <c:valAx>
        <c:axId val="1963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 (ML/s)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May-July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26827453654906"/>
          <c:y val="0.17413145539906102"/>
          <c:w val="0.8034137268274536"/>
          <c:h val="0.7742253521126760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266765408742406"/>
                  <c:y val="-0.45999420411522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'Bismuth Cell'!$D$157:$D$269</c:f>
              <c:numCache>
                <c:formatCode>General</c:formatCode>
                <c:ptCount val="77"/>
                <c:pt idx="0">
                  <c:v>12.936610608020699</c:v>
                </c:pt>
                <c:pt idx="1">
                  <c:v>12.300123001230013</c:v>
                </c:pt>
                <c:pt idx="2">
                  <c:v>12.150668286755771</c:v>
                </c:pt>
                <c:pt idx="3">
                  <c:v>12.004801920768307</c:v>
                </c:pt>
                <c:pt idx="4">
                  <c:v>12.738853503184714</c:v>
                </c:pt>
                <c:pt idx="5">
                  <c:v>12.077294685990339</c:v>
                </c:pt>
                <c:pt idx="6">
                  <c:v>12.048192771084338</c:v>
                </c:pt>
                <c:pt idx="7">
                  <c:v>12.594458438287154</c:v>
                </c:pt>
                <c:pt idx="8">
                  <c:v>12.515644555694617</c:v>
                </c:pt>
                <c:pt idx="9">
                  <c:v>12.484394506866417</c:v>
                </c:pt>
                <c:pt idx="10">
                  <c:v>12.077294685990339</c:v>
                </c:pt>
                <c:pt idx="11">
                  <c:v>11.947431302270012</c:v>
                </c:pt>
                <c:pt idx="12">
                  <c:v>12.484394506866417</c:v>
                </c:pt>
                <c:pt idx="13">
                  <c:v>12.422360248447205</c:v>
                </c:pt>
                <c:pt idx="14">
                  <c:v>12.376237623762377</c:v>
                </c:pt>
                <c:pt idx="15">
                  <c:v>12.453300124533001</c:v>
                </c:pt>
                <c:pt idx="16">
                  <c:v>12.376237623762377</c:v>
                </c:pt>
                <c:pt idx="17">
                  <c:v>12.376237623762377</c:v>
                </c:pt>
                <c:pt idx="18">
                  <c:v>12.345679012345679</c:v>
                </c:pt>
                <c:pt idx="19">
                  <c:v>12.376237623762377</c:v>
                </c:pt>
                <c:pt idx="20">
                  <c:v>12.376237623762377</c:v>
                </c:pt>
                <c:pt idx="21">
                  <c:v>12.345679012345679</c:v>
                </c:pt>
                <c:pt idx="22">
                  <c:v>12.004801920768307</c:v>
                </c:pt>
                <c:pt idx="23">
                  <c:v>11.834319526627219</c:v>
                </c:pt>
                <c:pt idx="24">
                  <c:v>12.004801920768307</c:v>
                </c:pt>
                <c:pt idx="25">
                  <c:v>11.862396204033216</c:v>
                </c:pt>
                <c:pt idx="26">
                  <c:v>11.834319526627219</c:v>
                </c:pt>
                <c:pt idx="27">
                  <c:v>11.834319526627219</c:v>
                </c:pt>
                <c:pt idx="28">
                  <c:v>11.834319526627219</c:v>
                </c:pt>
                <c:pt idx="29">
                  <c:v>11.904761904761905</c:v>
                </c:pt>
                <c:pt idx="30">
                  <c:v>11.890606420927467</c:v>
                </c:pt>
                <c:pt idx="31">
                  <c:v>11.904761904761905</c:v>
                </c:pt>
                <c:pt idx="32">
                  <c:v>11.890606420927467</c:v>
                </c:pt>
                <c:pt idx="33">
                  <c:v>11.723329425556859</c:v>
                </c:pt>
                <c:pt idx="34">
                  <c:v>11.862396204033216</c:v>
                </c:pt>
                <c:pt idx="35">
                  <c:v>12.004801920768307</c:v>
                </c:pt>
                <c:pt idx="36">
                  <c:v>12.150668286755771</c:v>
                </c:pt>
                <c:pt idx="37">
                  <c:v>11.976047904191617</c:v>
                </c:pt>
                <c:pt idx="38">
                  <c:v>12.180267965895249</c:v>
                </c:pt>
                <c:pt idx="39">
                  <c:v>12.180267965895249</c:v>
                </c:pt>
                <c:pt idx="40">
                  <c:v>12.437810945273633</c:v>
                </c:pt>
                <c:pt idx="41">
                  <c:v>12.180267965895249</c:v>
                </c:pt>
                <c:pt idx="42">
                  <c:v>12.180267965895249</c:v>
                </c:pt>
                <c:pt idx="43">
                  <c:v>12.180267965895249</c:v>
                </c:pt>
                <c:pt idx="44">
                  <c:v>12.180267965895249</c:v>
                </c:pt>
                <c:pt idx="45">
                  <c:v>12.091898428053204</c:v>
                </c:pt>
                <c:pt idx="46">
                  <c:v>12.360939431396787</c:v>
                </c:pt>
                <c:pt idx="47">
                  <c:v>12.180267965895249</c:v>
                </c:pt>
                <c:pt idx="48">
                  <c:v>12.180267965895249</c:v>
                </c:pt>
                <c:pt idx="49">
                  <c:v>36.630036630036628</c:v>
                </c:pt>
                <c:pt idx="50">
                  <c:v>36.630036630036628</c:v>
                </c:pt>
                <c:pt idx="51">
                  <c:v>36.630036630036628</c:v>
                </c:pt>
                <c:pt idx="52">
                  <c:v>36.630036630036628</c:v>
                </c:pt>
                <c:pt idx="53">
                  <c:v>12.690355329949238</c:v>
                </c:pt>
                <c:pt idx="54">
                  <c:v>11.641443538998836</c:v>
                </c:pt>
                <c:pt idx="55">
                  <c:v>12.180267965895249</c:v>
                </c:pt>
                <c:pt idx="56">
                  <c:v>12.254901960784315</c:v>
                </c:pt>
                <c:pt idx="57">
                  <c:v>12.239902080783354</c:v>
                </c:pt>
                <c:pt idx="58">
                  <c:v>12.254901960784315</c:v>
                </c:pt>
                <c:pt idx="59">
                  <c:v>12.239902080783354</c:v>
                </c:pt>
                <c:pt idx="60">
                  <c:v>12.239902080783354</c:v>
                </c:pt>
                <c:pt idx="61">
                  <c:v>12.224938875305623</c:v>
                </c:pt>
                <c:pt idx="62">
                  <c:v>12.135922330097088</c:v>
                </c:pt>
                <c:pt idx="63">
                  <c:v>12.048192771084338</c:v>
                </c:pt>
                <c:pt idx="64">
                  <c:v>12.106537530266344</c:v>
                </c:pt>
                <c:pt idx="65">
                  <c:v>12.062726176115802</c:v>
                </c:pt>
                <c:pt idx="66">
                  <c:v>12.048192771084338</c:v>
                </c:pt>
                <c:pt idx="67">
                  <c:v>11.990407673860911</c:v>
                </c:pt>
                <c:pt idx="68">
                  <c:v>11.933174224343675</c:v>
                </c:pt>
                <c:pt idx="69">
                  <c:v>11.890606420927467</c:v>
                </c:pt>
                <c:pt idx="70">
                  <c:v>12.300123001230013</c:v>
                </c:pt>
                <c:pt idx="71">
                  <c:v>13.642564802182811</c:v>
                </c:pt>
                <c:pt idx="72">
                  <c:v>13.368983957219251</c:v>
                </c:pt>
                <c:pt idx="73">
                  <c:v>12.987012987012987</c:v>
                </c:pt>
                <c:pt idx="74">
                  <c:v>12.706480304955527</c:v>
                </c:pt>
                <c:pt idx="75">
                  <c:v>12.345679012345679</c:v>
                </c:pt>
              </c:numCache>
            </c:numRef>
          </c:xVal>
          <c:yVal>
            <c:numRef>
              <c:f>'Bismuth Cell'!$F$157:$F$269</c:f>
              <c:numCache>
                <c:formatCode>0.000E+00</c:formatCode>
                <c:ptCount val="77"/>
                <c:pt idx="0">
                  <c:v>-17.944446564955992</c:v>
                </c:pt>
                <c:pt idx="1">
                  <c:v>-16.599362472482767</c:v>
                </c:pt>
                <c:pt idx="2">
                  <c:v>-16.255061506031478</c:v>
                </c:pt>
                <c:pt idx="3">
                  <c:v>-15.796012151789206</c:v>
                </c:pt>
                <c:pt idx="4">
                  <c:v>-17.583433219418662</c:v>
                </c:pt>
                <c:pt idx="5">
                  <c:v>-16.013735635634077</c:v>
                </c:pt>
                <c:pt idx="6">
                  <c:v>-15.927475291349669</c:v>
                </c:pt>
                <c:pt idx="7">
                  <c:v>-17.53278948659991</c:v>
                </c:pt>
                <c:pt idx="8">
                  <c:v>-17.359424241828023</c:v>
                </c:pt>
                <c:pt idx="9">
                  <c:v>-17.289278632461265</c:v>
                </c:pt>
                <c:pt idx="10">
                  <c:v>-16.362718233949654</c:v>
                </c:pt>
                <c:pt idx="11">
                  <c:v>-16.069305486788888</c:v>
                </c:pt>
                <c:pt idx="12">
                  <c:v>-17.545212006598465</c:v>
                </c:pt>
                <c:pt idx="13">
                  <c:v>-17.39463914811909</c:v>
                </c:pt>
                <c:pt idx="14">
                  <c:v>-17.286058017761224</c:v>
                </c:pt>
                <c:pt idx="15">
                  <c:v>-17.453696897762693</c:v>
                </c:pt>
                <c:pt idx="16">
                  <c:v>-17.276457944032202</c:v>
                </c:pt>
                <c:pt idx="17">
                  <c:v>-17.276457944032202</c:v>
                </c:pt>
                <c:pt idx="18">
                  <c:v>-17.242025747610718</c:v>
                </c:pt>
                <c:pt idx="19">
                  <c:v>-17.315423912565588</c:v>
                </c:pt>
                <c:pt idx="20">
                  <c:v>-17.338875573600639</c:v>
                </c:pt>
                <c:pt idx="21">
                  <c:v>-17.266949156063177</c:v>
                </c:pt>
                <c:pt idx="22">
                  <c:v>-16.511138239067925</c:v>
                </c:pt>
                <c:pt idx="23">
                  <c:v>-16.088536848716775</c:v>
                </c:pt>
                <c:pt idx="24">
                  <c:v>-16.542743578483257</c:v>
                </c:pt>
                <c:pt idx="25">
                  <c:v>-16.21570847982532</c:v>
                </c:pt>
                <c:pt idx="26">
                  <c:v>-16.143413458942611</c:v>
                </c:pt>
                <c:pt idx="27">
                  <c:v>-16.150618842663881</c:v>
                </c:pt>
                <c:pt idx="28">
                  <c:v>-16.161003151969595</c:v>
                </c:pt>
                <c:pt idx="29">
                  <c:v>-16.348767468693321</c:v>
                </c:pt>
                <c:pt idx="30">
                  <c:v>-16.311680400030983</c:v>
                </c:pt>
                <c:pt idx="31">
                  <c:v>-16.4057777234101</c:v>
                </c:pt>
                <c:pt idx="32">
                  <c:v>-16.36655701025682</c:v>
                </c:pt>
                <c:pt idx="33">
                  <c:v>-15.935774094164366</c:v>
                </c:pt>
                <c:pt idx="34">
                  <c:v>-16.223456166616145</c:v>
                </c:pt>
                <c:pt idx="35">
                  <c:v>-16.558152203836105</c:v>
                </c:pt>
                <c:pt idx="36">
                  <c:v>-16.892452886943808</c:v>
                </c:pt>
                <c:pt idx="37">
                  <c:v>-16.446599717930354</c:v>
                </c:pt>
                <c:pt idx="38">
                  <c:v>-16.969066916711832</c:v>
                </c:pt>
                <c:pt idx="39">
                  <c:v>-16.976117474708499</c:v>
                </c:pt>
                <c:pt idx="40">
                  <c:v>-17.596505300986017</c:v>
                </c:pt>
                <c:pt idx="41">
                  <c:v>-16.990369497415699</c:v>
                </c:pt>
                <c:pt idx="42">
                  <c:v>-16.997572409709758</c:v>
                </c:pt>
                <c:pt idx="43">
                  <c:v>-16.997572409709758</c:v>
                </c:pt>
                <c:pt idx="44">
                  <c:v>-17.002403336979423</c:v>
                </c:pt>
                <c:pt idx="45">
                  <c:v>-16.805260759840717</c:v>
                </c:pt>
                <c:pt idx="46">
                  <c:v>-17.412722823552386</c:v>
                </c:pt>
                <c:pt idx="47">
                  <c:v>-16.997572409709758</c:v>
                </c:pt>
                <c:pt idx="48">
                  <c:v>-16.995165669679192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-18.0152156358442</c:v>
                </c:pt>
                <c:pt idx="54">
                  <c:v>-15.673409829696874</c:v>
                </c:pt>
                <c:pt idx="55">
                  <c:v>-16.873118235236351</c:v>
                </c:pt>
                <c:pt idx="56">
                  <c:v>-17.021963862833918</c:v>
                </c:pt>
                <c:pt idx="57">
                  <c:v>-16.995165669679192</c:v>
                </c:pt>
                <c:pt idx="58">
                  <c:v>-17.03939892465602</c:v>
                </c:pt>
                <c:pt idx="59">
                  <c:v>-17.004827580590931</c:v>
                </c:pt>
                <c:pt idx="60">
                  <c:v>-17.024436051979308</c:v>
                </c:pt>
                <c:pt idx="61">
                  <c:v>-16.987980010018319</c:v>
                </c:pt>
                <c:pt idx="62">
                  <c:v>-16.777808055432029</c:v>
                </c:pt>
                <c:pt idx="63">
                  <c:v>-16.580131110554877</c:v>
                </c:pt>
                <c:pt idx="64">
                  <c:v>-17.085679677220025</c:v>
                </c:pt>
                <c:pt idx="65">
                  <c:v>-17.019497770338724</c:v>
                </c:pt>
                <c:pt idx="66">
                  <c:v>-17.009693770242102</c:v>
                </c:pt>
                <c:pt idx="67">
                  <c:v>-16.892452886943808</c:v>
                </c:pt>
                <c:pt idx="68">
                  <c:v>-16.762452667348832</c:v>
                </c:pt>
                <c:pt idx="69">
                  <c:v>-16.662822826399992</c:v>
                </c:pt>
                <c:pt idx="70">
                  <c:v>-17.545212006598465</c:v>
                </c:pt>
                <c:pt idx="71">
                  <c:v>-20.540944280152456</c:v>
                </c:pt>
                <c:pt idx="72">
                  <c:v>-19.953157615250337</c:v>
                </c:pt>
                <c:pt idx="73">
                  <c:v>-19.103877593659142</c:v>
                </c:pt>
                <c:pt idx="74">
                  <c:v>-18.471974038339916</c:v>
                </c:pt>
                <c:pt idx="75">
                  <c:v>-17.67399279646439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78-4326-A5B3-CCE41940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4736"/>
        <c:axId val="334733168"/>
        <c:extLst/>
      </c:scatterChart>
      <c:valAx>
        <c:axId val="3347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3168"/>
        <c:crosses val="autoZero"/>
        <c:crossBetween val="midCat"/>
      </c:valAx>
      <c:valAx>
        <c:axId val="3347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 Flux</a:t>
            </a:r>
            <a:r>
              <a:rPr lang="en-US" baseline="0"/>
              <a:t> vs.  Base Temp 2019</a:t>
            </a:r>
            <a:endParaRPr lang="en-US"/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'Bismuth Cell'!$B$157:$B$187</c:f>
            </c:numRef>
          </c:xVal>
          <c:yVal>
            <c:numRef>
              <c:f>'Bismuth Cell'!$E$157:$E$187</c:f>
            </c:numRef>
          </c:yVal>
          <c:smooth val="0"/>
          <c:extLst>
            <c:ext xmlns:c16="http://schemas.microsoft.com/office/drawing/2014/chart" uri="{C3380CC4-5D6E-409C-BE32-E72D297353CC}">
              <c16:uniqueId val="{00000000-EDA4-4DBD-9DD9-9AD1DC43E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01896"/>
        <c:axId val="340209440"/>
      </c:scatterChart>
      <c:valAx>
        <c:axId val="34020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09440"/>
        <c:crosses val="autoZero"/>
        <c:crossBetween val="midCat"/>
      </c:valAx>
      <c:valAx>
        <c:axId val="340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0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 2019</a:t>
            </a:r>
          </a:p>
        </c:rich>
      </c:tx>
      <c:layout>
        <c:manualLayout>
          <c:xMode val="edge"/>
          <c:yMode val="edge"/>
          <c:x val="0.39205105546151553"/>
          <c:y val="2.8456599204858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26827453654906"/>
          <c:y val="0.17413145539906102"/>
          <c:w val="0.8034137268274536"/>
          <c:h val="0.7742253521126760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266765408742406"/>
                  <c:y val="-0.45999420411522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'Bismuth Cell'!$D$220:$D$269</c:f>
              <c:numCache>
                <c:formatCode>General</c:formatCode>
                <c:ptCount val="50"/>
                <c:pt idx="0">
                  <c:v>11.834319526627219</c:v>
                </c:pt>
                <c:pt idx="1">
                  <c:v>11.834319526627219</c:v>
                </c:pt>
                <c:pt idx="2">
                  <c:v>11.904761904761905</c:v>
                </c:pt>
                <c:pt idx="3">
                  <c:v>11.890606420927467</c:v>
                </c:pt>
                <c:pt idx="4">
                  <c:v>11.904761904761905</c:v>
                </c:pt>
                <c:pt idx="5">
                  <c:v>11.890606420927467</c:v>
                </c:pt>
                <c:pt idx="6">
                  <c:v>11.723329425556859</c:v>
                </c:pt>
                <c:pt idx="7">
                  <c:v>11.862396204033216</c:v>
                </c:pt>
                <c:pt idx="8">
                  <c:v>12.004801920768307</c:v>
                </c:pt>
                <c:pt idx="9">
                  <c:v>12.150668286755771</c:v>
                </c:pt>
                <c:pt idx="10">
                  <c:v>11.976047904191617</c:v>
                </c:pt>
                <c:pt idx="11">
                  <c:v>12.180267965895249</c:v>
                </c:pt>
                <c:pt idx="12">
                  <c:v>12.180267965895249</c:v>
                </c:pt>
                <c:pt idx="13">
                  <c:v>12.437810945273633</c:v>
                </c:pt>
                <c:pt idx="14">
                  <c:v>12.180267965895249</c:v>
                </c:pt>
                <c:pt idx="15">
                  <c:v>12.180267965895249</c:v>
                </c:pt>
                <c:pt idx="16">
                  <c:v>12.180267965895249</c:v>
                </c:pt>
                <c:pt idx="17">
                  <c:v>12.180267965895249</c:v>
                </c:pt>
                <c:pt idx="18">
                  <c:v>12.091898428053204</c:v>
                </c:pt>
                <c:pt idx="19">
                  <c:v>12.360939431396787</c:v>
                </c:pt>
                <c:pt idx="20">
                  <c:v>12.180267965895249</c:v>
                </c:pt>
                <c:pt idx="21">
                  <c:v>12.180267965895249</c:v>
                </c:pt>
                <c:pt idx="22">
                  <c:v>36.630036630036628</c:v>
                </c:pt>
                <c:pt idx="23">
                  <c:v>36.630036630036628</c:v>
                </c:pt>
                <c:pt idx="24">
                  <c:v>36.630036630036628</c:v>
                </c:pt>
                <c:pt idx="25">
                  <c:v>36.630036630036628</c:v>
                </c:pt>
                <c:pt idx="26">
                  <c:v>12.690355329949238</c:v>
                </c:pt>
                <c:pt idx="27">
                  <c:v>11.641443538998836</c:v>
                </c:pt>
                <c:pt idx="28">
                  <c:v>12.180267965895249</c:v>
                </c:pt>
                <c:pt idx="29">
                  <c:v>12.254901960784315</c:v>
                </c:pt>
                <c:pt idx="30">
                  <c:v>12.239902080783354</c:v>
                </c:pt>
                <c:pt idx="31">
                  <c:v>12.254901960784315</c:v>
                </c:pt>
                <c:pt idx="32">
                  <c:v>12.239902080783354</c:v>
                </c:pt>
                <c:pt idx="33">
                  <c:v>12.239902080783354</c:v>
                </c:pt>
                <c:pt idx="34">
                  <c:v>12.224938875305623</c:v>
                </c:pt>
                <c:pt idx="35">
                  <c:v>12.135922330097088</c:v>
                </c:pt>
                <c:pt idx="36">
                  <c:v>12.048192771084338</c:v>
                </c:pt>
                <c:pt idx="37">
                  <c:v>12.106537530266344</c:v>
                </c:pt>
                <c:pt idx="38">
                  <c:v>12.062726176115802</c:v>
                </c:pt>
                <c:pt idx="39">
                  <c:v>12.048192771084338</c:v>
                </c:pt>
                <c:pt idx="40">
                  <c:v>11.990407673860911</c:v>
                </c:pt>
                <c:pt idx="41">
                  <c:v>11.933174224343675</c:v>
                </c:pt>
                <c:pt idx="42">
                  <c:v>11.890606420927467</c:v>
                </c:pt>
                <c:pt idx="43">
                  <c:v>12.300123001230013</c:v>
                </c:pt>
                <c:pt idx="44">
                  <c:v>13.642564802182811</c:v>
                </c:pt>
                <c:pt idx="45">
                  <c:v>13.368983957219251</c:v>
                </c:pt>
                <c:pt idx="46">
                  <c:v>12.987012987012987</c:v>
                </c:pt>
                <c:pt idx="47">
                  <c:v>12.706480304955527</c:v>
                </c:pt>
                <c:pt idx="48">
                  <c:v>12.345679012345679</c:v>
                </c:pt>
              </c:numCache>
            </c:numRef>
          </c:xVal>
          <c:yVal>
            <c:numRef>
              <c:f>'Bismuth Cell'!$F$220:$F$269</c:f>
              <c:numCache>
                <c:formatCode>0.000E+00</c:formatCode>
                <c:ptCount val="50"/>
                <c:pt idx="0">
                  <c:v>-16.150618842663881</c:v>
                </c:pt>
                <c:pt idx="1">
                  <c:v>-16.161003151969595</c:v>
                </c:pt>
                <c:pt idx="2">
                  <c:v>-16.348767468693321</c:v>
                </c:pt>
                <c:pt idx="3">
                  <c:v>-16.311680400030983</c:v>
                </c:pt>
                <c:pt idx="4">
                  <c:v>-16.4057777234101</c:v>
                </c:pt>
                <c:pt idx="5">
                  <c:v>-16.36655701025682</c:v>
                </c:pt>
                <c:pt idx="6">
                  <c:v>-15.935774094164366</c:v>
                </c:pt>
                <c:pt idx="7">
                  <c:v>-16.223456166616145</c:v>
                </c:pt>
                <c:pt idx="8">
                  <c:v>-16.558152203836105</c:v>
                </c:pt>
                <c:pt idx="9">
                  <c:v>-16.892452886943808</c:v>
                </c:pt>
                <c:pt idx="10">
                  <c:v>-16.446599717930354</c:v>
                </c:pt>
                <c:pt idx="11">
                  <c:v>-16.969066916711832</c:v>
                </c:pt>
                <c:pt idx="12">
                  <c:v>-16.976117474708499</c:v>
                </c:pt>
                <c:pt idx="13">
                  <c:v>-17.596505300986017</c:v>
                </c:pt>
                <c:pt idx="14">
                  <c:v>-16.990369497415699</c:v>
                </c:pt>
                <c:pt idx="15">
                  <c:v>-16.997572409709758</c:v>
                </c:pt>
                <c:pt idx="16">
                  <c:v>-16.997572409709758</c:v>
                </c:pt>
                <c:pt idx="17">
                  <c:v>-17.002403336979423</c:v>
                </c:pt>
                <c:pt idx="18">
                  <c:v>-16.805260759840717</c:v>
                </c:pt>
                <c:pt idx="19">
                  <c:v>-17.412722823552386</c:v>
                </c:pt>
                <c:pt idx="20">
                  <c:v>-16.997572409709758</c:v>
                </c:pt>
                <c:pt idx="21">
                  <c:v>-16.995165669679192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-18.0152156358442</c:v>
                </c:pt>
                <c:pt idx="27">
                  <c:v>-15.673409829696874</c:v>
                </c:pt>
                <c:pt idx="28">
                  <c:v>-16.873118235236351</c:v>
                </c:pt>
                <c:pt idx="29">
                  <c:v>-17.021963862833918</c:v>
                </c:pt>
                <c:pt idx="30">
                  <c:v>-16.995165669679192</c:v>
                </c:pt>
                <c:pt idx="31">
                  <c:v>-17.03939892465602</c:v>
                </c:pt>
                <c:pt idx="32">
                  <c:v>-17.004827580590931</c:v>
                </c:pt>
                <c:pt idx="33">
                  <c:v>-17.024436051979308</c:v>
                </c:pt>
                <c:pt idx="34">
                  <c:v>-16.987980010018319</c:v>
                </c:pt>
                <c:pt idx="35">
                  <c:v>-16.777808055432029</c:v>
                </c:pt>
                <c:pt idx="36">
                  <c:v>-16.580131110554877</c:v>
                </c:pt>
                <c:pt idx="37">
                  <c:v>-17.085679677220025</c:v>
                </c:pt>
                <c:pt idx="38">
                  <c:v>-17.019497770338724</c:v>
                </c:pt>
                <c:pt idx="39">
                  <c:v>-17.009693770242102</c:v>
                </c:pt>
                <c:pt idx="40">
                  <c:v>-16.892452886943808</c:v>
                </c:pt>
                <c:pt idx="41">
                  <c:v>-16.762452667348832</c:v>
                </c:pt>
                <c:pt idx="42">
                  <c:v>-16.662822826399992</c:v>
                </c:pt>
                <c:pt idx="43">
                  <c:v>-17.545212006598465</c:v>
                </c:pt>
                <c:pt idx="44">
                  <c:v>-20.540944280152456</c:v>
                </c:pt>
                <c:pt idx="45">
                  <c:v>-19.953157615250337</c:v>
                </c:pt>
                <c:pt idx="46">
                  <c:v>-19.103877593659142</c:v>
                </c:pt>
                <c:pt idx="47">
                  <c:v>-18.471974038339916</c:v>
                </c:pt>
                <c:pt idx="48">
                  <c:v>-17.67399279646439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4-4AF9-A556-5007C2935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4736"/>
        <c:axId val="334733168"/>
        <c:extLst/>
      </c:scatterChart>
      <c:valAx>
        <c:axId val="3347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3168"/>
        <c:crosses val="autoZero"/>
        <c:crossBetween val="midCat"/>
      </c:valAx>
      <c:valAx>
        <c:axId val="3347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 fraction vs Bi/Ga</a:t>
            </a:r>
            <a:r>
              <a:rPr lang="en-US" baseline="0"/>
              <a:t>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8.0000000000000016E-2"/>
            <c:intercept val="0"/>
            <c:dispRSqr val="1"/>
            <c:dispEq val="1"/>
            <c:trendlineLbl>
              <c:layout>
                <c:manualLayout>
                  <c:x val="-0.15313451443569553"/>
                  <c:y val="2.74362058909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('Bismuth Cell'!$G$210,'Bismuth Cell'!$G$221)</c:f>
              <c:numCache>
                <c:formatCode>0.000E+00</c:formatCode>
                <c:ptCount val="2"/>
                <c:pt idx="0">
                  <c:v>0.10199999999999999</c:v>
                </c:pt>
                <c:pt idx="1">
                  <c:v>0.30099999999999999</c:v>
                </c:pt>
              </c:numCache>
            </c:numRef>
          </c:xVal>
          <c:yVal>
            <c:numRef>
              <c:f>('Bismuth Cell'!$H$210,'Bismuth Cell'!$H$221)</c:f>
              <c:numCache>
                <c:formatCode>0.000E+00</c:formatCode>
                <c:ptCount val="2"/>
                <c:pt idx="0">
                  <c:v>0.02</c:v>
                </c:pt>
                <c:pt idx="1">
                  <c:v>6.9000000000000006E-2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F-43BB-9E67-539930EBD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43016"/>
        <c:axId val="278153840"/>
      </c:scatterChart>
      <c:valAx>
        <c:axId val="27814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53840"/>
        <c:crosses val="autoZero"/>
        <c:crossBetween val="midCat"/>
      </c:valAx>
      <c:valAx>
        <c:axId val="2781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4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 Cell Temp vs. Flux (February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0775809273840769E-2"/>
                  <c:y val="-6.7715806357538641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('Bismuth Cell'!$B$215,'Bismuth Cell'!$B$217:$B$223)</c:f>
              <c:numCache>
                <c:formatCode>General</c:formatCode>
                <c:ptCount val="8"/>
                <c:pt idx="0">
                  <c:v>560</c:v>
                </c:pt>
                <c:pt idx="1">
                  <c:v>560</c:v>
                </c:pt>
                <c:pt idx="2">
                  <c:v>570</c:v>
                </c:pt>
                <c:pt idx="3">
                  <c:v>572</c:v>
                </c:pt>
                <c:pt idx="4">
                  <c:v>572</c:v>
                </c:pt>
                <c:pt idx="5">
                  <c:v>572</c:v>
                </c:pt>
                <c:pt idx="6">
                  <c:v>567</c:v>
                </c:pt>
                <c:pt idx="7">
                  <c:v>568</c:v>
                </c:pt>
              </c:numCache>
            </c:numRef>
          </c:xVal>
          <c:yVal>
            <c:numRef>
              <c:f>('Bismuth Cell'!$E$215,'Bismuth Cell'!$E$217:$E$223)</c:f>
              <c:numCache>
                <c:formatCode>0.00E+00</c:formatCode>
                <c:ptCount val="8"/>
                <c:pt idx="0">
                  <c:v>6.7500000000000002E-8</c:v>
                </c:pt>
                <c:pt idx="1">
                  <c:v>6.5400000000000003E-8</c:v>
                </c:pt>
                <c:pt idx="2">
                  <c:v>9.0699999999999998E-8</c:v>
                </c:pt>
                <c:pt idx="3">
                  <c:v>9.7500000000000006E-8</c:v>
                </c:pt>
                <c:pt idx="4">
                  <c:v>9.6800000000000007E-8</c:v>
                </c:pt>
                <c:pt idx="5">
                  <c:v>9.5799999999999998E-8</c:v>
                </c:pt>
                <c:pt idx="6">
                  <c:v>7.9399999999999996E-8</c:v>
                </c:pt>
                <c:pt idx="7">
                  <c:v>8.2399999999999997E-8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C-49D4-B0CB-854DDA33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70208"/>
        <c:axId val="279372504"/>
      </c:scatterChart>
      <c:valAx>
        <c:axId val="27937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2504"/>
        <c:crosses val="autoZero"/>
        <c:crossBetween val="midCat"/>
      </c:valAx>
      <c:valAx>
        <c:axId val="2793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 Cell Temp vs. Flux (December 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0775809273840769E-2"/>
                  <c:y val="-6.7715806357538641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'Bismuth Cell'!$B$238:$B$256</c:f>
              <c:numCache>
                <c:formatCode>General</c:formatCode>
                <c:ptCount val="19"/>
                <c:pt idx="0">
                  <c:v>554</c:v>
                </c:pt>
                <c:pt idx="1">
                  <c:v>536</c:v>
                </c:pt>
                <c:pt idx="2">
                  <c:v>548</c:v>
                </c:pt>
                <c:pt idx="3">
                  <c:v>548</c:v>
                </c:pt>
                <c:pt idx="8">
                  <c:v>515</c:v>
                </c:pt>
                <c:pt idx="9">
                  <c:v>586</c:v>
                </c:pt>
                <c:pt idx="10">
                  <c:v>548</c:v>
                </c:pt>
                <c:pt idx="11">
                  <c:v>543</c:v>
                </c:pt>
                <c:pt idx="12">
                  <c:v>544</c:v>
                </c:pt>
                <c:pt idx="13">
                  <c:v>543</c:v>
                </c:pt>
                <c:pt idx="14">
                  <c:v>544</c:v>
                </c:pt>
                <c:pt idx="15">
                  <c:v>544</c:v>
                </c:pt>
                <c:pt idx="16">
                  <c:v>545</c:v>
                </c:pt>
                <c:pt idx="17">
                  <c:v>551</c:v>
                </c:pt>
                <c:pt idx="18">
                  <c:v>557</c:v>
                </c:pt>
              </c:numCache>
            </c:numRef>
          </c:xVal>
          <c:yVal>
            <c:numRef>
              <c:f>'Bismuth Cell'!$E$238:$E$256</c:f>
              <c:numCache>
                <c:formatCode>0.00E+00</c:formatCode>
                <c:ptCount val="19"/>
                <c:pt idx="0">
                  <c:v>5.03E-8</c:v>
                </c:pt>
                <c:pt idx="1">
                  <c:v>2.7400000000000001E-8</c:v>
                </c:pt>
                <c:pt idx="2">
                  <c:v>4.1500000000000001E-8</c:v>
                </c:pt>
                <c:pt idx="3">
                  <c:v>4.1600000000000002E-8</c:v>
                </c:pt>
                <c:pt idx="8">
                  <c:v>1.4999999999999999E-8</c:v>
                </c:pt>
                <c:pt idx="9">
                  <c:v>1.5599999999999999E-7</c:v>
                </c:pt>
                <c:pt idx="10">
                  <c:v>4.6999999999999997E-8</c:v>
                </c:pt>
                <c:pt idx="11">
                  <c:v>4.0499999999999999E-8</c:v>
                </c:pt>
                <c:pt idx="12">
                  <c:v>4.1600000000000002E-8</c:v>
                </c:pt>
                <c:pt idx="13">
                  <c:v>3.9799999999999999E-8</c:v>
                </c:pt>
                <c:pt idx="14">
                  <c:v>4.1199999999999998E-8</c:v>
                </c:pt>
                <c:pt idx="15">
                  <c:v>4.0399999999999998E-8</c:v>
                </c:pt>
                <c:pt idx="16">
                  <c:v>4.1899999999999998E-8</c:v>
                </c:pt>
                <c:pt idx="17">
                  <c:v>5.17E-8</c:v>
                </c:pt>
                <c:pt idx="18">
                  <c:v>6.2999999999999995E-8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C-450F-A9E7-BEB63DEA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70208"/>
        <c:axId val="279372504"/>
      </c:scatterChart>
      <c:valAx>
        <c:axId val="27937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2504"/>
        <c:crosses val="autoZero"/>
        <c:crossBetween val="midCat"/>
      </c:valAx>
      <c:valAx>
        <c:axId val="2793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 Cell Temp vs. Flux (March</a:t>
            </a:r>
            <a:r>
              <a:rPr lang="en-US" baseline="0"/>
              <a:t> </a:t>
            </a:r>
            <a:r>
              <a:rPr lang="en-US"/>
              <a:t>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853884239998735"/>
                  <c:y val="0.1105448188566583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'Bismuth Cell'!$B$257:$B$268</c:f>
              <c:numCache>
                <c:formatCode>General</c:formatCode>
                <c:ptCount val="12"/>
                <c:pt idx="0">
                  <c:v>553</c:v>
                </c:pt>
                <c:pt idx="1">
                  <c:v>556</c:v>
                </c:pt>
                <c:pt idx="2">
                  <c:v>557</c:v>
                </c:pt>
                <c:pt idx="3">
                  <c:v>561</c:v>
                </c:pt>
                <c:pt idx="4">
                  <c:v>565</c:v>
                </c:pt>
                <c:pt idx="5">
                  <c:v>568</c:v>
                </c:pt>
                <c:pt idx="6">
                  <c:v>540</c:v>
                </c:pt>
                <c:pt idx="7">
                  <c:v>460</c:v>
                </c:pt>
                <c:pt idx="8">
                  <c:v>475</c:v>
                </c:pt>
                <c:pt idx="9">
                  <c:v>497</c:v>
                </c:pt>
                <c:pt idx="10">
                  <c:v>514</c:v>
                </c:pt>
                <c:pt idx="11">
                  <c:v>537</c:v>
                </c:pt>
              </c:numCache>
            </c:numRef>
          </c:xVal>
          <c:yVal>
            <c:numRef>
              <c:f>'Bismuth Cell'!$E$257:$E$268</c:f>
              <c:numCache>
                <c:formatCode>0.00E+00</c:formatCode>
                <c:ptCount val="12"/>
                <c:pt idx="0">
                  <c:v>3.8000000000000003E-8</c:v>
                </c:pt>
                <c:pt idx="1">
                  <c:v>4.06E-8</c:v>
                </c:pt>
                <c:pt idx="2">
                  <c:v>4.1000000000000003E-8</c:v>
                </c:pt>
                <c:pt idx="3">
                  <c:v>4.6100000000000003E-8</c:v>
                </c:pt>
                <c:pt idx="4">
                  <c:v>5.25E-8</c:v>
                </c:pt>
                <c:pt idx="5">
                  <c:v>5.8000000000000003E-8</c:v>
                </c:pt>
                <c:pt idx="6">
                  <c:v>2.4E-8</c:v>
                </c:pt>
                <c:pt idx="7">
                  <c:v>1.2E-9</c:v>
                </c:pt>
                <c:pt idx="8">
                  <c:v>2.16E-9</c:v>
                </c:pt>
                <c:pt idx="9">
                  <c:v>5.0499999999999997E-9</c:v>
                </c:pt>
                <c:pt idx="10">
                  <c:v>9.5000000000000007E-9</c:v>
                </c:pt>
                <c:pt idx="11">
                  <c:v>2.11E-8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B-47A4-8050-B3AD77AA1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70208"/>
        <c:axId val="279372504"/>
      </c:scatterChart>
      <c:valAx>
        <c:axId val="279370208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2504"/>
        <c:crosses val="autoZero"/>
        <c:crossBetween val="midCat"/>
      </c:valAx>
      <c:valAx>
        <c:axId val="2793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 Cell Temp vs. Flux (March</a:t>
            </a:r>
            <a:r>
              <a:rPr lang="en-US" baseline="0"/>
              <a:t> </a:t>
            </a:r>
            <a:r>
              <a:rPr lang="en-US"/>
              <a:t>2023 pre bake and May post)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Before Vent and Bake March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9285494622906653"/>
                  <c:y val="-0.18189204798538397"/>
                </c:manualLayout>
              </c:layout>
              <c:numFmt formatCode="0.00000E+00" sourceLinked="0"/>
              <c:spPr>
                <a:solidFill>
                  <a:schemeClr val="bg1"/>
                </a:solidFill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'Bismuth Cell'!$B$257:$B$268</c:f>
              <c:numCache>
                <c:formatCode>General</c:formatCode>
                <c:ptCount val="12"/>
                <c:pt idx="0">
                  <c:v>553</c:v>
                </c:pt>
                <c:pt idx="1">
                  <c:v>556</c:v>
                </c:pt>
                <c:pt idx="2">
                  <c:v>557</c:v>
                </c:pt>
                <c:pt idx="3">
                  <c:v>561</c:v>
                </c:pt>
                <c:pt idx="4">
                  <c:v>565</c:v>
                </c:pt>
                <c:pt idx="5">
                  <c:v>568</c:v>
                </c:pt>
                <c:pt idx="6">
                  <c:v>540</c:v>
                </c:pt>
                <c:pt idx="7">
                  <c:v>460</c:v>
                </c:pt>
                <c:pt idx="8">
                  <c:v>475</c:v>
                </c:pt>
                <c:pt idx="9">
                  <c:v>497</c:v>
                </c:pt>
                <c:pt idx="10">
                  <c:v>514</c:v>
                </c:pt>
                <c:pt idx="11">
                  <c:v>537</c:v>
                </c:pt>
              </c:numCache>
            </c:numRef>
          </c:xVal>
          <c:yVal>
            <c:numRef>
              <c:f>'Bismuth Cell'!$E$257:$E$268</c:f>
              <c:numCache>
                <c:formatCode>0.00E+00</c:formatCode>
                <c:ptCount val="12"/>
                <c:pt idx="0">
                  <c:v>3.8000000000000003E-8</c:v>
                </c:pt>
                <c:pt idx="1">
                  <c:v>4.06E-8</c:v>
                </c:pt>
                <c:pt idx="2">
                  <c:v>4.1000000000000003E-8</c:v>
                </c:pt>
                <c:pt idx="3">
                  <c:v>4.6100000000000003E-8</c:v>
                </c:pt>
                <c:pt idx="4">
                  <c:v>5.25E-8</c:v>
                </c:pt>
                <c:pt idx="5">
                  <c:v>5.8000000000000003E-8</c:v>
                </c:pt>
                <c:pt idx="6">
                  <c:v>2.4E-8</c:v>
                </c:pt>
                <c:pt idx="7">
                  <c:v>1.2E-9</c:v>
                </c:pt>
                <c:pt idx="8">
                  <c:v>2.16E-9</c:v>
                </c:pt>
                <c:pt idx="9">
                  <c:v>5.0499999999999997E-9</c:v>
                </c:pt>
                <c:pt idx="10">
                  <c:v>9.5000000000000007E-9</c:v>
                </c:pt>
                <c:pt idx="11">
                  <c:v>2.11E-8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C-4D5B-A64F-5EAB7BD0A00B}"/>
            </c:ext>
          </c:extLst>
        </c:ser>
        <c:ser>
          <c:idx val="1"/>
          <c:order val="1"/>
          <c:tx>
            <c:v>After Bake May 2023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7.6449957029707569E-2"/>
                  <c:y val="4.7580535570034048E-2"/>
                </c:manualLayout>
              </c:layout>
              <c:numFmt formatCode="0.0000E+00" sourceLinked="0"/>
              <c:spPr>
                <a:solidFill>
                  <a:schemeClr val="bg1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'Bismuth Cell'!$B$270:$B$272</c:f>
              <c:numCache>
                <c:formatCode>General</c:formatCode>
                <c:ptCount val="3"/>
                <c:pt idx="0">
                  <c:v>550</c:v>
                </c:pt>
                <c:pt idx="1">
                  <c:v>530</c:v>
                </c:pt>
                <c:pt idx="2">
                  <c:v>510</c:v>
                </c:pt>
              </c:numCache>
            </c:numRef>
          </c:xVal>
          <c:yVal>
            <c:numRef>
              <c:f>'Bismuth Cell'!$E$270:$E$272</c:f>
              <c:numCache>
                <c:formatCode>0.00E+00</c:formatCode>
                <c:ptCount val="3"/>
                <c:pt idx="0">
                  <c:v>2.5600000000000002E-7</c:v>
                </c:pt>
                <c:pt idx="1">
                  <c:v>1.3300000000000001E-7</c:v>
                </c:pt>
                <c:pt idx="2">
                  <c:v>5.5600000000000002E-8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C-4D5B-A64F-5EAB7BD0A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70208"/>
        <c:axId val="279372504"/>
      </c:scatterChart>
      <c:valAx>
        <c:axId val="279370208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2504"/>
        <c:crosses val="autoZero"/>
        <c:crossBetween val="midCat"/>
      </c:valAx>
      <c:valAx>
        <c:axId val="2793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 Cell Temp vs. Flux (March</a:t>
            </a:r>
            <a:r>
              <a:rPr lang="en-US" baseline="0"/>
              <a:t> </a:t>
            </a:r>
            <a:r>
              <a:rPr lang="en-US"/>
              <a:t>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853884239998735"/>
                  <c:y val="0.1105448188566583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'Bismuth Cell'!$B$270:$B$272</c:f>
              <c:numCache>
                <c:formatCode>General</c:formatCode>
                <c:ptCount val="3"/>
                <c:pt idx="0">
                  <c:v>550</c:v>
                </c:pt>
                <c:pt idx="1">
                  <c:v>530</c:v>
                </c:pt>
                <c:pt idx="2">
                  <c:v>510</c:v>
                </c:pt>
              </c:numCache>
            </c:numRef>
          </c:xVal>
          <c:yVal>
            <c:numRef>
              <c:f>'Bismuth Cell'!$E$270:$E$272</c:f>
              <c:numCache>
                <c:formatCode>0.00E+00</c:formatCode>
                <c:ptCount val="3"/>
                <c:pt idx="0">
                  <c:v>2.5600000000000002E-7</c:v>
                </c:pt>
                <c:pt idx="1">
                  <c:v>1.3300000000000001E-7</c:v>
                </c:pt>
                <c:pt idx="2">
                  <c:v>5.5600000000000002E-8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D-4E25-BBD1-C4A4BA84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70208"/>
        <c:axId val="279372504"/>
      </c:scatterChart>
      <c:valAx>
        <c:axId val="279370208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2504"/>
        <c:crosses val="autoZero"/>
        <c:crossBetween val="midCat"/>
      </c:valAx>
      <c:valAx>
        <c:axId val="2793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 Valve 300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 350/600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('As-Valve'!$A$6,'As-Valve'!$A$15,'As-Valve'!$A$16,'As-Valve'!$A$22,'As-Valve'!$A$33,'As-Valve'!$A$24)</c:f>
            </c:numRef>
          </c:xVal>
          <c:yVal>
            <c:numRef>
              <c:f>('As-Valve'!$E$6,'As-Valve'!$E$15,'As-Valve'!$E$16,'As-Valve'!$E$22,'As-Valve'!$E$33,'As-Valve'!$E$24)</c:f>
            </c:numRef>
          </c:yVal>
          <c:smooth val="0"/>
          <c:extLst>
            <c:ext xmlns:c16="http://schemas.microsoft.com/office/drawing/2014/chart" uri="{C3380CC4-5D6E-409C-BE32-E72D297353CC}">
              <c16:uniqueId val="{00000000-6B28-4367-9E0A-4A5E0E526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0032"/>
        <c:axId val="334731208"/>
      </c:scatterChart>
      <c:valAx>
        <c:axId val="3347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1208"/>
        <c:crosses val="autoZero"/>
        <c:crossBetween val="midCat"/>
        <c:majorUnit val="5"/>
      </c:valAx>
      <c:valAx>
        <c:axId val="334731208"/>
        <c:scaling>
          <c:orientation val="minMax"/>
          <c:min val="7.000000000000002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 and Growth rate vs. base temp, 10-13-21 to March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19503143502411"/>
          <c:y val="0.13532199462706571"/>
          <c:w val="0.58640424830617111"/>
          <c:h val="0.79373305999976063"/>
        </c:manualLayout>
      </c:layout>
      <c:scatterChart>
        <c:scatterStyle val="lineMarker"/>
        <c:varyColors val="0"/>
        <c:ser>
          <c:idx val="1"/>
          <c:order val="1"/>
          <c:tx>
            <c:v>Base temp vs. growth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4752981683741145"/>
                  <c:y val="0.18223569860112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 - GaAs'!$B$224:$B$239</c:f>
              <c:numCache>
                <c:formatCode>General</c:formatCode>
                <c:ptCount val="16"/>
                <c:pt idx="0">
                  <c:v>870</c:v>
                </c:pt>
                <c:pt idx="1">
                  <c:v>830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890</c:v>
                </c:pt>
                <c:pt idx="6">
                  <c:v>870</c:v>
                </c:pt>
                <c:pt idx="7">
                  <c:v>850</c:v>
                </c:pt>
                <c:pt idx="8">
                  <c:v>830</c:v>
                </c:pt>
                <c:pt idx="9">
                  <c:v>870</c:v>
                </c:pt>
                <c:pt idx="10">
                  <c:v>850</c:v>
                </c:pt>
                <c:pt idx="11">
                  <c:v>870</c:v>
                </c:pt>
                <c:pt idx="12">
                  <c:v>850</c:v>
                </c:pt>
                <c:pt idx="13">
                  <c:v>870</c:v>
                </c:pt>
                <c:pt idx="14">
                  <c:v>850</c:v>
                </c:pt>
                <c:pt idx="15">
                  <c:v>870</c:v>
                </c:pt>
              </c:numCache>
            </c:numRef>
          </c:xVal>
          <c:yVal>
            <c:numRef>
              <c:f>'Ga - GaAs'!$H$224:$H$239</c:f>
              <c:numCache>
                <c:formatCode>General</c:formatCode>
                <c:ptCount val="16"/>
                <c:pt idx="0">
                  <c:v>0.505</c:v>
                </c:pt>
                <c:pt idx="2">
                  <c:v>0.498</c:v>
                </c:pt>
                <c:pt idx="4">
                  <c:v>0.497</c:v>
                </c:pt>
                <c:pt idx="6">
                  <c:v>0.5</c:v>
                </c:pt>
                <c:pt idx="7">
                  <c:v>0.318</c:v>
                </c:pt>
                <c:pt idx="8">
                  <c:v>0.20399999999999999</c:v>
                </c:pt>
                <c:pt idx="12">
                  <c:v>0.31</c:v>
                </c:pt>
                <c:pt idx="13">
                  <c:v>0.47099999999999997</c:v>
                </c:pt>
                <c:pt idx="1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E-4C90-8729-75E5EFD2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10832"/>
        <c:axId val="276012800"/>
      </c:scatterChart>
      <c:scatterChart>
        <c:scatterStyle val="lineMarker"/>
        <c:varyColors val="0"/>
        <c:ser>
          <c:idx val="0"/>
          <c:order val="0"/>
          <c:tx>
            <c:v>Flux vs. base 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4.4077006653238111E-2"/>
                  <c:y val="0.40237062775976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 - GaAs'!$B$224:$B$238</c:f>
              <c:numCache>
                <c:formatCode>General</c:formatCode>
                <c:ptCount val="15"/>
                <c:pt idx="0">
                  <c:v>870</c:v>
                </c:pt>
                <c:pt idx="1">
                  <c:v>830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890</c:v>
                </c:pt>
                <c:pt idx="6">
                  <c:v>870</c:v>
                </c:pt>
                <c:pt idx="7">
                  <c:v>850</c:v>
                </c:pt>
                <c:pt idx="8">
                  <c:v>830</c:v>
                </c:pt>
                <c:pt idx="9">
                  <c:v>870</c:v>
                </c:pt>
                <c:pt idx="10">
                  <c:v>850</c:v>
                </c:pt>
                <c:pt idx="11">
                  <c:v>870</c:v>
                </c:pt>
                <c:pt idx="12">
                  <c:v>850</c:v>
                </c:pt>
                <c:pt idx="13">
                  <c:v>870</c:v>
                </c:pt>
                <c:pt idx="14">
                  <c:v>850</c:v>
                </c:pt>
              </c:numCache>
            </c:numRef>
          </c:xVal>
          <c:yVal>
            <c:numRef>
              <c:f>'Ga - GaAs'!$F$224:$F$238</c:f>
              <c:numCache>
                <c:formatCode>General</c:formatCode>
                <c:ptCount val="15"/>
                <c:pt idx="0" formatCode="0.00E+00">
                  <c:v>3.4299999999999999E-7</c:v>
                </c:pt>
                <c:pt idx="2" formatCode="0.00E+00">
                  <c:v>3.39E-7</c:v>
                </c:pt>
                <c:pt idx="3" formatCode="0.00E+00">
                  <c:v>3.3999999999999997E-7</c:v>
                </c:pt>
                <c:pt idx="4" formatCode="0.00E+00">
                  <c:v>3.3999999999999997E-7</c:v>
                </c:pt>
                <c:pt idx="5" formatCode="0.00E+00">
                  <c:v>5.2200000000000004E-7</c:v>
                </c:pt>
                <c:pt idx="6" formatCode="0.00E+00">
                  <c:v>3.3700000000000001E-7</c:v>
                </c:pt>
                <c:pt idx="7" formatCode="0.00E+00">
                  <c:v>2.23E-7</c:v>
                </c:pt>
                <c:pt idx="8" formatCode="0.00E+00">
                  <c:v>1.4399999999999999E-7</c:v>
                </c:pt>
                <c:pt idx="9" formatCode="0.00E+00">
                  <c:v>3.34E-7</c:v>
                </c:pt>
                <c:pt idx="10" formatCode="0.00E+00">
                  <c:v>2.1799999999999999E-7</c:v>
                </c:pt>
                <c:pt idx="11" formatCode="0.00E+00">
                  <c:v>3.3599999999999999E-7</c:v>
                </c:pt>
                <c:pt idx="12" formatCode="0.00E+00">
                  <c:v>2.1799999999999999E-7</c:v>
                </c:pt>
                <c:pt idx="13" formatCode="0.00E+00">
                  <c:v>3.5100000000000001E-7</c:v>
                </c:pt>
                <c:pt idx="14" formatCode="0.00E+00">
                  <c:v>2.1299999999999999E-7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E-4C90-8729-75E5EFD2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690160"/>
        <c:axId val="281684256"/>
      </c:scatterChart>
      <c:valAx>
        <c:axId val="2760108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12800"/>
        <c:crosses val="autoZero"/>
        <c:crossBetween val="midCat"/>
      </c:valAx>
      <c:valAx>
        <c:axId val="2760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10832"/>
        <c:crosses val="autoZero"/>
        <c:crossBetween val="midCat"/>
      </c:valAx>
      <c:valAx>
        <c:axId val="28168425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90160"/>
        <c:crosses val="max"/>
        <c:crossBetween val="midCat"/>
      </c:valAx>
      <c:valAx>
        <c:axId val="28169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68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05604590123907"/>
          <c:y val="0.73072018559957885"/>
          <c:w val="0.29368814014527256"/>
          <c:h val="0.21769283927866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4/25/17 As Valve vs Flux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'As-Valve'!$D$6:$D$14</c:f>
            </c:numRef>
          </c:xVal>
          <c:yVal>
            <c:numRef>
              <c:f>'As-Valve'!$E$6:$E$14</c:f>
            </c:numRef>
          </c:yVal>
          <c:smooth val="0"/>
          <c:extLst>
            <c:ext xmlns:c16="http://schemas.microsoft.com/office/drawing/2014/chart" uri="{C3380CC4-5D6E-409C-BE32-E72D297353CC}">
              <c16:uniqueId val="{00000000-885F-4769-A7E3-604DFFE0344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'As-Valve'!$D$6:$D$14</c:f>
            </c:numRef>
          </c:xVal>
          <c:yVal>
            <c:numRef>
              <c:f>'As-Valve'!$E$6:$E$14</c:f>
            </c:numRef>
          </c:yVal>
          <c:smooth val="0"/>
          <c:extLst>
            <c:ext xmlns:c16="http://schemas.microsoft.com/office/drawing/2014/chart" uri="{C3380CC4-5D6E-409C-BE32-E72D297353CC}">
              <c16:uniqueId val="{00000001-885F-4769-A7E3-604DFFE03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42576"/>
        <c:axId val="334733952"/>
      </c:scatterChart>
      <c:valAx>
        <c:axId val="33474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3952"/>
        <c:crosses val="autoZero"/>
        <c:crossBetween val="midCat"/>
      </c:valAx>
      <c:valAx>
        <c:axId val="3347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425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4/25/17 As Valve vs Flux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3.404352580927384E-2"/>
                  <c:y val="1.8101851851851852E-2"/>
                </c:manualLayout>
              </c:layout>
              <c:numFmt formatCode="0.000E+00" sourceLinked="0"/>
            </c:trendlineLbl>
          </c:trendline>
          <c:xVal>
            <c:numRef>
              <c:f>'As-Valve'!$D$16:$D$23</c:f>
            </c:numRef>
          </c:xVal>
          <c:yVal>
            <c:numRef>
              <c:f>'As-Valve'!$E$16:$E$23</c:f>
            </c:numRef>
          </c:yVal>
          <c:smooth val="0"/>
          <c:extLst>
            <c:ext xmlns:c16="http://schemas.microsoft.com/office/drawing/2014/chart" uri="{C3380CC4-5D6E-409C-BE32-E72D297353CC}">
              <c16:uniqueId val="{00000001-B0B2-4E34-9DE6-07EF81963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84656"/>
        <c:axId val="259994064"/>
      </c:scatterChart>
      <c:valAx>
        <c:axId val="25998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4064"/>
        <c:crosses val="autoZero"/>
        <c:crossBetween val="midCat"/>
      </c:valAx>
      <c:valAx>
        <c:axId val="2599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846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5/16/17 As Valve vs Flux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5/16/2017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3.404352580927384E-2"/>
                  <c:y val="1.8101851851851852E-2"/>
                </c:manualLayout>
              </c:layout>
              <c:numFmt formatCode="0.000E+00" sourceLinked="0"/>
            </c:trendlineLbl>
          </c:trendline>
          <c:xVal>
            <c:numRef>
              <c:f>'As-Valve'!$D$35:$D$40</c:f>
            </c:numRef>
          </c:xVal>
          <c:yVal>
            <c:numRef>
              <c:f>'As-Valve'!$E$35:$E$40</c:f>
            </c:numRef>
          </c:yVal>
          <c:smooth val="0"/>
          <c:extLst>
            <c:ext xmlns:c16="http://schemas.microsoft.com/office/drawing/2014/chart" uri="{C3380CC4-5D6E-409C-BE32-E72D297353CC}">
              <c16:uniqueId val="{00000000-3E8C-41D9-A60D-CB9E8396D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84656"/>
        <c:axId val="259994064"/>
      </c:scatterChart>
      <c:valAx>
        <c:axId val="25998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4064"/>
        <c:crosses val="autoZero"/>
        <c:crossBetween val="midCat"/>
      </c:valAx>
      <c:valAx>
        <c:axId val="2599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846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9/14/17 As Valve vs Flux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3.404352580927384E-2"/>
                  <c:y val="1.8101851851851852E-2"/>
                </c:manualLayout>
              </c:layout>
              <c:numFmt formatCode="0.000E+00" sourceLinked="0"/>
            </c:trendlineLbl>
          </c:trendline>
          <c:xVal>
            <c:numRef>
              <c:f>'As-Valve'!$D$58:$D$65</c:f>
            </c:numRef>
          </c:xVal>
          <c:yVal>
            <c:numRef>
              <c:f>'As-Valve'!$E$58:$E$65</c:f>
            </c:numRef>
          </c:yVal>
          <c:smooth val="0"/>
          <c:extLst>
            <c:ext xmlns:c16="http://schemas.microsoft.com/office/drawing/2014/chart" uri="{C3380CC4-5D6E-409C-BE32-E72D297353CC}">
              <c16:uniqueId val="{00000000-8EF1-4B66-8AE7-5095EDA4B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84656"/>
        <c:axId val="259994064"/>
      </c:scatterChart>
      <c:valAx>
        <c:axId val="25998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4064"/>
        <c:crosses val="autoZero"/>
        <c:crossBetween val="midCat"/>
      </c:valAx>
      <c:valAx>
        <c:axId val="2599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846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9/22/17 As4 Valve vs Flux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Closing Valve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39046646284181941"/>
                  <c:y val="1.2489270386266094E-2"/>
                </c:manualLayout>
              </c:layout>
              <c:numFmt formatCode="0.000E+00" sourceLinked="0"/>
            </c:trendlineLbl>
          </c:trendline>
          <c:xVal>
            <c:numRef>
              <c:f>'As-Valve'!$D$73:$D$82</c:f>
            </c:numRef>
          </c:xVal>
          <c:yVal>
            <c:numRef>
              <c:f>'As-Valve'!$E$73:$E$82</c:f>
            </c:numRef>
          </c:yVal>
          <c:smooth val="0"/>
          <c:extLst>
            <c:ext xmlns:c16="http://schemas.microsoft.com/office/drawing/2014/chart" uri="{C3380CC4-5D6E-409C-BE32-E72D297353CC}">
              <c16:uniqueId val="{00000000-2039-4F4D-9A6C-20AD91AF058E}"/>
            </c:ext>
          </c:extLst>
        </c:ser>
        <c:ser>
          <c:idx val="1"/>
          <c:order val="1"/>
          <c:tx>
            <c:v>Opening Valve</c:v>
          </c:tx>
          <c:spPr>
            <a:ln w="19050">
              <a:noFill/>
            </a:ln>
          </c:spPr>
          <c:xVal>
            <c:numRef>
              <c:f>'As-Valve'!$D$83:$D$88</c:f>
            </c:numRef>
          </c:xVal>
          <c:yVal>
            <c:numRef>
              <c:f>'As-Valve'!$E$83:$E$88</c:f>
            </c:numRef>
          </c:yVal>
          <c:smooth val="0"/>
          <c:extLst>
            <c:ext xmlns:c16="http://schemas.microsoft.com/office/drawing/2014/chart" uri="{C3380CC4-5D6E-409C-BE32-E72D297353CC}">
              <c16:uniqueId val="{00000001-2039-4F4D-9A6C-20AD91AF0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84656"/>
        <c:axId val="259994064"/>
      </c:scatterChart>
      <c:valAx>
        <c:axId val="25998465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4064"/>
        <c:crosses val="autoZero"/>
        <c:crossBetween val="midCat"/>
      </c:valAx>
      <c:valAx>
        <c:axId val="259994064"/>
        <c:scaling>
          <c:orientation val="minMax"/>
          <c:max val="2.5000000000000011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8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</a:t>
            </a:r>
            <a:r>
              <a:rPr lang="en-US" baseline="0"/>
              <a:t> flux vs. GR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83858267716538"/>
                  <c:y val="0.11715624088655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'As-Valve'!$G$101:$G$103</c:f>
            </c:numRef>
          </c:xVal>
          <c:yVal>
            <c:numRef>
              <c:f>'As-Valve'!$F$101:$F$103</c:f>
            </c:numRef>
          </c:yVal>
          <c:smooth val="0"/>
          <c:extLst>
            <c:ext xmlns:c16="http://schemas.microsoft.com/office/drawing/2014/chart" uri="{C3380CC4-5D6E-409C-BE32-E72D297353CC}">
              <c16:uniqueId val="{00000000-5CC7-41BE-BB59-685FAF56A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1224"/>
        <c:axId val="211651552"/>
      </c:scatterChart>
      <c:valAx>
        <c:axId val="21165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1552"/>
        <c:crosses val="autoZero"/>
        <c:crossBetween val="midCat"/>
      </c:valAx>
      <c:valAx>
        <c:axId val="2116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9/22/17 As2 Valve vs Flux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8.9374301909315917E-2"/>
                  <c:y val="-7.5276114523840074E-2"/>
                </c:manualLayout>
              </c:layout>
              <c:numFmt formatCode="0.000E+00" sourceLinked="0"/>
            </c:trendlineLbl>
          </c:trendline>
          <c:xVal>
            <c:numRef>
              <c:f>'As-Valve'!$D$107:$D$115</c:f>
            </c:numRef>
          </c:xVal>
          <c:yVal>
            <c:numRef>
              <c:f>'As-Valve'!$E$107:$E$115</c:f>
            </c:numRef>
          </c:yVal>
          <c:smooth val="0"/>
          <c:extLst>
            <c:ext xmlns:c16="http://schemas.microsoft.com/office/drawing/2014/chart" uri="{C3380CC4-5D6E-409C-BE32-E72D297353CC}">
              <c16:uniqueId val="{00000001-14F7-4AA7-9FEF-678F55441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84656"/>
        <c:axId val="259994064"/>
      </c:scatterChart>
      <c:valAx>
        <c:axId val="2599846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4064"/>
        <c:crosses val="autoZero"/>
        <c:crossBetween val="midCat"/>
      </c:valAx>
      <c:valAx>
        <c:axId val="2599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8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9/22/17 As2 Valve vs Flux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8.7011403888154593E-2"/>
                  <c:y val="3.4626502161369796E-2"/>
                </c:manualLayout>
              </c:layout>
              <c:numFmt formatCode="0.000E+00" sourceLinked="0"/>
            </c:trendlineLbl>
          </c:trendline>
          <c:xVal>
            <c:numRef>
              <c:f>'As-Valve'!$D$110:$D$115</c:f>
            </c:numRef>
          </c:xVal>
          <c:yVal>
            <c:numRef>
              <c:f>'As-Valve'!$E$110:$E$115</c:f>
            </c:numRef>
          </c:yVal>
          <c:smooth val="0"/>
          <c:extLst>
            <c:ext xmlns:c16="http://schemas.microsoft.com/office/drawing/2014/chart" uri="{C3380CC4-5D6E-409C-BE32-E72D297353CC}">
              <c16:uniqueId val="{00000000-FF26-4C33-B09E-4AEA70E51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84656"/>
        <c:axId val="259994064"/>
      </c:scatterChart>
      <c:valAx>
        <c:axId val="2599846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4064"/>
        <c:crosses val="autoZero"/>
        <c:crossBetween val="midCat"/>
      </c:valAx>
      <c:valAx>
        <c:axId val="2599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8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9/22/17 As2 Valve vs Flux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8.9374301909315917E-2"/>
                  <c:y val="-7.5276114523840074E-2"/>
                </c:manualLayout>
              </c:layout>
              <c:numFmt formatCode="0.000E+00" sourceLinked="0"/>
            </c:trendlineLbl>
          </c:trendline>
          <c:xVal>
            <c:numRef>
              <c:f>'As-Valve'!$D$128:$D$131</c:f>
            </c:numRef>
          </c:xVal>
          <c:yVal>
            <c:numRef>
              <c:f>'As-Valve'!$E$128:$E$131</c:f>
            </c:numRef>
          </c:yVal>
          <c:smooth val="0"/>
          <c:extLst>
            <c:ext xmlns:c16="http://schemas.microsoft.com/office/drawing/2014/chart" uri="{C3380CC4-5D6E-409C-BE32-E72D297353CC}">
              <c16:uniqueId val="{00000000-738C-414F-9581-9EFFA5EF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84656"/>
        <c:axId val="259994064"/>
      </c:scatterChart>
      <c:valAx>
        <c:axId val="2599846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4064"/>
        <c:crosses val="autoZero"/>
        <c:crossBetween val="midCat"/>
      </c:valAx>
      <c:valAx>
        <c:axId val="2599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8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As2</a:t>
            </a:r>
            <a:r>
              <a:rPr lang="en-US" baseline="0"/>
              <a:t> flux vs. GR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83858267716538"/>
                  <c:y val="0.11715624088655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'As-Valve'!$G$129:$G$131</c:f>
            </c:numRef>
          </c:xVal>
          <c:yVal>
            <c:numRef>
              <c:f>'As-Valve'!$F$129:$F$131</c:f>
            </c:numRef>
          </c:yVal>
          <c:smooth val="0"/>
          <c:extLst>
            <c:ext xmlns:c16="http://schemas.microsoft.com/office/drawing/2014/chart" uri="{C3380CC4-5D6E-409C-BE32-E72D297353CC}">
              <c16:uniqueId val="{00000000-4811-4691-9019-33037861E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1224"/>
        <c:axId val="211651552"/>
      </c:scatterChart>
      <c:valAx>
        <c:axId val="21165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1552"/>
        <c:crosses val="autoZero"/>
        <c:crossBetween val="midCat"/>
      </c:valAx>
      <c:valAx>
        <c:axId val="2116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vs. temp pre and post bake spring 2023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19503143502411"/>
          <c:y val="0.13532199462706571"/>
          <c:w val="0.72159804675578321"/>
          <c:h val="0.79373305999976063"/>
        </c:manualLayout>
      </c:layout>
      <c:scatterChart>
        <c:scatterStyle val="lineMarker"/>
        <c:varyColors val="0"/>
        <c:ser>
          <c:idx val="0"/>
          <c:order val="0"/>
          <c:tx>
            <c:v>Before Bake 2022 to March 2023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989669779649637"/>
                  <c:y val="0.3845971435705237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 - GaAs'!$B$229:$B$246</c:f>
              <c:numCache>
                <c:formatCode>General</c:formatCode>
                <c:ptCount val="18"/>
                <c:pt idx="0">
                  <c:v>890</c:v>
                </c:pt>
                <c:pt idx="1">
                  <c:v>870</c:v>
                </c:pt>
                <c:pt idx="2">
                  <c:v>850</c:v>
                </c:pt>
                <c:pt idx="3">
                  <c:v>830</c:v>
                </c:pt>
                <c:pt idx="4">
                  <c:v>870</c:v>
                </c:pt>
                <c:pt idx="5">
                  <c:v>850</c:v>
                </c:pt>
                <c:pt idx="6">
                  <c:v>870</c:v>
                </c:pt>
                <c:pt idx="7">
                  <c:v>850</c:v>
                </c:pt>
                <c:pt idx="8">
                  <c:v>870</c:v>
                </c:pt>
                <c:pt idx="9">
                  <c:v>850</c:v>
                </c:pt>
                <c:pt idx="10">
                  <c:v>870</c:v>
                </c:pt>
                <c:pt idx="11">
                  <c:v>875</c:v>
                </c:pt>
                <c:pt idx="12">
                  <c:v>875</c:v>
                </c:pt>
                <c:pt idx="13">
                  <c:v>893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</c:numCache>
            </c:numRef>
          </c:xVal>
          <c:yVal>
            <c:numRef>
              <c:f>'Ga - GaAs'!$F$229:$F$246</c:f>
              <c:numCache>
                <c:formatCode>0.00E+00</c:formatCode>
                <c:ptCount val="18"/>
                <c:pt idx="0">
                  <c:v>5.2200000000000004E-7</c:v>
                </c:pt>
                <c:pt idx="1">
                  <c:v>3.3700000000000001E-7</c:v>
                </c:pt>
                <c:pt idx="2">
                  <c:v>2.23E-7</c:v>
                </c:pt>
                <c:pt idx="3">
                  <c:v>1.4399999999999999E-7</c:v>
                </c:pt>
                <c:pt idx="4">
                  <c:v>3.34E-7</c:v>
                </c:pt>
                <c:pt idx="5">
                  <c:v>2.1799999999999999E-7</c:v>
                </c:pt>
                <c:pt idx="6">
                  <c:v>3.3599999999999999E-7</c:v>
                </c:pt>
                <c:pt idx="7">
                  <c:v>2.1799999999999999E-7</c:v>
                </c:pt>
                <c:pt idx="8">
                  <c:v>3.5100000000000001E-7</c:v>
                </c:pt>
                <c:pt idx="9">
                  <c:v>2.1299999999999999E-7</c:v>
                </c:pt>
                <c:pt idx="10">
                  <c:v>3.2899999999999999E-7</c:v>
                </c:pt>
                <c:pt idx="11">
                  <c:v>3.5699999999999998E-7</c:v>
                </c:pt>
                <c:pt idx="12">
                  <c:v>3.5600000000000001E-7</c:v>
                </c:pt>
                <c:pt idx="13">
                  <c:v>5.2E-7</c:v>
                </c:pt>
                <c:pt idx="14">
                  <c:v>3.2000000000000001E-7</c:v>
                </c:pt>
                <c:pt idx="15">
                  <c:v>3.1199999999999999E-7</c:v>
                </c:pt>
                <c:pt idx="17">
                  <c:v>3.4299999999999999E-7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E-40DB-8807-E0AD37B1CB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671271439907222"/>
                  <c:y val="0.22837499997658633"/>
                </c:manualLayout>
              </c:layout>
              <c:numFmt formatCode="0.00E+00" sourceLinked="0"/>
              <c:spPr>
                <a:solidFill>
                  <a:schemeClr val="bg1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 - GaAs'!$B$248:$B$253</c:f>
              <c:numCache>
                <c:formatCode>General</c:formatCode>
                <c:ptCount val="6"/>
                <c:pt idx="0">
                  <c:v>890</c:v>
                </c:pt>
                <c:pt idx="1">
                  <c:v>850</c:v>
                </c:pt>
                <c:pt idx="2">
                  <c:v>825</c:v>
                </c:pt>
                <c:pt idx="3">
                  <c:v>890</c:v>
                </c:pt>
                <c:pt idx="4">
                  <c:v>850</c:v>
                </c:pt>
                <c:pt idx="5">
                  <c:v>890</c:v>
                </c:pt>
              </c:numCache>
            </c:numRef>
          </c:xVal>
          <c:yVal>
            <c:numRef>
              <c:f>'Ga - GaAs'!$F$248:$F$253</c:f>
              <c:numCache>
                <c:formatCode>0.00E+00</c:formatCode>
                <c:ptCount val="6"/>
                <c:pt idx="0">
                  <c:v>5.2900000000000004E-7</c:v>
                </c:pt>
                <c:pt idx="1">
                  <c:v>2.23E-7</c:v>
                </c:pt>
                <c:pt idx="2">
                  <c:v>1.2499999999999999E-7</c:v>
                </c:pt>
                <c:pt idx="3">
                  <c:v>5.6100000000000001E-7</c:v>
                </c:pt>
                <c:pt idx="4">
                  <c:v>2.36E-7</c:v>
                </c:pt>
                <c:pt idx="5">
                  <c:v>5.3200000000000005E-7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CE-40DB-8807-E0AD37B1C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10832"/>
        <c:axId val="276012800"/>
      </c:scatterChart>
      <c:valAx>
        <c:axId val="27601083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12800"/>
        <c:crosses val="autoZero"/>
        <c:crossBetween val="midCat"/>
      </c:valAx>
      <c:valAx>
        <c:axId val="2760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1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22658853689788"/>
          <c:y val="0.38103246014104764"/>
          <c:w val="0.2965780626258927"/>
          <c:h val="0.3790705824551492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3/2/2018 As4 Valve vs Flux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0.11285760095283909"/>
                  <c:y val="0.13360536086418032"/>
                </c:manualLayout>
              </c:layout>
              <c:numFmt formatCode="0.000E+00" sourceLinked="0"/>
            </c:trendlineLbl>
          </c:trendline>
          <c:xVal>
            <c:numRef>
              <c:f>'As-Valve'!$D$197:$D$200</c:f>
            </c:numRef>
          </c:xVal>
          <c:yVal>
            <c:numRef>
              <c:f>'As-Valve'!$E$197:$E$200</c:f>
            </c:numRef>
          </c:yVal>
          <c:smooth val="0"/>
          <c:extLst>
            <c:ext xmlns:c16="http://schemas.microsoft.com/office/drawing/2014/chart" uri="{C3380CC4-5D6E-409C-BE32-E72D297353CC}">
              <c16:uniqueId val="{00000002-E12A-4C5E-A692-C8B0D8A9D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84656"/>
        <c:axId val="259994064"/>
      </c:scatterChart>
      <c:valAx>
        <c:axId val="259984656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4064"/>
        <c:crosses val="autoZero"/>
        <c:crossBetween val="midCat"/>
      </c:valAx>
      <c:valAx>
        <c:axId val="2599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8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 Valve 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 350/600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'As-Valve'!$A$58,'As-Valve'!$A$93,'As-Valve'!$A$104,'As-Valve'!$A$132,'As-Valve'!$A$136,'As-Valve'!$A$142,'As-Valve'!$A$145,'As-Valve'!$A$148,'As-Valve'!$A$150,'As-Valve'!$A$155,'As-Valve'!$A$158,'As-Valve'!$A$161,'As-Valve'!$A$164,'As-Valve'!$A$175,'As-Valve'!$A$178,'As-Valve'!$A$182,'As-Valve'!$A$186,'As-Valve'!$A$190,'As-Valve'!$A$193,'As-Valve'!$A$197,'As-Valve'!$A$201,'As-Valve'!$A$204,'As-Valve'!$A$207,'As-Valve'!$A$211)</c:f>
            </c:numRef>
          </c:xVal>
          <c:yVal>
            <c:numRef>
              <c:f>('As-Valve'!$E$58,'As-Valve'!$E$93,'As-Valve'!$E$104,'As-Valve'!$E$132,'As-Valve'!$E$136,'As-Valve'!$E$142,'As-Valve'!$E$145,'As-Valve'!$E$148,'As-Valve'!$E$150,'As-Valve'!$E$155,'As-Valve'!$E$158,'As-Valve'!$E$161,'As-Valve'!$E$164,'As-Valve'!$E$175,'As-Valve'!$E$178,'As-Valve'!$E$182,'As-Valve'!$E$186,'As-Valve'!$E$190,'As-Valve'!$E$193,'As-Valve'!$E$197,'As-Valve'!$E$201,'As-Valve'!$E$204,'As-Valve'!$E$207,'As-Valve'!$E$211)</c:f>
            </c:numRef>
          </c:yVal>
          <c:smooth val="0"/>
          <c:extLst>
            <c:ext xmlns:c16="http://schemas.microsoft.com/office/drawing/2014/chart" uri="{C3380CC4-5D6E-409C-BE32-E72D297353CC}">
              <c16:uniqueId val="{00000000-64C1-4E70-BD2D-787D79165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0032"/>
        <c:axId val="334731208"/>
      </c:scatterChart>
      <c:valAx>
        <c:axId val="3347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1208"/>
        <c:crosses val="autoZero"/>
        <c:crossBetween val="midCat"/>
        <c:majorUnit val="5"/>
      </c:valAx>
      <c:valAx>
        <c:axId val="334731208"/>
        <c:scaling>
          <c:orientation val="minMax"/>
          <c:min val="7.000000000000002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2/20/2018 As2 Valve vs Flux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1773180527809904"/>
                  <c:y val="4.0555373858996296E-3"/>
                </c:manualLayout>
              </c:layout>
              <c:numFmt formatCode="0.000E+00" sourceLinked="0"/>
            </c:trendlineLbl>
          </c:trendline>
          <c:xVal>
            <c:numRef>
              <c:f>'As-Valve'!$D$167:$D$174</c:f>
            </c:numRef>
          </c:xVal>
          <c:yVal>
            <c:numRef>
              <c:f>'As-Valve'!$E$167:$E$174</c:f>
            </c:numRef>
          </c:yVal>
          <c:smooth val="0"/>
          <c:extLst>
            <c:ext xmlns:c16="http://schemas.microsoft.com/office/drawing/2014/chart" uri="{C3380CC4-5D6E-409C-BE32-E72D297353CC}">
              <c16:uniqueId val="{00000000-89F3-40EF-945A-7AEF47A93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84656"/>
        <c:axId val="259994064"/>
      </c:scatterChart>
      <c:valAx>
        <c:axId val="259984656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4064"/>
        <c:crosses val="autoZero"/>
        <c:crossBetween val="midCat"/>
      </c:valAx>
      <c:valAx>
        <c:axId val="2599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8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9/11/2018 As4 Valve vs Flux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091929756254741"/>
                  <c:y val="4.4640517547099988E-2"/>
                </c:manualLayout>
              </c:layout>
              <c:numFmt formatCode="0.000E+00" sourceLinked="0"/>
            </c:trendlineLbl>
          </c:trendline>
          <c:xVal>
            <c:numRef>
              <c:f>'As-Valve'!$D$222:$D$243</c:f>
              <c:numCache>
                <c:formatCode>General</c:formatCode>
                <c:ptCount val="22"/>
                <c:pt idx="0">
                  <c:v>300</c:v>
                </c:pt>
                <c:pt idx="1">
                  <c:v>178</c:v>
                </c:pt>
                <c:pt idx="2">
                  <c:v>170</c:v>
                </c:pt>
                <c:pt idx="3">
                  <c:v>160</c:v>
                </c:pt>
                <c:pt idx="4">
                  <c:v>145</c:v>
                </c:pt>
                <c:pt idx="5">
                  <c:v>153</c:v>
                </c:pt>
                <c:pt idx="6">
                  <c:v>149</c:v>
                </c:pt>
                <c:pt idx="7">
                  <c:v>300</c:v>
                </c:pt>
                <c:pt idx="8">
                  <c:v>149</c:v>
                </c:pt>
                <c:pt idx="9">
                  <c:v>300</c:v>
                </c:pt>
                <c:pt idx="10">
                  <c:v>155</c:v>
                </c:pt>
                <c:pt idx="11">
                  <c:v>165</c:v>
                </c:pt>
                <c:pt idx="12">
                  <c:v>160</c:v>
                </c:pt>
                <c:pt idx="13">
                  <c:v>300</c:v>
                </c:pt>
                <c:pt idx="14">
                  <c:v>160</c:v>
                </c:pt>
                <c:pt idx="15">
                  <c:v>157</c:v>
                </c:pt>
                <c:pt idx="16">
                  <c:v>155</c:v>
                </c:pt>
                <c:pt idx="17">
                  <c:v>300</c:v>
                </c:pt>
                <c:pt idx="18">
                  <c:v>155</c:v>
                </c:pt>
                <c:pt idx="19">
                  <c:v>153</c:v>
                </c:pt>
                <c:pt idx="20">
                  <c:v>300</c:v>
                </c:pt>
                <c:pt idx="21">
                  <c:v>147</c:v>
                </c:pt>
              </c:numCache>
            </c:numRef>
          </c:xVal>
          <c:yVal>
            <c:numRef>
              <c:f>'As-Valve'!$E$222:$E$243</c:f>
              <c:numCache>
                <c:formatCode>0.00E+00</c:formatCode>
                <c:ptCount val="22"/>
                <c:pt idx="0">
                  <c:v>1.0499999999999999E-5</c:v>
                </c:pt>
                <c:pt idx="1">
                  <c:v>4.6099999999999999E-6</c:v>
                </c:pt>
                <c:pt idx="2">
                  <c:v>4.5199999999999999E-6</c:v>
                </c:pt>
                <c:pt idx="3">
                  <c:v>4.2300000000000002E-6</c:v>
                </c:pt>
                <c:pt idx="4">
                  <c:v>3.7900000000000001E-6</c:v>
                </c:pt>
                <c:pt idx="5">
                  <c:v>4.1300000000000003E-6</c:v>
                </c:pt>
                <c:pt idx="6">
                  <c:v>4.0899999999999998E-6</c:v>
                </c:pt>
                <c:pt idx="7">
                  <c:v>1.08E-5</c:v>
                </c:pt>
                <c:pt idx="8">
                  <c:v>3.8700000000000002E-6</c:v>
                </c:pt>
                <c:pt idx="9">
                  <c:v>1.0699999999999999E-5</c:v>
                </c:pt>
                <c:pt idx="10">
                  <c:v>3.9700000000000001E-6</c:v>
                </c:pt>
                <c:pt idx="11">
                  <c:v>4.4100000000000001E-6</c:v>
                </c:pt>
                <c:pt idx="12">
                  <c:v>4.3000000000000003E-6</c:v>
                </c:pt>
                <c:pt idx="13">
                  <c:v>1.1800000000000001E-5</c:v>
                </c:pt>
                <c:pt idx="14">
                  <c:v>4.42E-6</c:v>
                </c:pt>
                <c:pt idx="15">
                  <c:v>4.3100000000000002E-6</c:v>
                </c:pt>
                <c:pt idx="16">
                  <c:v>4.2300000000000002E-6</c:v>
                </c:pt>
                <c:pt idx="17">
                  <c:v>1.17E-5</c:v>
                </c:pt>
                <c:pt idx="18">
                  <c:v>4.2599999999999999E-6</c:v>
                </c:pt>
                <c:pt idx="19">
                  <c:v>4.2200000000000003E-6</c:v>
                </c:pt>
                <c:pt idx="20">
                  <c:v>1.26E-5</c:v>
                </c:pt>
                <c:pt idx="21">
                  <c:v>4.2799999999999997E-6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E-44C6-92FE-F223AE15D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84656"/>
        <c:axId val="259994064"/>
      </c:scatterChart>
      <c:valAx>
        <c:axId val="259984656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4064"/>
        <c:crosses val="autoZero"/>
        <c:crossBetween val="midCat"/>
      </c:valAx>
      <c:valAx>
        <c:axId val="2599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8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 Valve 300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AsV300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('As-Valve'!$A$214,'As-Valve'!$A$220,'As-Valve'!$A$222,'As-Valve'!$A$229,'As-Valve'!$A$231,'As-Valve'!$A$235,'As-Valve'!$A$242,'As-Valve'!$A$239,'As-Valve'!$A$245,'As-Valve'!$A$247,'As-Valve'!$A$266,'As-Valve'!$A$251,'As-Valve'!$A$254,'As-Valve'!$A$256)</c:f>
              <c:numCache>
                <c:formatCode>m/d/yyyy</c:formatCode>
                <c:ptCount val="14"/>
                <c:pt idx="0">
                  <c:v>43350</c:v>
                </c:pt>
                <c:pt idx="1">
                  <c:v>43351</c:v>
                </c:pt>
                <c:pt idx="2">
                  <c:v>43354</c:v>
                </c:pt>
                <c:pt idx="3">
                  <c:v>43355</c:v>
                </c:pt>
                <c:pt idx="4">
                  <c:v>43360</c:v>
                </c:pt>
                <c:pt idx="5">
                  <c:v>43361</c:v>
                </c:pt>
                <c:pt idx="6">
                  <c:v>43383</c:v>
                </c:pt>
                <c:pt idx="7">
                  <c:v>43367</c:v>
                </c:pt>
                <c:pt idx="8">
                  <c:v>43388</c:v>
                </c:pt>
                <c:pt idx="9">
                  <c:v>43396</c:v>
                </c:pt>
                <c:pt idx="10">
                  <c:v>43453</c:v>
                </c:pt>
                <c:pt idx="11">
                  <c:v>43402</c:v>
                </c:pt>
                <c:pt idx="12">
                  <c:v>43431</c:v>
                </c:pt>
                <c:pt idx="13">
                  <c:v>43438</c:v>
                </c:pt>
              </c:numCache>
            </c:numRef>
          </c:cat>
          <c:val>
            <c:numRef>
              <c:f>('As-Valve'!$E$214,'As-Valve'!$E$220,'As-Valve'!$E$222,'As-Valve'!$E$229,'As-Valve'!$E$231,'As-Valve'!$E$235,'As-Valve'!$E$242,'As-Valve'!$E$239,'As-Valve'!$E$245,'As-Valve'!$E$247,'As-Valve'!$E$266,'As-Valve'!$E$256,'As-Valve'!$E$254,'As-Valve'!$E$251)</c:f>
              <c:numCache>
                <c:formatCode>0.00E+00</c:formatCode>
                <c:ptCount val="14"/>
                <c:pt idx="0">
                  <c:v>9.1600000000000004E-6</c:v>
                </c:pt>
                <c:pt idx="1">
                  <c:v>8.0299999999999994E-6</c:v>
                </c:pt>
                <c:pt idx="2">
                  <c:v>1.0499999999999999E-5</c:v>
                </c:pt>
                <c:pt idx="3">
                  <c:v>1.08E-5</c:v>
                </c:pt>
                <c:pt idx="4">
                  <c:v>1.0699999999999999E-5</c:v>
                </c:pt>
                <c:pt idx="5">
                  <c:v>1.1800000000000001E-5</c:v>
                </c:pt>
                <c:pt idx="6">
                  <c:v>1.26E-5</c:v>
                </c:pt>
                <c:pt idx="7">
                  <c:v>1.17E-5</c:v>
                </c:pt>
                <c:pt idx="8">
                  <c:v>1.2500000000000001E-5</c:v>
                </c:pt>
                <c:pt idx="9">
                  <c:v>1.22E-5</c:v>
                </c:pt>
                <c:pt idx="10">
                  <c:v>1.1E-5</c:v>
                </c:pt>
                <c:pt idx="11">
                  <c:v>1.1800000000000001E-5</c:v>
                </c:pt>
                <c:pt idx="12">
                  <c:v>1.17E-5</c:v>
                </c:pt>
                <c:pt idx="13">
                  <c:v>1.2799999999999999E-5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D-49DD-B4C3-6A0D70104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730032"/>
        <c:axId val="334731208"/>
      </c:barChart>
      <c:dateAx>
        <c:axId val="3347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1208"/>
        <c:crosses val="autoZero"/>
        <c:auto val="1"/>
        <c:lblOffset val="100"/>
        <c:baseTimeUnit val="days"/>
      </c:dateAx>
      <c:valAx>
        <c:axId val="334731208"/>
        <c:scaling>
          <c:orientation val="minMax"/>
          <c:min val="7.000000000000002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10/10/2018 As4 Valve vs Flux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091929756254741"/>
                  <c:y val="4.4640517547099988E-2"/>
                </c:manualLayout>
              </c:layout>
              <c:numFmt formatCode="0.000E+00" sourceLinked="0"/>
            </c:trendlineLbl>
          </c:trendline>
          <c:xVal>
            <c:numRef>
              <c:f>'As-Valve'!$D$273:$D$275</c:f>
              <c:numCache>
                <c:formatCode>General</c:formatCode>
                <c:ptCount val="3"/>
                <c:pt idx="0">
                  <c:v>300</c:v>
                </c:pt>
                <c:pt idx="1">
                  <c:v>162</c:v>
                </c:pt>
                <c:pt idx="2">
                  <c:v>160</c:v>
                </c:pt>
              </c:numCache>
            </c:numRef>
          </c:xVal>
          <c:yVal>
            <c:numRef>
              <c:f>'As-Valve'!$F$273:$F$275</c:f>
              <c:numCache>
                <c:formatCode>0.00E+00</c:formatCode>
                <c:ptCount val="3"/>
                <c:pt idx="0">
                  <c:v>-11.464135300800796</c:v>
                </c:pt>
                <c:pt idx="1">
                  <c:v>-12.382809824030227</c:v>
                </c:pt>
                <c:pt idx="2">
                  <c:v>-12.409413569548203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6-4479-B79A-C889A245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84656"/>
        <c:axId val="259994064"/>
      </c:scatterChart>
      <c:valAx>
        <c:axId val="259984656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4064"/>
        <c:crosses val="autoZero"/>
        <c:crossBetween val="midCat"/>
      </c:valAx>
      <c:valAx>
        <c:axId val="2599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8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12/12/2018 As2 Valve vs Flux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28953677660152921"/>
                  <c:y val="2.3671700350374986E-2"/>
                </c:manualLayout>
              </c:layout>
              <c:numFmt formatCode="0.000E+00" sourceLinked="0"/>
            </c:trendlineLbl>
          </c:trendline>
          <c:trendline>
            <c:trendlineType val="log"/>
            <c:dispRSqr val="0"/>
            <c:dispEq val="0"/>
          </c:trendline>
          <c:xVal>
            <c:numRef>
              <c:f>'As-Valve'!$D$258:$D$265</c:f>
              <c:numCache>
                <c:formatCode>General</c:formatCode>
                <c:ptCount val="8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7">
                  <c:v>193</c:v>
                </c:pt>
              </c:numCache>
            </c:numRef>
          </c:xVal>
          <c:yVal>
            <c:numRef>
              <c:f>'As-Valve'!$F$258:$F$265</c:f>
              <c:numCache>
                <c:formatCode>0.00E+00</c:formatCode>
                <c:ptCount val="8"/>
                <c:pt idx="0">
                  <c:v>-12.138413997056359</c:v>
                </c:pt>
                <c:pt idx="1">
                  <c:v>-12.531802785619485</c:v>
                </c:pt>
                <c:pt idx="2">
                  <c:v>-12.789468962131</c:v>
                </c:pt>
                <c:pt idx="3">
                  <c:v>-13.127375919227873</c:v>
                </c:pt>
                <c:pt idx="4">
                  <c:v>-13.600399178347329</c:v>
                </c:pt>
                <c:pt idx="5">
                  <c:v>-14.618472604531426</c:v>
                </c:pt>
                <c:pt idx="6">
                  <c:v>-15.848068513745259</c:v>
                </c:pt>
                <c:pt idx="7">
                  <c:v>-12.788573306003055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9-4F12-87E7-9926E79F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84656"/>
        <c:axId val="259994064"/>
      </c:scatterChart>
      <c:valAx>
        <c:axId val="259984656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4064"/>
        <c:crosses val="autoZero"/>
        <c:crossBetween val="midCat"/>
      </c:valAx>
      <c:valAx>
        <c:axId val="259994064"/>
        <c:scaling>
          <c:orientation val="minMax"/>
          <c:max val="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8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12/12/2018 As2 Valve vs Flux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7.0402505252841238E-2"/>
                  <c:y val="2.9443510044049347E-2"/>
                </c:manualLayout>
              </c:layout>
              <c:numFmt formatCode="0.0000E+00" sourceLinked="0"/>
            </c:trendlineLbl>
          </c:trendline>
          <c:xVal>
            <c:numRef>
              <c:f>'As-Valve'!$D$258:$D$265</c:f>
              <c:numCache>
                <c:formatCode>General</c:formatCode>
                <c:ptCount val="8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  <c:pt idx="7">
                  <c:v>193</c:v>
                </c:pt>
              </c:numCache>
            </c:numRef>
          </c:xVal>
          <c:yVal>
            <c:numRef>
              <c:f>'As-Valve'!$E$258:$E$265</c:f>
              <c:numCache>
                <c:formatCode>0.00E+00</c:formatCode>
                <c:ptCount val="8"/>
                <c:pt idx="0">
                  <c:v>5.3499999999999996E-6</c:v>
                </c:pt>
                <c:pt idx="1">
                  <c:v>3.6100000000000002E-6</c:v>
                </c:pt>
                <c:pt idx="2">
                  <c:v>2.79E-6</c:v>
                </c:pt>
                <c:pt idx="3">
                  <c:v>1.99E-6</c:v>
                </c:pt>
                <c:pt idx="4">
                  <c:v>1.24E-6</c:v>
                </c:pt>
                <c:pt idx="5">
                  <c:v>4.4799999999999999E-7</c:v>
                </c:pt>
                <c:pt idx="6">
                  <c:v>1.31E-7</c:v>
                </c:pt>
                <c:pt idx="7">
                  <c:v>2.7924999999999999E-6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7-4B80-AF7F-B1BD1F0D0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84656"/>
        <c:axId val="259994064"/>
      </c:scatterChart>
      <c:valAx>
        <c:axId val="259984656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4064"/>
        <c:crosses val="autoZero"/>
        <c:crossBetween val="midCat"/>
      </c:valAx>
      <c:valAx>
        <c:axId val="2599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8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8/3/2018 As4 Valve vs Flux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1.1038732030532468E-2"/>
                  <c:y val="-3.4294761900591907E-2"/>
                </c:manualLayout>
              </c:layout>
              <c:numFmt formatCode="0.000E+00" sourceLinked="0"/>
            </c:trendlineLbl>
          </c:trendline>
          <c:xVal>
            <c:numRef>
              <c:f>'As-Valve'!$D$309:$D$317</c:f>
              <c:numCache>
                <c:formatCode>General</c:formatCode>
                <c:ptCount val="9"/>
                <c:pt idx="0">
                  <c:v>300</c:v>
                </c:pt>
                <c:pt idx="1">
                  <c:v>100</c:v>
                </c:pt>
                <c:pt idx="2">
                  <c:v>80</c:v>
                </c:pt>
                <c:pt idx="3">
                  <c:v>67</c:v>
                </c:pt>
                <c:pt idx="4">
                  <c:v>65</c:v>
                </c:pt>
                <c:pt idx="5">
                  <c:v>60</c:v>
                </c:pt>
                <c:pt idx="6">
                  <c:v>55</c:v>
                </c:pt>
                <c:pt idx="7">
                  <c:v>50</c:v>
                </c:pt>
                <c:pt idx="8">
                  <c:v>45</c:v>
                </c:pt>
              </c:numCache>
            </c:numRef>
          </c:xVal>
          <c:yVal>
            <c:numRef>
              <c:f>'As-Valve'!$E$309:$E$317</c:f>
              <c:numCache>
                <c:formatCode>0.00E+00</c:formatCode>
                <c:ptCount val="9"/>
                <c:pt idx="0">
                  <c:v>8.7099999999999996E-6</c:v>
                </c:pt>
                <c:pt idx="1">
                  <c:v>1.9199999999999998E-6</c:v>
                </c:pt>
                <c:pt idx="2">
                  <c:v>1.42E-6</c:v>
                </c:pt>
                <c:pt idx="3">
                  <c:v>1.0699999999999999E-6</c:v>
                </c:pt>
                <c:pt idx="4">
                  <c:v>9.9099999999999991E-7</c:v>
                </c:pt>
                <c:pt idx="5">
                  <c:v>8.6300000000000004E-7</c:v>
                </c:pt>
                <c:pt idx="6">
                  <c:v>7.5300000000000003E-7</c:v>
                </c:pt>
                <c:pt idx="7">
                  <c:v>6.3399999999999999E-7</c:v>
                </c:pt>
                <c:pt idx="8">
                  <c:v>5.1500000000000005E-7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0-4815-B9A4-58C56314E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84656"/>
        <c:axId val="259994064"/>
      </c:scatterChart>
      <c:valAx>
        <c:axId val="259984656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4064"/>
        <c:crosses val="autoZero"/>
        <c:crossBetween val="midCat"/>
      </c:valAx>
      <c:valAx>
        <c:axId val="2599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8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8/20/2018 As4 Valve vs Flux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-0.12175331659971753"/>
                  <c:y val="6.9589168805956378E-2"/>
                </c:manualLayout>
              </c:layout>
              <c:numFmt formatCode="0.000E+00" sourceLinked="0"/>
            </c:trendlineLbl>
          </c:trendline>
          <c:xVal>
            <c:numRef>
              <c:f>'As-Valve'!$D$321:$D$327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190</c:v>
                </c:pt>
                <c:pt idx="4">
                  <c:v>180</c:v>
                </c:pt>
                <c:pt idx="5">
                  <c:v>175</c:v>
                </c:pt>
                <c:pt idx="6">
                  <c:v>207</c:v>
                </c:pt>
              </c:numCache>
            </c:numRef>
          </c:xVal>
          <c:yVal>
            <c:numRef>
              <c:f>'As-Valve'!$E$321:$E$327</c:f>
              <c:numCache>
                <c:formatCode>0.00E+00</c:formatCode>
                <c:ptCount val="7"/>
                <c:pt idx="0">
                  <c:v>8.7700000000000007E-6</c:v>
                </c:pt>
                <c:pt idx="1">
                  <c:v>5.93E-6</c:v>
                </c:pt>
                <c:pt idx="2">
                  <c:v>4.6099999999999999E-6</c:v>
                </c:pt>
                <c:pt idx="3">
                  <c:v>4.34E-6</c:v>
                </c:pt>
                <c:pt idx="4">
                  <c:v>4.0999999999999997E-6</c:v>
                </c:pt>
                <c:pt idx="5">
                  <c:v>3.98E-6</c:v>
                </c:pt>
                <c:pt idx="6">
                  <c:v>4.8500000000000002E-6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B-4DEF-8DBE-C8872CAE8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84656"/>
        <c:axId val="259994064"/>
      </c:scatterChart>
      <c:valAx>
        <c:axId val="259984656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4064"/>
        <c:crosses val="autoZero"/>
        <c:crossBetween val="midCat"/>
      </c:valAx>
      <c:valAx>
        <c:axId val="2599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8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vs. GR post bake spring 2023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19503143502411"/>
          <c:y val="0.13532199462706571"/>
          <c:w val="0.72159804675578321"/>
          <c:h val="0.7937330599997606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989669779649637"/>
                  <c:y val="0.3845971435705237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 - GaAs'!$F$251:$F$258</c:f>
              <c:numCache>
                <c:formatCode>0.00E+00</c:formatCode>
                <c:ptCount val="8"/>
                <c:pt idx="0">
                  <c:v>5.6100000000000001E-7</c:v>
                </c:pt>
                <c:pt idx="1">
                  <c:v>2.36E-7</c:v>
                </c:pt>
                <c:pt idx="2">
                  <c:v>5.3200000000000005E-7</c:v>
                </c:pt>
                <c:pt idx="3">
                  <c:v>2.28E-7</c:v>
                </c:pt>
                <c:pt idx="5">
                  <c:v>3.4499999999999998E-7</c:v>
                </c:pt>
                <c:pt idx="6">
                  <c:v>5.3099999999999998E-7</c:v>
                </c:pt>
                <c:pt idx="7">
                  <c:v>3.4499999999999998E-7</c:v>
                </c:pt>
              </c:numCache>
            </c:numRef>
          </c:xVal>
          <c:yVal>
            <c:numRef>
              <c:f>'Ga - GaAs'!$H$251:$H$258</c:f>
              <c:numCache>
                <c:formatCode>General</c:formatCode>
                <c:ptCount val="8"/>
                <c:pt idx="0">
                  <c:v>0.88</c:v>
                </c:pt>
                <c:pt idx="1">
                  <c:v>0.33</c:v>
                </c:pt>
                <c:pt idx="3">
                  <c:v>0.34</c:v>
                </c:pt>
                <c:pt idx="5">
                  <c:v>0.57199999999999995</c:v>
                </c:pt>
                <c:pt idx="7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E-4846-926A-6093609C0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10832"/>
        <c:axId val="276012800"/>
      </c:scatterChart>
      <c:valAx>
        <c:axId val="27601083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12800"/>
        <c:crosses val="autoZero"/>
        <c:crossBetween val="midCat"/>
      </c:valAx>
      <c:valAx>
        <c:axId val="2760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1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22658853689788"/>
          <c:y val="0.38103246014104764"/>
          <c:w val="0.2965780626258927"/>
          <c:h val="0.3790705824551492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'As-Valve'!$D$388:$D$393</c:f>
              <c:numCache>
                <c:formatCode>General</c:formatCode>
                <c:ptCount val="6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</c:numCache>
            </c:numRef>
          </c:xVal>
          <c:yVal>
            <c:numRef>
              <c:f>'As-Valve'!$E$388:$E$393</c:f>
              <c:numCache>
                <c:formatCode>0.00E+00</c:formatCode>
                <c:ptCount val="6"/>
                <c:pt idx="0">
                  <c:v>1.2E-5</c:v>
                </c:pt>
                <c:pt idx="1">
                  <c:v>7.52E-6</c:v>
                </c:pt>
                <c:pt idx="2">
                  <c:v>5.7899999999999996E-6</c:v>
                </c:pt>
                <c:pt idx="3">
                  <c:v>4.0999999999999997E-6</c:v>
                </c:pt>
                <c:pt idx="4">
                  <c:v>2.5600000000000001E-6</c:v>
                </c:pt>
                <c:pt idx="5">
                  <c:v>8.9999999999999996E-7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3-435B-B711-B1A2205D2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162464"/>
        <c:axId val="317158856"/>
      </c:scatterChart>
      <c:valAx>
        <c:axId val="3171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58856"/>
        <c:crosses val="autoZero"/>
        <c:crossBetween val="midCat"/>
      </c:valAx>
      <c:valAx>
        <c:axId val="31715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'As-Valve'!$D$445:$D$451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'As-Valve'!$E$445:$E$451</c:f>
              <c:numCache>
                <c:formatCode>0.00E+00</c:formatCode>
                <c:ptCount val="7"/>
                <c:pt idx="0">
                  <c:v>1.0699999999999999E-5</c:v>
                </c:pt>
                <c:pt idx="1">
                  <c:v>7.2599999999999999E-6</c:v>
                </c:pt>
                <c:pt idx="2">
                  <c:v>5.6300000000000003E-6</c:v>
                </c:pt>
                <c:pt idx="3">
                  <c:v>4.0400000000000003E-6</c:v>
                </c:pt>
                <c:pt idx="4">
                  <c:v>2.52E-6</c:v>
                </c:pt>
                <c:pt idx="5">
                  <c:v>8.9100000000000002E-7</c:v>
                </c:pt>
                <c:pt idx="6">
                  <c:v>1.11E-7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7-4DD1-9716-7308D70FF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66672"/>
        <c:axId val="324967328"/>
      </c:scatterChart>
      <c:valAx>
        <c:axId val="32496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67328"/>
        <c:crosses val="autoZero"/>
        <c:crossBetween val="midCat"/>
      </c:valAx>
      <c:valAx>
        <c:axId val="3249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6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'As-Valve'!$D$563:$D$569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'As-Valve'!$E$563:$E$569</c:f>
              <c:numCache>
                <c:formatCode>0.00E+00</c:formatCode>
                <c:ptCount val="7"/>
                <c:pt idx="0">
                  <c:v>1.08E-5</c:v>
                </c:pt>
                <c:pt idx="1">
                  <c:v>7.2599999999999999E-6</c:v>
                </c:pt>
                <c:pt idx="2">
                  <c:v>5.6300000000000003E-6</c:v>
                </c:pt>
                <c:pt idx="3">
                  <c:v>4.0400000000000003E-6</c:v>
                </c:pt>
                <c:pt idx="4">
                  <c:v>2.5100000000000001E-6</c:v>
                </c:pt>
                <c:pt idx="5">
                  <c:v>8.5000000000000001E-7</c:v>
                </c:pt>
                <c:pt idx="6">
                  <c:v>4.9999999999999998E-8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62F-4BCB-8180-C3D9355E3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14600"/>
        <c:axId val="285415256"/>
      </c:scatterChart>
      <c:valAx>
        <c:axId val="28541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256"/>
        <c:crosses val="autoZero"/>
        <c:crossBetween val="midCat"/>
      </c:valAx>
      <c:valAx>
        <c:axId val="28541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'As-Valve'!$D$577:$D$582</c:f>
              <c:numCache>
                <c:formatCode>General</c:formatCode>
                <c:ptCount val="6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</c:numCache>
            </c:numRef>
          </c:xVal>
          <c:yVal>
            <c:numRef>
              <c:f>'As-Valve'!$E$577:$E$582</c:f>
              <c:numCache>
                <c:formatCode>0.00E+00</c:formatCode>
                <c:ptCount val="6"/>
                <c:pt idx="0">
                  <c:v>1.03E-5</c:v>
                </c:pt>
                <c:pt idx="1">
                  <c:v>6.9999999999999999E-6</c:v>
                </c:pt>
                <c:pt idx="2">
                  <c:v>5.4099999999999999E-6</c:v>
                </c:pt>
                <c:pt idx="3">
                  <c:v>3.8800000000000001E-6</c:v>
                </c:pt>
                <c:pt idx="4">
                  <c:v>2.4200000000000001E-6</c:v>
                </c:pt>
                <c:pt idx="5">
                  <c:v>7.9999999999999996E-7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3-4A88-AA6E-CD72F96C9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14600"/>
        <c:axId val="285415256"/>
      </c:scatterChart>
      <c:valAx>
        <c:axId val="28541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256"/>
        <c:crosses val="autoZero"/>
        <c:crossBetween val="midCat"/>
      </c:valAx>
      <c:valAx>
        <c:axId val="28541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10/28/2022</a:t>
            </a:r>
          </a:p>
        </c:rich>
      </c:tx>
      <c:layout>
        <c:manualLayout>
          <c:xMode val="edge"/>
          <c:yMode val="edge"/>
          <c:x val="0.4037959412109293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8307451421055"/>
          <c:y val="5.9508018984896278E-2"/>
          <c:w val="0.81571163825862747"/>
          <c:h val="0.7387442978990893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'As-Valve'!$D$586:$D$592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'As-Valve'!$E$586:$E$592</c:f>
              <c:numCache>
                <c:formatCode>0.00E+00</c:formatCode>
                <c:ptCount val="7"/>
                <c:pt idx="0">
                  <c:v>9.3400000000000004E-6</c:v>
                </c:pt>
                <c:pt idx="1">
                  <c:v>6.37E-6</c:v>
                </c:pt>
                <c:pt idx="2">
                  <c:v>4.9699999999999998E-6</c:v>
                </c:pt>
                <c:pt idx="3">
                  <c:v>3.5499999999999999E-6</c:v>
                </c:pt>
                <c:pt idx="4">
                  <c:v>2.1600000000000001E-6</c:v>
                </c:pt>
                <c:pt idx="5">
                  <c:v>7.4600000000000004E-7</c:v>
                </c:pt>
                <c:pt idx="6">
                  <c:v>4.7199999999999999E-8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C-4B8E-A823-28D1DE3D5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14600"/>
        <c:axId val="285415256"/>
      </c:scatterChart>
      <c:valAx>
        <c:axId val="28541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256"/>
        <c:crosses val="autoZero"/>
        <c:crossBetween val="midCat"/>
      </c:valAx>
      <c:valAx>
        <c:axId val="28541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62683443633611"/>
          <c:y val="0.88613315378804047"/>
          <c:w val="0.46815207283956262"/>
          <c:h val="7.7246526836638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Valve vs</a:t>
            </a:r>
            <a:r>
              <a:rPr lang="en-US" baseline="0"/>
              <a:t> Flux 11/18/2022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'As-Valve'!$D$610:$D$616</c:f>
              <c:numCache>
                <c:formatCode>General</c:formatCode>
                <c:ptCount val="7"/>
                <c:pt idx="0">
                  <c:v>250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75</c:v>
                </c:pt>
                <c:pt idx="5">
                  <c:v>50</c:v>
                </c:pt>
                <c:pt idx="6">
                  <c:v>25</c:v>
                </c:pt>
              </c:numCache>
            </c:numRef>
          </c:xVal>
          <c:yVal>
            <c:numRef>
              <c:f>'As-Valve'!$E$610:$E$616</c:f>
              <c:numCache>
                <c:formatCode>0.00E+00</c:formatCode>
                <c:ptCount val="7"/>
                <c:pt idx="0">
                  <c:v>9.02E-6</c:v>
                </c:pt>
                <c:pt idx="1">
                  <c:v>7.0099999999999998E-6</c:v>
                </c:pt>
                <c:pt idx="2">
                  <c:v>5.0499999999999999E-6</c:v>
                </c:pt>
                <c:pt idx="3">
                  <c:v>3.0900000000000001E-6</c:v>
                </c:pt>
                <c:pt idx="4">
                  <c:v>2.1100000000000001E-6</c:v>
                </c:pt>
                <c:pt idx="5">
                  <c:v>1.0750000000000001E-6</c:v>
                </c:pt>
                <c:pt idx="6">
                  <c:v>2.9900000000000002E-7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4-4861-BC5F-D6BAA0572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65304"/>
        <c:axId val="289363008"/>
      </c:scatterChart>
      <c:valAx>
        <c:axId val="28936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63008"/>
        <c:crosses val="autoZero"/>
        <c:crossBetween val="midCat"/>
      </c:valAx>
      <c:valAx>
        <c:axId val="2893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6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Valve vs</a:t>
            </a:r>
            <a:r>
              <a:rPr lang="en-US" baseline="0"/>
              <a:t> Flux 02/02/2023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'As-Valve'!$D$654:$D$660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'As-Valve'!$E$654:$E$660</c:f>
              <c:numCache>
                <c:formatCode>0.00E+00</c:formatCode>
                <c:ptCount val="7"/>
                <c:pt idx="0">
                  <c:v>1.2999999999999999E-5</c:v>
                </c:pt>
                <c:pt idx="1">
                  <c:v>8.8100000000000004E-6</c:v>
                </c:pt>
                <c:pt idx="2">
                  <c:v>6.7800000000000003E-6</c:v>
                </c:pt>
                <c:pt idx="3">
                  <c:v>4.8899999999999998E-6</c:v>
                </c:pt>
                <c:pt idx="4">
                  <c:v>3.1200000000000002E-6</c:v>
                </c:pt>
                <c:pt idx="5">
                  <c:v>1.08E-6</c:v>
                </c:pt>
                <c:pt idx="6">
                  <c:v>1.15E-7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1-4915-B79F-C03D81EBA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65304"/>
        <c:axId val="289363008"/>
      </c:scatterChart>
      <c:valAx>
        <c:axId val="28936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63008"/>
        <c:crosses val="autoZero"/>
        <c:crossBetween val="midCat"/>
      </c:valAx>
      <c:valAx>
        <c:axId val="2893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6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Valve vs</a:t>
            </a:r>
            <a:r>
              <a:rPr lang="en-US" baseline="0"/>
              <a:t> Flux 03/21/2023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'As-Valve'!$D$682:$D$688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'As-Valve'!$E$682:$E$688</c:f>
              <c:numCache>
                <c:formatCode>0.00E+00</c:formatCode>
                <c:ptCount val="7"/>
                <c:pt idx="0">
                  <c:v>8.8999999999999995E-6</c:v>
                </c:pt>
                <c:pt idx="1">
                  <c:v>5.9000000000000003E-6</c:v>
                </c:pt>
                <c:pt idx="2">
                  <c:v>4.51E-6</c:v>
                </c:pt>
                <c:pt idx="3">
                  <c:v>3.2100000000000002E-6</c:v>
                </c:pt>
                <c:pt idx="4">
                  <c:v>1.95E-6</c:v>
                </c:pt>
                <c:pt idx="5">
                  <c:v>6.5499999999999998E-7</c:v>
                </c:pt>
                <c:pt idx="6">
                  <c:v>7.5100000000000004E-8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3-4363-8CF4-D3A1CC5AA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65304"/>
        <c:axId val="289363008"/>
      </c:scatterChart>
      <c:valAx>
        <c:axId val="28936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63008"/>
        <c:crosses val="autoZero"/>
        <c:crossBetween val="midCat"/>
      </c:valAx>
      <c:valAx>
        <c:axId val="2893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6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Flux 03/15/2023 pre bake and 5/3/23 pst bake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 bake 3/15/23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7298888048958949"/>
                  <c:y val="0.40472877594310053"/>
                </c:manualLayout>
              </c:layout>
              <c:numFmt formatCode="0.000E+00" sourceLinked="0"/>
              <c:spPr>
                <a:solidFill>
                  <a:sysClr val="window" lastClr="FFFFFF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'As-Valve'!$D$682:$D$687</c:f>
              <c:numCache>
                <c:formatCode>General</c:formatCode>
                <c:ptCount val="6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</c:numCache>
            </c:numRef>
          </c:xVal>
          <c:yVal>
            <c:numRef>
              <c:f>'As-Valve'!$E$682:$E$687</c:f>
              <c:numCache>
                <c:formatCode>0.00E+00</c:formatCode>
                <c:ptCount val="6"/>
                <c:pt idx="0">
                  <c:v>8.8999999999999995E-6</c:v>
                </c:pt>
                <c:pt idx="1">
                  <c:v>5.9000000000000003E-6</c:v>
                </c:pt>
                <c:pt idx="2">
                  <c:v>4.51E-6</c:v>
                </c:pt>
                <c:pt idx="3">
                  <c:v>3.2100000000000002E-6</c:v>
                </c:pt>
                <c:pt idx="4">
                  <c:v>1.95E-6</c:v>
                </c:pt>
                <c:pt idx="5">
                  <c:v>6.5499999999999998E-7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A-433D-9F87-ADDC4B399787}"/>
            </c:ext>
          </c:extLst>
        </c:ser>
        <c:ser>
          <c:idx val="1"/>
          <c:order val="1"/>
          <c:tx>
            <c:v>Pst bake 5/3/23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976089814866438"/>
                  <c:y val="3.4059684522024868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'As-Valve'!$D$690:$D$695</c:f>
              <c:numCache>
                <c:formatCode>General</c:formatCode>
                <c:ptCount val="6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</c:numCache>
            </c:numRef>
          </c:xVal>
          <c:yVal>
            <c:numRef>
              <c:f>'As-Valve'!$E$690:$E$695</c:f>
              <c:numCache>
                <c:formatCode>0.00E+00</c:formatCode>
                <c:ptCount val="6"/>
                <c:pt idx="0">
                  <c:v>1.2E-5</c:v>
                </c:pt>
                <c:pt idx="1">
                  <c:v>7.9699999999999999E-6</c:v>
                </c:pt>
                <c:pt idx="2">
                  <c:v>6.1600000000000003E-6</c:v>
                </c:pt>
                <c:pt idx="3">
                  <c:v>4.33E-6</c:v>
                </c:pt>
                <c:pt idx="4">
                  <c:v>2.6199999999999999E-6</c:v>
                </c:pt>
                <c:pt idx="5">
                  <c:v>8.7400000000000002E-7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1A-433D-9F87-ADDC4B399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65304"/>
        <c:axId val="289363008"/>
      </c:scatterChart>
      <c:valAx>
        <c:axId val="28936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63008"/>
        <c:crosses val="autoZero"/>
        <c:crossBetween val="midCat"/>
      </c:valAx>
      <c:valAx>
        <c:axId val="2893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6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Valve vs</a:t>
            </a:r>
            <a:r>
              <a:rPr lang="en-US" baseline="0"/>
              <a:t> Flux 05/23/2023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'As-Valve'!$D$710:$D$716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'As-Valve'!$E$710:$E$716</c:f>
              <c:numCache>
                <c:formatCode>0.00E+00</c:formatCode>
                <c:ptCount val="7"/>
                <c:pt idx="0">
                  <c:v>6.5200000000000003E-6</c:v>
                </c:pt>
                <c:pt idx="1">
                  <c:v>4.2599999999999999E-6</c:v>
                </c:pt>
                <c:pt idx="2">
                  <c:v>3.2600000000000001E-6</c:v>
                </c:pt>
                <c:pt idx="3">
                  <c:v>2.3300000000000001E-6</c:v>
                </c:pt>
                <c:pt idx="4">
                  <c:v>1.44E-6</c:v>
                </c:pt>
                <c:pt idx="5">
                  <c:v>5.3200000000000005E-7</c:v>
                </c:pt>
                <c:pt idx="6">
                  <c:v>2.3499999999999999E-8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A-4150-9B7A-F43F4F6A1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65304"/>
        <c:axId val="289363008"/>
      </c:scatterChart>
      <c:valAx>
        <c:axId val="28936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63008"/>
        <c:crosses val="autoZero"/>
        <c:crossBetween val="midCat"/>
      </c:valAx>
      <c:valAx>
        <c:axId val="2893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6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5/18/2018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644510715510471"/>
                  <c:y val="-0.13118980910653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'Gallium - GaSb'!$E$3:$E$8</c:f>
              <c:numCache>
                <c:formatCode>General</c:formatCode>
                <c:ptCount val="6"/>
                <c:pt idx="0">
                  <c:v>8.5984522785898534</c:v>
                </c:pt>
                <c:pt idx="1">
                  <c:v>8.6730268863833473</c:v>
                </c:pt>
                <c:pt idx="2">
                  <c:v>8.7489063867016625</c:v>
                </c:pt>
                <c:pt idx="3">
                  <c:v>8.8261253309796999</c:v>
                </c:pt>
                <c:pt idx="4">
                  <c:v>8.9047195013357072</c:v>
                </c:pt>
                <c:pt idx="5">
                  <c:v>8.5984522785898534</c:v>
                </c:pt>
              </c:numCache>
            </c:numRef>
          </c:xVal>
          <c:yVal>
            <c:numRef>
              <c:f>'Gallium - GaSb'!$G$3:$G$8</c:f>
              <c:numCache>
                <c:formatCode>General</c:formatCode>
                <c:ptCount val="6"/>
                <c:pt idx="0">
                  <c:v>-14.951824713816395</c:v>
                </c:pt>
                <c:pt idx="1">
                  <c:v>-15.18987634821889</c:v>
                </c:pt>
                <c:pt idx="2">
                  <c:v>-15.400255857808004</c:v>
                </c:pt>
                <c:pt idx="3">
                  <c:v>-15.593367122023338</c:v>
                </c:pt>
                <c:pt idx="4">
                  <c:v>-15.796012151789206</c:v>
                </c:pt>
                <c:pt idx="5">
                  <c:v>-14.98669353946722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0-43A8-85BB-6378C706D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43360"/>
        <c:axId val="334729640"/>
      </c:scatterChart>
      <c:valAx>
        <c:axId val="3347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10000/T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29640"/>
        <c:crosses val="autoZero"/>
        <c:crossBetween val="midCat"/>
      </c:valAx>
      <c:valAx>
        <c:axId val="33472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LN(Flux)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Valve vs</a:t>
            </a:r>
            <a:r>
              <a:rPr lang="en-US" baseline="0"/>
              <a:t> Flux 06/13/2023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'As-Valve'!$D$760:$D$763</c:f>
              <c:numCache>
                <c:formatCode>General</c:formatCode>
                <c:ptCount val="4"/>
                <c:pt idx="0">
                  <c:v>300</c:v>
                </c:pt>
                <c:pt idx="1">
                  <c:v>200</c:v>
                </c:pt>
                <c:pt idx="2">
                  <c:v>100</c:v>
                </c:pt>
                <c:pt idx="3">
                  <c:v>0</c:v>
                </c:pt>
              </c:numCache>
            </c:numRef>
          </c:xVal>
          <c:yVal>
            <c:numRef>
              <c:f>'As-Valve'!$E$760:$E$763</c:f>
              <c:numCache>
                <c:formatCode>0.00E+00</c:formatCode>
                <c:ptCount val="4"/>
                <c:pt idx="0">
                  <c:v>1.42E-5</c:v>
                </c:pt>
                <c:pt idx="1">
                  <c:v>7.25E-6</c:v>
                </c:pt>
                <c:pt idx="2">
                  <c:v>3.0299999999999998E-6</c:v>
                </c:pt>
                <c:pt idx="3">
                  <c:v>1.1000000000000001E-7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1-4F5A-BF34-1E7AFE46A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65304"/>
        <c:axId val="289363008"/>
      </c:scatterChart>
      <c:valAx>
        <c:axId val="28936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63008"/>
        <c:crosses val="autoZero"/>
        <c:crossBetween val="midCat"/>
      </c:valAx>
      <c:valAx>
        <c:axId val="2893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6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5/18/18 </a:t>
            </a:r>
            <a:r>
              <a:rPr lang="en-US" baseline="0"/>
              <a:t> Sb</a:t>
            </a:r>
            <a:r>
              <a:rPr lang="en-US"/>
              <a:t> Valve vs Flux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9.2923409003320703E-2"/>
                  <c:y val="0.45874556213017753"/>
                </c:manualLayout>
              </c:layout>
              <c:numFmt formatCode="0.000E+00" sourceLinked="0"/>
            </c:trendlineLbl>
          </c:trendline>
          <c:xVal>
            <c:numRef>
              <c:f>'Sb-Valve'!$E$2:$E$12</c:f>
              <c:numCache>
                <c:formatCode>General</c:formatCode>
                <c:ptCount val="11"/>
                <c:pt idx="0">
                  <c:v>300</c:v>
                </c:pt>
                <c:pt idx="1">
                  <c:v>250</c:v>
                </c:pt>
                <c:pt idx="2">
                  <c:v>225</c:v>
                </c:pt>
                <c:pt idx="3">
                  <c:v>200</c:v>
                </c:pt>
                <c:pt idx="4">
                  <c:v>175</c:v>
                </c:pt>
                <c:pt idx="5">
                  <c:v>150</c:v>
                </c:pt>
                <c:pt idx="6">
                  <c:v>125</c:v>
                </c:pt>
                <c:pt idx="7">
                  <c:v>100</c:v>
                </c:pt>
                <c:pt idx="8">
                  <c:v>75</c:v>
                </c:pt>
                <c:pt idx="9">
                  <c:v>50</c:v>
                </c:pt>
                <c:pt idx="10">
                  <c:v>25</c:v>
                </c:pt>
              </c:numCache>
            </c:numRef>
          </c:xVal>
          <c:yVal>
            <c:numRef>
              <c:f>'Sb-Valve'!$F$2:$F$12</c:f>
              <c:numCache>
                <c:formatCode>0.00E+00</c:formatCode>
                <c:ptCount val="11"/>
                <c:pt idx="0">
                  <c:v>9.4499999999999995E-7</c:v>
                </c:pt>
                <c:pt idx="1">
                  <c:v>8.5899999999999995E-7</c:v>
                </c:pt>
                <c:pt idx="2">
                  <c:v>8.1500000000000003E-7</c:v>
                </c:pt>
                <c:pt idx="3">
                  <c:v>7.6400000000000001E-7</c:v>
                </c:pt>
                <c:pt idx="4">
                  <c:v>7.1200000000000002E-7</c:v>
                </c:pt>
                <c:pt idx="5">
                  <c:v>6.5899999999999996E-7</c:v>
                </c:pt>
                <c:pt idx="6">
                  <c:v>6.0299999999999999E-7</c:v>
                </c:pt>
                <c:pt idx="7">
                  <c:v>5.4300000000000003E-7</c:v>
                </c:pt>
                <c:pt idx="8">
                  <c:v>4.7899999999999999E-7</c:v>
                </c:pt>
                <c:pt idx="9">
                  <c:v>3.96E-7</c:v>
                </c:pt>
                <c:pt idx="10">
                  <c:v>3.0800000000000001E-7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9-4316-BC00-68849F781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84656"/>
        <c:axId val="259994064"/>
      </c:scatterChart>
      <c:valAx>
        <c:axId val="25998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4064"/>
        <c:crosses val="autoZero"/>
        <c:crossBetween val="midCat"/>
      </c:valAx>
      <c:valAx>
        <c:axId val="2599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846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2019 flux vs.</a:t>
            </a:r>
            <a:r>
              <a:rPr lang="en-US" baseline="0"/>
              <a:t> valve, TSb=525/790/900</a:t>
            </a:r>
            <a:endParaRPr lang="en-US"/>
          </a:p>
        </c:rich>
      </c:tx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6909781419709"/>
          <c:y val="0.12995238093684644"/>
          <c:w val="0.79556714785651794"/>
          <c:h val="0.6895919828203293"/>
        </c:manualLayout>
      </c:layout>
      <c:scatterChart>
        <c:scatterStyle val="lineMarker"/>
        <c:varyColors val="0"/>
        <c:ser>
          <c:idx val="0"/>
          <c:order val="0"/>
          <c:tx>
            <c:v>2/25/2019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'Sb-Valve'!$E$30:$E$40</c:f>
              <c:numCache>
                <c:formatCode>General</c:formatCode>
                <c:ptCount val="11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50</c:v>
                </c:pt>
                <c:pt idx="8">
                  <c:v>75</c:v>
                </c:pt>
                <c:pt idx="9">
                  <c:v>70</c:v>
                </c:pt>
                <c:pt idx="10">
                  <c:v>0</c:v>
                </c:pt>
              </c:numCache>
            </c:numRef>
          </c:xVal>
          <c:yVal>
            <c:numRef>
              <c:f>'Sb-Valve'!$F$30:$F$40</c:f>
              <c:numCache>
                <c:formatCode>0.00E+00</c:formatCode>
                <c:ptCount val="11"/>
                <c:pt idx="0">
                  <c:v>1.7400000000000001E-6</c:v>
                </c:pt>
                <c:pt idx="1">
                  <c:v>1.59E-6</c:v>
                </c:pt>
                <c:pt idx="2">
                  <c:v>1.42E-6</c:v>
                </c:pt>
                <c:pt idx="3">
                  <c:v>1.33E-6</c:v>
                </c:pt>
                <c:pt idx="4">
                  <c:v>1.2300000000000001E-6</c:v>
                </c:pt>
                <c:pt idx="5">
                  <c:v>1.1200000000000001E-6</c:v>
                </c:pt>
                <c:pt idx="6">
                  <c:v>1.0100000000000001E-6</c:v>
                </c:pt>
                <c:pt idx="7">
                  <c:v>7.7499999999999999E-7</c:v>
                </c:pt>
                <c:pt idx="8">
                  <c:v>8.9599999999999998E-7</c:v>
                </c:pt>
                <c:pt idx="9">
                  <c:v>8.7000000000000003E-7</c:v>
                </c:pt>
                <c:pt idx="10">
                  <c:v>4.08E-7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E-4593-8F31-8F4E8473F2A5}"/>
            </c:ext>
          </c:extLst>
        </c:ser>
        <c:ser>
          <c:idx val="1"/>
          <c:order val="1"/>
          <c:tx>
            <c:v>3/25/2019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'Sb-Valve'!$E$41:$E$51</c:f>
              <c:numCache>
                <c:formatCode>General</c:formatCode>
                <c:ptCount val="11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70</c:v>
                </c:pt>
                <c:pt idx="9">
                  <c:v>50</c:v>
                </c:pt>
                <c:pt idx="10">
                  <c:v>0</c:v>
                </c:pt>
              </c:numCache>
            </c:numRef>
          </c:xVal>
          <c:yVal>
            <c:numRef>
              <c:f>'Sb-Valve'!$F$41:$F$51</c:f>
              <c:numCache>
                <c:formatCode>0.00E+00</c:formatCode>
                <c:ptCount val="11"/>
                <c:pt idx="0">
                  <c:v>1.72E-6</c:v>
                </c:pt>
                <c:pt idx="1">
                  <c:v>1.57E-6</c:v>
                </c:pt>
                <c:pt idx="2">
                  <c:v>1.4100000000000001E-6</c:v>
                </c:pt>
                <c:pt idx="3">
                  <c:v>1.31E-6</c:v>
                </c:pt>
                <c:pt idx="4">
                  <c:v>1.22E-6</c:v>
                </c:pt>
                <c:pt idx="5">
                  <c:v>1.1200000000000001E-6</c:v>
                </c:pt>
                <c:pt idx="6">
                  <c:v>1.0100000000000001E-6</c:v>
                </c:pt>
                <c:pt idx="7">
                  <c:v>9.0400000000000005E-7</c:v>
                </c:pt>
                <c:pt idx="8">
                  <c:v>8.7899999999999997E-7</c:v>
                </c:pt>
                <c:pt idx="9">
                  <c:v>7.5600000000000005E-7</c:v>
                </c:pt>
                <c:pt idx="10">
                  <c:v>4.2300000000000002E-7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E-4593-8F31-8F4E8473F2A5}"/>
            </c:ext>
          </c:extLst>
        </c:ser>
        <c:ser>
          <c:idx val="2"/>
          <c:order val="2"/>
          <c:tx>
            <c:v>4/3/2019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'Sb-Valve'!$E$52:$E$62</c:f>
              <c:numCache>
                <c:formatCode>General</c:formatCode>
                <c:ptCount val="11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  <c:pt idx="9">
                  <c:v>25</c:v>
                </c:pt>
                <c:pt idx="10">
                  <c:v>0</c:v>
                </c:pt>
              </c:numCache>
            </c:numRef>
          </c:xVal>
          <c:yVal>
            <c:numRef>
              <c:f>'Sb-Valve'!$F$52:$F$62</c:f>
              <c:numCache>
                <c:formatCode>0.00E+00</c:formatCode>
                <c:ptCount val="11"/>
                <c:pt idx="0">
                  <c:v>1.7799999999999999E-6</c:v>
                </c:pt>
                <c:pt idx="1">
                  <c:v>1.61E-6</c:v>
                </c:pt>
                <c:pt idx="2">
                  <c:v>1.4300000000000001E-6</c:v>
                </c:pt>
                <c:pt idx="3">
                  <c:v>1.3400000000000001E-6</c:v>
                </c:pt>
                <c:pt idx="4">
                  <c:v>1.2300000000000001E-6</c:v>
                </c:pt>
                <c:pt idx="5">
                  <c:v>1.1400000000000001E-6</c:v>
                </c:pt>
                <c:pt idx="6">
                  <c:v>1.0300000000000001E-6</c:v>
                </c:pt>
                <c:pt idx="7">
                  <c:v>9.0599999999999999E-7</c:v>
                </c:pt>
                <c:pt idx="8">
                  <c:v>7.6799999999999999E-7</c:v>
                </c:pt>
                <c:pt idx="9">
                  <c:v>6.0500000000000003E-7</c:v>
                </c:pt>
                <c:pt idx="10">
                  <c:v>4.3000000000000001E-7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EE-4593-8F31-8F4E8473F2A5}"/>
            </c:ext>
          </c:extLst>
        </c:ser>
        <c:ser>
          <c:idx val="3"/>
          <c:order val="3"/>
          <c:tx>
            <c:v>4/5/2019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'Sb-Valve'!$E$63:$E$73</c:f>
              <c:numCache>
                <c:formatCode>General</c:formatCode>
                <c:ptCount val="11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  <c:pt idx="9">
                  <c:v>25</c:v>
                </c:pt>
                <c:pt idx="10">
                  <c:v>0</c:v>
                </c:pt>
              </c:numCache>
            </c:numRef>
          </c:xVal>
          <c:yVal>
            <c:numRef>
              <c:f>'Sb-Valve'!$F$63:$F$73</c:f>
              <c:numCache>
                <c:formatCode>0.00E+00</c:formatCode>
                <c:ptCount val="11"/>
                <c:pt idx="0">
                  <c:v>7.5000000000000002E-7</c:v>
                </c:pt>
                <c:pt idx="1">
                  <c:v>6.8500000000000001E-7</c:v>
                </c:pt>
                <c:pt idx="2">
                  <c:v>6.1600000000000001E-7</c:v>
                </c:pt>
                <c:pt idx="3">
                  <c:v>5.7199999999999999E-7</c:v>
                </c:pt>
                <c:pt idx="4">
                  <c:v>5.3200000000000005E-7</c:v>
                </c:pt>
                <c:pt idx="5">
                  <c:v>4.89E-7</c:v>
                </c:pt>
                <c:pt idx="6">
                  <c:v>4.3799999999999998E-7</c:v>
                </c:pt>
                <c:pt idx="7">
                  <c:v>3.89E-7</c:v>
                </c:pt>
                <c:pt idx="8">
                  <c:v>3.2599999999999998E-7</c:v>
                </c:pt>
                <c:pt idx="9">
                  <c:v>2.5699999999999999E-7</c:v>
                </c:pt>
                <c:pt idx="10">
                  <c:v>1.85E-7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9-45FF-B2F8-CA79A12D7A45}"/>
            </c:ext>
          </c:extLst>
        </c:ser>
        <c:ser>
          <c:idx val="4"/>
          <c:order val="4"/>
          <c:tx>
            <c:v>4/15/2019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'Sb-Valve'!$E$74:$E$84</c:f>
              <c:numCache>
                <c:formatCode>General</c:formatCode>
                <c:ptCount val="11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  <c:pt idx="9">
                  <c:v>25</c:v>
                </c:pt>
                <c:pt idx="10">
                  <c:v>0</c:v>
                </c:pt>
              </c:numCache>
            </c:numRef>
          </c:xVal>
          <c:yVal>
            <c:numRef>
              <c:f>'Sb-Valve'!$F$74:$F$84</c:f>
              <c:numCache>
                <c:formatCode>0.00E+00</c:formatCode>
                <c:ptCount val="11"/>
                <c:pt idx="0">
                  <c:v>5.1600000000000001E-7</c:v>
                </c:pt>
                <c:pt idx="1">
                  <c:v>4.75E-7</c:v>
                </c:pt>
                <c:pt idx="2">
                  <c:v>4.2500000000000001E-7</c:v>
                </c:pt>
                <c:pt idx="3">
                  <c:v>3.9799999999999999E-7</c:v>
                </c:pt>
                <c:pt idx="4">
                  <c:v>3.6699999999999999E-7</c:v>
                </c:pt>
                <c:pt idx="5">
                  <c:v>3.3500000000000002E-7</c:v>
                </c:pt>
                <c:pt idx="6">
                  <c:v>3.0400000000000002E-7</c:v>
                </c:pt>
                <c:pt idx="7">
                  <c:v>2.6800000000000002E-7</c:v>
                </c:pt>
                <c:pt idx="8">
                  <c:v>2.2499999999999999E-7</c:v>
                </c:pt>
                <c:pt idx="9">
                  <c:v>1.7599999999999999E-7</c:v>
                </c:pt>
                <c:pt idx="10">
                  <c:v>1.2700000000000001E-7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9-45FF-B2F8-CA79A12D7A45}"/>
            </c:ext>
          </c:extLst>
        </c:ser>
        <c:ser>
          <c:idx val="5"/>
          <c:order val="5"/>
          <c:tx>
            <c:v>4/17/2019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'Sb-Valve'!$E$85:$E$95</c:f>
              <c:numCache>
                <c:formatCode>General</c:formatCode>
                <c:ptCount val="11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  <c:pt idx="9">
                  <c:v>25</c:v>
                </c:pt>
                <c:pt idx="10">
                  <c:v>0</c:v>
                </c:pt>
              </c:numCache>
            </c:numRef>
          </c:xVal>
          <c:yVal>
            <c:numRef>
              <c:f>'Sb-Valve'!$F$85:$F$95</c:f>
              <c:numCache>
                <c:formatCode>0.00E+00</c:formatCode>
                <c:ptCount val="11"/>
                <c:pt idx="0">
                  <c:v>5.2499999999999995E-7</c:v>
                </c:pt>
                <c:pt idx="1">
                  <c:v>4.7800000000000002E-7</c:v>
                </c:pt>
                <c:pt idx="2">
                  <c:v>4.2800000000000002E-7</c:v>
                </c:pt>
                <c:pt idx="3">
                  <c:v>3.9700000000000002E-7</c:v>
                </c:pt>
                <c:pt idx="4">
                  <c:v>3.6800000000000001E-7</c:v>
                </c:pt>
                <c:pt idx="5">
                  <c:v>3.3799999999999998E-7</c:v>
                </c:pt>
                <c:pt idx="6">
                  <c:v>3.0600000000000001E-7</c:v>
                </c:pt>
                <c:pt idx="7">
                  <c:v>2.7099999999999998E-7</c:v>
                </c:pt>
                <c:pt idx="8">
                  <c:v>2.2700000000000001E-7</c:v>
                </c:pt>
                <c:pt idx="9">
                  <c:v>1.7700000000000001E-7</c:v>
                </c:pt>
                <c:pt idx="10">
                  <c:v>1.2800000000000001E-7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B-4A0C-B88C-A45FAFD3BB08}"/>
            </c:ext>
          </c:extLst>
        </c:ser>
        <c:ser>
          <c:idx val="6"/>
          <c:order val="6"/>
          <c:tx>
            <c:v>4/20/2019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'Sb-Valve'!$E$96:$E$106</c:f>
              <c:numCache>
                <c:formatCode>General</c:formatCode>
                <c:ptCount val="11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  <c:pt idx="9">
                  <c:v>25</c:v>
                </c:pt>
                <c:pt idx="10">
                  <c:v>0</c:v>
                </c:pt>
              </c:numCache>
            </c:numRef>
          </c:xVal>
          <c:yVal>
            <c:numRef>
              <c:f>'Sb-Valve'!$F$96:$F$106</c:f>
              <c:numCache>
                <c:formatCode>0.00E+00</c:formatCode>
                <c:ptCount val="11"/>
                <c:pt idx="0">
                  <c:v>5.1699999999999998E-7</c:v>
                </c:pt>
                <c:pt idx="1">
                  <c:v>4.7199999999999999E-7</c:v>
                </c:pt>
                <c:pt idx="2">
                  <c:v>4.2100000000000002E-7</c:v>
                </c:pt>
                <c:pt idx="3">
                  <c:v>3.9400000000000001E-7</c:v>
                </c:pt>
                <c:pt idx="4">
                  <c:v>3.5999999999999999E-7</c:v>
                </c:pt>
                <c:pt idx="5">
                  <c:v>3.3099999999999999E-7</c:v>
                </c:pt>
                <c:pt idx="6">
                  <c:v>2.9999999999999999E-7</c:v>
                </c:pt>
                <c:pt idx="7">
                  <c:v>2.65E-7</c:v>
                </c:pt>
                <c:pt idx="8">
                  <c:v>2.2399999999999999E-7</c:v>
                </c:pt>
                <c:pt idx="9">
                  <c:v>1.7599999999999999E-7</c:v>
                </c:pt>
                <c:pt idx="10">
                  <c:v>1.2599999999999999E-7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4-4D93-88DC-BE638C5D2D78}"/>
            </c:ext>
          </c:extLst>
        </c:ser>
        <c:ser>
          <c:idx val="7"/>
          <c:order val="7"/>
          <c:tx>
            <c:v>5/30/2019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'Sb-Valve'!$E$118:$E$128</c:f>
              <c:numCache>
                <c:formatCode>General</c:formatCode>
                <c:ptCount val="11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  <c:pt idx="9">
                  <c:v>25</c:v>
                </c:pt>
                <c:pt idx="10">
                  <c:v>0</c:v>
                </c:pt>
              </c:numCache>
            </c:numRef>
          </c:xVal>
          <c:yVal>
            <c:numRef>
              <c:f>'Sb-Valve'!$F$118:$F$128</c:f>
              <c:numCache>
                <c:formatCode>0.00E+00</c:formatCode>
                <c:ptCount val="11"/>
                <c:pt idx="0">
                  <c:v>5.0200000000000002E-7</c:v>
                </c:pt>
                <c:pt idx="1">
                  <c:v>4.5900000000000002E-7</c:v>
                </c:pt>
                <c:pt idx="2">
                  <c:v>4.08E-7</c:v>
                </c:pt>
                <c:pt idx="3">
                  <c:v>3.7899999999999999E-7</c:v>
                </c:pt>
                <c:pt idx="4">
                  <c:v>3.5199999999999998E-7</c:v>
                </c:pt>
                <c:pt idx="5">
                  <c:v>3.2300000000000002E-7</c:v>
                </c:pt>
                <c:pt idx="6">
                  <c:v>2.8999999999999998E-7</c:v>
                </c:pt>
                <c:pt idx="7">
                  <c:v>2.5600000000000002E-7</c:v>
                </c:pt>
                <c:pt idx="8">
                  <c:v>2.17E-7</c:v>
                </c:pt>
                <c:pt idx="9">
                  <c:v>1.7100000000000001E-7</c:v>
                </c:pt>
                <c:pt idx="10">
                  <c:v>1.23E-7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E-42BA-B203-851B8AFAA336}"/>
            </c:ext>
          </c:extLst>
        </c:ser>
        <c:ser>
          <c:idx val="8"/>
          <c:order val="8"/>
          <c:tx>
            <c:v>5/23/2019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'Sb-Valve'!$E$107:$E$117</c:f>
              <c:numCache>
                <c:formatCode>General</c:formatCode>
                <c:ptCount val="11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  <c:pt idx="9">
                  <c:v>25</c:v>
                </c:pt>
                <c:pt idx="10">
                  <c:v>0</c:v>
                </c:pt>
              </c:numCache>
            </c:numRef>
          </c:xVal>
          <c:yVal>
            <c:numRef>
              <c:f>'Sb-Valve'!$F$107:$F$117</c:f>
              <c:numCache>
                <c:formatCode>0.00E+00</c:formatCode>
                <c:ptCount val="11"/>
                <c:pt idx="0">
                  <c:v>5.0500000000000004E-7</c:v>
                </c:pt>
                <c:pt idx="1">
                  <c:v>4.6100000000000001E-7</c:v>
                </c:pt>
                <c:pt idx="2">
                  <c:v>4.1100000000000001E-7</c:v>
                </c:pt>
                <c:pt idx="3">
                  <c:v>3.8299999999999998E-7</c:v>
                </c:pt>
                <c:pt idx="4">
                  <c:v>3.53E-7</c:v>
                </c:pt>
                <c:pt idx="5">
                  <c:v>3.22E-7</c:v>
                </c:pt>
                <c:pt idx="6">
                  <c:v>2.91E-7</c:v>
                </c:pt>
                <c:pt idx="7">
                  <c:v>2.5800000000000001E-7</c:v>
                </c:pt>
                <c:pt idx="8">
                  <c:v>2.1899999999999999E-7</c:v>
                </c:pt>
                <c:pt idx="9">
                  <c:v>1.72E-7</c:v>
                </c:pt>
                <c:pt idx="10">
                  <c:v>1.24E-7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E-42BA-B203-851B8AFAA336}"/>
            </c:ext>
          </c:extLst>
        </c:ser>
        <c:ser>
          <c:idx val="9"/>
          <c:order val="9"/>
          <c:tx>
            <c:v>6/6/2019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'Sb-Valve'!$E$129:$E$139</c:f>
              <c:numCache>
                <c:formatCode>General</c:formatCode>
                <c:ptCount val="11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  <c:pt idx="9">
                  <c:v>25</c:v>
                </c:pt>
                <c:pt idx="10">
                  <c:v>0</c:v>
                </c:pt>
              </c:numCache>
            </c:numRef>
          </c:xVal>
          <c:yVal>
            <c:numRef>
              <c:f>'Sb-Valve'!$F$129:$F$139</c:f>
              <c:numCache>
                <c:formatCode>0.00E+00</c:formatCode>
                <c:ptCount val="11"/>
                <c:pt idx="0">
                  <c:v>4.9900000000000001E-7</c:v>
                </c:pt>
                <c:pt idx="1">
                  <c:v>4.5299999999999999E-7</c:v>
                </c:pt>
                <c:pt idx="2">
                  <c:v>4.0400000000000002E-7</c:v>
                </c:pt>
                <c:pt idx="3">
                  <c:v>3.7500000000000001E-7</c:v>
                </c:pt>
                <c:pt idx="4">
                  <c:v>3.4799999999999999E-7</c:v>
                </c:pt>
                <c:pt idx="5">
                  <c:v>3.2300000000000002E-7</c:v>
                </c:pt>
                <c:pt idx="6">
                  <c:v>2.8700000000000002E-7</c:v>
                </c:pt>
                <c:pt idx="7">
                  <c:v>2.5400000000000002E-7</c:v>
                </c:pt>
                <c:pt idx="8">
                  <c:v>2.1400000000000001E-7</c:v>
                </c:pt>
                <c:pt idx="9">
                  <c:v>1.6899999999999999E-7</c:v>
                </c:pt>
                <c:pt idx="10">
                  <c:v>1.2200000000000001E-7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0E-42BA-B203-851B8AFAA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79232"/>
        <c:axId val="280579888"/>
      </c:scatterChart>
      <c:valAx>
        <c:axId val="28057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Sb valve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79888"/>
        <c:crosses val="autoZero"/>
        <c:crossBetween val="midCat"/>
      </c:valAx>
      <c:valAx>
        <c:axId val="2805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7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84103308545359"/>
          <c:y val="6.0377070427736441E-2"/>
          <c:w val="0.11815900831912028"/>
          <c:h val="0.78097698400183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Spring 2019 flux vs. valve, TSb=490/790/900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5/23/2019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'Sb-Valve'!$E$107:$E$117</c:f>
              <c:numCache>
                <c:formatCode>General</c:formatCode>
                <c:ptCount val="11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  <c:pt idx="9">
                  <c:v>25</c:v>
                </c:pt>
                <c:pt idx="10">
                  <c:v>0</c:v>
                </c:pt>
              </c:numCache>
            </c:numRef>
          </c:xVal>
          <c:yVal>
            <c:numRef>
              <c:f>'Sb-Valve'!$F$107:$F$117</c:f>
              <c:numCache>
                <c:formatCode>0.00E+00</c:formatCode>
                <c:ptCount val="11"/>
                <c:pt idx="0">
                  <c:v>5.0500000000000004E-7</c:v>
                </c:pt>
                <c:pt idx="1">
                  <c:v>4.6100000000000001E-7</c:v>
                </c:pt>
                <c:pt idx="2">
                  <c:v>4.1100000000000001E-7</c:v>
                </c:pt>
                <c:pt idx="3">
                  <c:v>3.8299999999999998E-7</c:v>
                </c:pt>
                <c:pt idx="4">
                  <c:v>3.53E-7</c:v>
                </c:pt>
                <c:pt idx="5">
                  <c:v>3.22E-7</c:v>
                </c:pt>
                <c:pt idx="6">
                  <c:v>2.91E-7</c:v>
                </c:pt>
                <c:pt idx="7">
                  <c:v>2.5800000000000001E-7</c:v>
                </c:pt>
                <c:pt idx="8">
                  <c:v>2.1899999999999999E-7</c:v>
                </c:pt>
                <c:pt idx="9">
                  <c:v>1.72E-7</c:v>
                </c:pt>
                <c:pt idx="10">
                  <c:v>1.24E-7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E-439D-ACDC-A94580A4190B}"/>
            </c:ext>
          </c:extLst>
        </c:ser>
        <c:ser>
          <c:idx val="1"/>
          <c:order val="1"/>
          <c:tx>
            <c:v>4/20/2019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'Sb-Valve'!$E$96:$E$106</c:f>
              <c:numCache>
                <c:formatCode>General</c:formatCode>
                <c:ptCount val="11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  <c:pt idx="9">
                  <c:v>25</c:v>
                </c:pt>
                <c:pt idx="10">
                  <c:v>0</c:v>
                </c:pt>
              </c:numCache>
            </c:numRef>
          </c:xVal>
          <c:yVal>
            <c:numRef>
              <c:f>'Sb-Valve'!$F$96:$F$106</c:f>
              <c:numCache>
                <c:formatCode>0.00E+00</c:formatCode>
                <c:ptCount val="11"/>
                <c:pt idx="0">
                  <c:v>5.1699999999999998E-7</c:v>
                </c:pt>
                <c:pt idx="1">
                  <c:v>4.7199999999999999E-7</c:v>
                </c:pt>
                <c:pt idx="2">
                  <c:v>4.2100000000000002E-7</c:v>
                </c:pt>
                <c:pt idx="3">
                  <c:v>3.9400000000000001E-7</c:v>
                </c:pt>
                <c:pt idx="4">
                  <c:v>3.5999999999999999E-7</c:v>
                </c:pt>
                <c:pt idx="5">
                  <c:v>3.3099999999999999E-7</c:v>
                </c:pt>
                <c:pt idx="6">
                  <c:v>2.9999999999999999E-7</c:v>
                </c:pt>
                <c:pt idx="7">
                  <c:v>2.65E-7</c:v>
                </c:pt>
                <c:pt idx="8">
                  <c:v>2.2399999999999999E-7</c:v>
                </c:pt>
                <c:pt idx="9">
                  <c:v>1.7599999999999999E-7</c:v>
                </c:pt>
                <c:pt idx="10">
                  <c:v>1.2599999999999999E-7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E-439D-ACDC-A94580A4190B}"/>
            </c:ext>
          </c:extLst>
        </c:ser>
        <c:ser>
          <c:idx val="2"/>
          <c:order val="2"/>
          <c:tx>
            <c:v>4/17/2019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'Sb-Valve'!$E$85:$E$95</c:f>
              <c:numCache>
                <c:formatCode>General</c:formatCode>
                <c:ptCount val="11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  <c:pt idx="9">
                  <c:v>25</c:v>
                </c:pt>
                <c:pt idx="10">
                  <c:v>0</c:v>
                </c:pt>
              </c:numCache>
            </c:numRef>
          </c:xVal>
          <c:yVal>
            <c:numRef>
              <c:f>'Sb-Valve'!$F$85:$F$95</c:f>
              <c:numCache>
                <c:formatCode>0.00E+00</c:formatCode>
                <c:ptCount val="11"/>
                <c:pt idx="0">
                  <c:v>5.2499999999999995E-7</c:v>
                </c:pt>
                <c:pt idx="1">
                  <c:v>4.7800000000000002E-7</c:v>
                </c:pt>
                <c:pt idx="2">
                  <c:v>4.2800000000000002E-7</c:v>
                </c:pt>
                <c:pt idx="3">
                  <c:v>3.9700000000000002E-7</c:v>
                </c:pt>
                <c:pt idx="4">
                  <c:v>3.6800000000000001E-7</c:v>
                </c:pt>
                <c:pt idx="5">
                  <c:v>3.3799999999999998E-7</c:v>
                </c:pt>
                <c:pt idx="6">
                  <c:v>3.0600000000000001E-7</c:v>
                </c:pt>
                <c:pt idx="7">
                  <c:v>2.7099999999999998E-7</c:v>
                </c:pt>
                <c:pt idx="8">
                  <c:v>2.2700000000000001E-7</c:v>
                </c:pt>
                <c:pt idx="9">
                  <c:v>1.7700000000000001E-7</c:v>
                </c:pt>
                <c:pt idx="10">
                  <c:v>1.2800000000000001E-7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4E-439D-ACDC-A94580A41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57880"/>
        <c:axId val="372661160"/>
      </c:scatterChart>
      <c:valAx>
        <c:axId val="37265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61160"/>
        <c:crosses val="autoZero"/>
        <c:crossBetween val="midCat"/>
      </c:valAx>
      <c:valAx>
        <c:axId val="37266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'Sb-Valve'!$E$239:$E$245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'Sb-Valve'!$F$239:$F$245</c:f>
              <c:numCache>
                <c:formatCode>0.00E+00</c:formatCode>
                <c:ptCount val="7"/>
                <c:pt idx="0">
                  <c:v>2.0800000000000001E-7</c:v>
                </c:pt>
                <c:pt idx="1">
                  <c:v>1.91E-7</c:v>
                </c:pt>
                <c:pt idx="2">
                  <c:v>1.72E-7</c:v>
                </c:pt>
                <c:pt idx="3">
                  <c:v>1.5200000000000001E-7</c:v>
                </c:pt>
                <c:pt idx="4">
                  <c:v>1.24E-7</c:v>
                </c:pt>
                <c:pt idx="5">
                  <c:v>9.2799999999999997E-8</c:v>
                </c:pt>
                <c:pt idx="6">
                  <c:v>5.1800000000000001E-8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3-4AA5-9D30-703724E4B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05664"/>
        <c:axId val="281506320"/>
      </c:scatterChart>
      <c:valAx>
        <c:axId val="2815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06320"/>
        <c:crosses val="autoZero"/>
        <c:crossBetween val="midCat"/>
      </c:valAx>
      <c:valAx>
        <c:axId val="2815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Bake</a:t>
            </a:r>
            <a:r>
              <a:rPr lang="en-US" baseline="0"/>
              <a:t> Sb Flux vs. Vavle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1"/>
          <c:order val="11"/>
          <c:tx>
            <c:v>1/29/2021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5.916088917552411E-2"/>
                  <c:y val="-7.4734747007196311E-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'Sb-Valve'!$E$337:$E$343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'Sb-Valve'!$F$337:$F$343</c:f>
              <c:numCache>
                <c:formatCode>0.00E+00</c:formatCode>
                <c:ptCount val="7"/>
                <c:pt idx="0">
                  <c:v>5.1900000000000003E-7</c:v>
                </c:pt>
                <c:pt idx="1">
                  <c:v>4.7300000000000001E-7</c:v>
                </c:pt>
                <c:pt idx="2">
                  <c:v>4.2300000000000002E-7</c:v>
                </c:pt>
                <c:pt idx="3">
                  <c:v>3.6300000000000001E-7</c:v>
                </c:pt>
                <c:pt idx="4">
                  <c:v>2.9900000000000002E-7</c:v>
                </c:pt>
                <c:pt idx="5">
                  <c:v>2.1799999999999999E-7</c:v>
                </c:pt>
                <c:pt idx="6">
                  <c:v>1.18E-7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E-40E3-AD1A-BA8E5B6C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698112"/>
        <c:axId val="27671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12/10/2019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'Sb-Valve'!$E$246:$E$252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200</c:v>
                      </c:pt>
                      <c:pt idx="3">
                        <c:v>150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'Sb-Valve'!$F$246:$F$252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5.2E-7</c:v>
                      </c:pt>
                      <c:pt idx="1">
                        <c:v>4.7599999999999997E-7</c:v>
                      </c:pt>
                      <c:pt idx="2">
                        <c:v>4.2E-7</c:v>
                      </c:pt>
                      <c:pt idx="3">
                        <c:v>3.6199999999999999E-7</c:v>
                      </c:pt>
                      <c:pt idx="4">
                        <c:v>2.8700000000000002E-7</c:v>
                      </c:pt>
                      <c:pt idx="5">
                        <c:v>2.1899999999999999E-7</c:v>
                      </c:pt>
                      <c:pt idx="6">
                        <c:v>1.2100000000000001E-7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4A2-49B9-AA87-03932CD8E95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12/19/2019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'Sb-Valve'!$E$253:$E$259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200</c:v>
                      </c:pt>
                      <c:pt idx="3">
                        <c:v>150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'Sb-Valve'!$F$253:$F$259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5.0999999999999999E-7</c:v>
                      </c:pt>
                      <c:pt idx="1">
                        <c:v>4.6400000000000003E-7</c:v>
                      </c:pt>
                      <c:pt idx="2">
                        <c:v>4.1399999999999997E-7</c:v>
                      </c:pt>
                      <c:pt idx="3">
                        <c:v>3.5499999999999999E-7</c:v>
                      </c:pt>
                      <c:pt idx="4">
                        <c:v>2.9400000000000001E-7</c:v>
                      </c:pt>
                      <c:pt idx="5">
                        <c:v>2.16E-7</c:v>
                      </c:pt>
                      <c:pt idx="6">
                        <c:v>1.1999999999999999E-7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A3C-42E7-8B46-9BB8814DC7C1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1"/>
                  <c:dispEq val="1"/>
                  <c:trendlineLbl>
                    <c:numFmt formatCode="0.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'Sb-Valve'!$E$274:$E$280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200</c:v>
                      </c:pt>
                      <c:pt idx="3">
                        <c:v>150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'Sb-Valve'!$F$274:$F$280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5.1200000000000003E-7</c:v>
                      </c:pt>
                      <c:pt idx="1">
                        <c:v>4.6499999999999999E-7</c:v>
                      </c:pt>
                      <c:pt idx="2">
                        <c:v>4.15E-7</c:v>
                      </c:pt>
                      <c:pt idx="3">
                        <c:v>3.58E-7</c:v>
                      </c:pt>
                      <c:pt idx="4">
                        <c:v>2.9499999999999998E-7</c:v>
                      </c:pt>
                      <c:pt idx="5">
                        <c:v>2.1799999999999999E-7</c:v>
                      </c:pt>
                      <c:pt idx="6">
                        <c:v>1.1999999999999999E-7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A3C-42E7-8B46-9BB8814DC7C1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1"/>
                  <c:dispEq val="1"/>
                  <c:trendlineLbl>
                    <c:numFmt formatCode="0.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'Sb-Valve'!$E$281:$E$287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200</c:v>
                      </c:pt>
                      <c:pt idx="3">
                        <c:v>150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'Sb-Valve'!$F$281:$F$287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5.6700000000000003E-7</c:v>
                      </c:pt>
                      <c:pt idx="1">
                        <c:v>5.1600000000000001E-7</c:v>
                      </c:pt>
                      <c:pt idx="2">
                        <c:v>4.6499999999999999E-7</c:v>
                      </c:pt>
                      <c:pt idx="3">
                        <c:v>3.9799999999999999E-7</c:v>
                      </c:pt>
                      <c:pt idx="4">
                        <c:v>3.2599999999999998E-7</c:v>
                      </c:pt>
                      <c:pt idx="5">
                        <c:v>2.3999999999999998E-7</c:v>
                      </c:pt>
                      <c:pt idx="6">
                        <c:v>1.3300000000000001E-7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A3C-42E7-8B46-9BB8814DC7C1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1"/>
                  <c:dispEq val="1"/>
                  <c:trendlineLbl>
                    <c:numFmt formatCode="0.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'Sb-Valve'!$E$288:$E$294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200</c:v>
                      </c:pt>
                      <c:pt idx="3">
                        <c:v>150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'Sb-Valve'!$F$288:$F$294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5.6599999999999996E-7</c:v>
                      </c:pt>
                      <c:pt idx="1">
                        <c:v>5.1699999999999998E-7</c:v>
                      </c:pt>
                      <c:pt idx="2">
                        <c:v>4.6800000000000001E-7</c:v>
                      </c:pt>
                      <c:pt idx="3">
                        <c:v>3.9999999999999998E-7</c:v>
                      </c:pt>
                      <c:pt idx="4">
                        <c:v>3.3099999999999999E-7</c:v>
                      </c:pt>
                      <c:pt idx="5">
                        <c:v>2.4200000000000002E-7</c:v>
                      </c:pt>
                      <c:pt idx="6">
                        <c:v>1.3400000000000001E-7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3C-42E7-8B46-9BB8814DC7C1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1"/>
                  <c:dispEq val="1"/>
                  <c:trendlineLbl>
                    <c:layout>
                      <c:manualLayout>
                        <c:x val="-0.1195573053368329"/>
                        <c:y val="8.8425925925925929E-3"/>
                      </c:manualLayout>
                    </c:layout>
                    <c:numFmt formatCode="0.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'Sb-Valve'!$E$295:$E$301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200</c:v>
                      </c:pt>
                      <c:pt idx="3">
                        <c:v>150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'Sb-Valve'!$F$295:$F$301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9.3900000000000003E-7</c:v>
                      </c:pt>
                      <c:pt idx="1">
                        <c:v>8.6000000000000002E-7</c:v>
                      </c:pt>
                      <c:pt idx="2">
                        <c:v>7.6499999999999998E-7</c:v>
                      </c:pt>
                      <c:pt idx="3">
                        <c:v>6.6000000000000003E-7</c:v>
                      </c:pt>
                      <c:pt idx="4">
                        <c:v>5.4300000000000003E-7</c:v>
                      </c:pt>
                      <c:pt idx="5">
                        <c:v>3.9999999999999998E-7</c:v>
                      </c:pt>
                      <c:pt idx="6">
                        <c:v>2.23E-7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C8F-49D7-B9D7-89AE3D17A77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2/25/2020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1"/>
                  <c:dispEq val="1"/>
                  <c:trendlineLbl>
                    <c:numFmt formatCode="0.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'Sb-Valve'!$E$302:$E$308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200</c:v>
                      </c:pt>
                      <c:pt idx="3">
                        <c:v>150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'Sb-Valve'!$F$302:$F$308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5.4300000000000003E-7</c:v>
                      </c:pt>
                      <c:pt idx="1">
                        <c:v>4.9599999999999999E-7</c:v>
                      </c:pt>
                      <c:pt idx="2">
                        <c:v>4.4099999999999999E-7</c:v>
                      </c:pt>
                      <c:pt idx="3">
                        <c:v>3.8099999999999998E-7</c:v>
                      </c:pt>
                      <c:pt idx="4">
                        <c:v>3.1399999999999998E-7</c:v>
                      </c:pt>
                      <c:pt idx="5">
                        <c:v>2.2999999999999999E-7</c:v>
                      </c:pt>
                      <c:pt idx="6">
                        <c:v>1.2700000000000001E-7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DC0-43A7-864A-D50A06E3EA9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2/26/2020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1"/>
                  <c:dispEq val="1"/>
                  <c:trendlineLbl>
                    <c:numFmt formatCode="0.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'Sb-Valve'!$E$309:$E$315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200</c:v>
                      </c:pt>
                      <c:pt idx="3">
                        <c:v>150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'Sb-Valve'!$F$309:$F$315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5.3099999999999998E-7</c:v>
                      </c:pt>
                      <c:pt idx="1">
                        <c:v>4.82E-7</c:v>
                      </c:pt>
                      <c:pt idx="2">
                        <c:v>4.27E-7</c:v>
                      </c:pt>
                      <c:pt idx="3">
                        <c:v>3.7E-7</c:v>
                      </c:pt>
                      <c:pt idx="4">
                        <c:v>3.0800000000000001E-7</c:v>
                      </c:pt>
                      <c:pt idx="5">
                        <c:v>2.2499999999999999E-7</c:v>
                      </c:pt>
                      <c:pt idx="6">
                        <c:v>1.24E-7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C0-43A7-864A-D50A06E3EA9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3/10/2020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1"/>
                  <c:dispEq val="1"/>
                  <c:trendlineLbl>
                    <c:layout>
                      <c:manualLayout>
                        <c:x val="-2.6668416447944009E-2"/>
                        <c:y val="-4.590952172645086E-2"/>
                      </c:manualLayout>
                    </c:layout>
                    <c:numFmt formatCode="0.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'Sb-Valve'!$E$316:$E$322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200</c:v>
                      </c:pt>
                      <c:pt idx="3">
                        <c:v>150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'Sb-Valve'!$F$316:$F$322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1.9999999999999999E-7</c:v>
                      </c:pt>
                      <c:pt idx="1">
                        <c:v>1.8099999999999999E-7</c:v>
                      </c:pt>
                      <c:pt idx="2">
                        <c:v>1.6500000000000001E-7</c:v>
                      </c:pt>
                      <c:pt idx="3">
                        <c:v>1.4100000000000001E-7</c:v>
                      </c:pt>
                      <c:pt idx="4">
                        <c:v>1.17E-7</c:v>
                      </c:pt>
                      <c:pt idx="5">
                        <c:v>8.5800000000000001E-8</c:v>
                      </c:pt>
                      <c:pt idx="6">
                        <c:v>4.7799999999999998E-8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347-4267-8297-4E4292F5449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12/21/2020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1"/>
                  <c:dispEq val="1"/>
                  <c:trendlineLbl>
                    <c:layout>
                      <c:manualLayout>
                        <c:x val="-0.21882292251875191"/>
                        <c:y val="8.6782307242353283E-3"/>
                      </c:manualLayout>
                    </c:layout>
                    <c:numFmt formatCode="0.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'Sb-Valve'!$E$323:$E$329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200</c:v>
                      </c:pt>
                      <c:pt idx="3">
                        <c:v>150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'Sb-Valve'!$F$323:$F$329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5.4099999999999999E-7</c:v>
                      </c:pt>
                      <c:pt idx="1">
                        <c:v>4.9100000000000004E-7</c:v>
                      </c:pt>
                      <c:pt idx="2">
                        <c:v>4.3799999999999998E-7</c:v>
                      </c:pt>
                      <c:pt idx="3">
                        <c:v>3.7500000000000001E-7</c:v>
                      </c:pt>
                      <c:pt idx="4">
                        <c:v>3.1100000000000002E-7</c:v>
                      </c:pt>
                      <c:pt idx="5">
                        <c:v>2.2600000000000001E-7</c:v>
                      </c:pt>
                      <c:pt idx="6">
                        <c:v>1.24E-7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E54-4623-8853-1B0641FCF1E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1/15/2020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1"/>
                  <c:dispEq val="1"/>
                  <c:trendlineLbl>
                    <c:layout>
                      <c:manualLayout>
                        <c:x val="-0.17057406971023659"/>
                        <c:y val="-4.2183612755173028E-4"/>
                      </c:manualLayout>
                    </c:layout>
                    <c:numFmt formatCode="0.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'Sb-Valve'!$E$330:$E$336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200</c:v>
                      </c:pt>
                      <c:pt idx="3">
                        <c:v>150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'Sb-Valve'!$F$330:$F$336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5.2799999999999996E-7</c:v>
                      </c:pt>
                      <c:pt idx="1">
                        <c:v>4.7800000000000002E-7</c:v>
                      </c:pt>
                      <c:pt idx="2">
                        <c:v>4.2500000000000001E-7</c:v>
                      </c:pt>
                      <c:pt idx="3">
                        <c:v>3.6899999999999998E-7</c:v>
                      </c:pt>
                      <c:pt idx="4">
                        <c:v>3.0400000000000002E-7</c:v>
                      </c:pt>
                      <c:pt idx="5">
                        <c:v>2.2000000000000001E-7</c:v>
                      </c:pt>
                      <c:pt idx="6">
                        <c:v>1.1899999999999999E-7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3BD-4B51-B3D4-EA243F20A235}"/>
                  </c:ext>
                </c:extLst>
              </c15:ser>
            </c15:filteredScatterSeries>
          </c:ext>
        </c:extLst>
      </c:scatterChart>
      <c:valAx>
        <c:axId val="2766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12544"/>
        <c:crosses val="autoZero"/>
        <c:crossBetween val="midCat"/>
      </c:valAx>
      <c:valAx>
        <c:axId val="2767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9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Tsub v Tbb w Ln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34262388080086E-2"/>
          <c:y val="0.16540424302161402"/>
          <c:w val="0.86458475375837285"/>
          <c:h val="0.7311422139461323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9023547139384503E-2"/>
                  <c:y val="0.50463433458460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'Sb-Valve'!$K$45:$K$58</c:f>
              <c:numCache>
                <c:formatCode>General</c:formatCode>
                <c:ptCount val="14"/>
                <c:pt idx="2">
                  <c:v>541</c:v>
                </c:pt>
                <c:pt idx="3">
                  <c:v>520</c:v>
                </c:pt>
                <c:pt idx="4">
                  <c:v>510</c:v>
                </c:pt>
                <c:pt idx="5">
                  <c:v>500</c:v>
                </c:pt>
                <c:pt idx="6">
                  <c:v>480</c:v>
                </c:pt>
              </c:numCache>
            </c:numRef>
          </c:xVal>
          <c:yVal>
            <c:numRef>
              <c:f>'Sb-Valve'!$N$45:$N$58</c:f>
              <c:numCache>
                <c:formatCode>General</c:formatCode>
                <c:ptCount val="14"/>
                <c:pt idx="2">
                  <c:v>487</c:v>
                </c:pt>
                <c:pt idx="3">
                  <c:v>467</c:v>
                </c:pt>
                <c:pt idx="4">
                  <c:v>458</c:v>
                </c:pt>
                <c:pt idx="5">
                  <c:v>449</c:v>
                </c:pt>
                <c:pt idx="6">
                  <c:v>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6-4FAF-9C60-5061345E1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33040"/>
        <c:axId val="275945816"/>
      </c:scatterChart>
      <c:valAx>
        <c:axId val="33413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45816"/>
        <c:crosses val="autoZero"/>
        <c:crossBetween val="midCat"/>
      </c:valAx>
      <c:valAx>
        <c:axId val="27594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3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Bake</a:t>
            </a:r>
            <a:r>
              <a:rPr lang="en-US" baseline="0"/>
              <a:t> Sb Flux vs. Vavle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10"/>
          <c:tx>
            <c:v>6/7/2021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6764657226693069"/>
                  <c:y val="-4.0892172029038807E-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'Sb-Valve'!$E$372:$E$378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'Sb-Valve'!$F$372:$F$378</c:f>
              <c:numCache>
                <c:formatCode>0.00E+00</c:formatCode>
                <c:ptCount val="7"/>
                <c:pt idx="0">
                  <c:v>1.5900000000000001E-7</c:v>
                </c:pt>
                <c:pt idx="1">
                  <c:v>1.4499999999999999E-7</c:v>
                </c:pt>
                <c:pt idx="2">
                  <c:v>1.29E-7</c:v>
                </c:pt>
                <c:pt idx="3">
                  <c:v>1.12E-7</c:v>
                </c:pt>
                <c:pt idx="4">
                  <c:v>9.3299999999999995E-8</c:v>
                </c:pt>
                <c:pt idx="5">
                  <c:v>6.7399999999999995E-8</c:v>
                </c:pt>
                <c:pt idx="6">
                  <c:v>3.6799999999999999E-8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B-4A1F-B6AF-83E5B6182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698112"/>
        <c:axId val="27671254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v>2/25/2020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1"/>
                  <c:dispEq val="1"/>
                  <c:trendlineLbl>
                    <c:numFmt formatCode="0.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'Sb-Valve'!$E$302:$E$308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200</c:v>
                      </c:pt>
                      <c:pt idx="3">
                        <c:v>150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'Sb-Valve'!$F$302:$F$308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5.4300000000000003E-7</c:v>
                      </c:pt>
                      <c:pt idx="1">
                        <c:v>4.9599999999999999E-7</c:v>
                      </c:pt>
                      <c:pt idx="2">
                        <c:v>4.4099999999999999E-7</c:v>
                      </c:pt>
                      <c:pt idx="3">
                        <c:v>3.8099999999999998E-7</c:v>
                      </c:pt>
                      <c:pt idx="4">
                        <c:v>3.1399999999999998E-7</c:v>
                      </c:pt>
                      <c:pt idx="5">
                        <c:v>2.2999999999999999E-7</c:v>
                      </c:pt>
                      <c:pt idx="6">
                        <c:v>1.2700000000000001E-7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02CC-40D7-B504-3CBD18B9753C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v>2/26/2020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1"/>
                  <c:dispEq val="1"/>
                  <c:trendlineLbl>
                    <c:numFmt formatCode="0.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'Sb-Valve'!$E$309:$E$315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200</c:v>
                      </c:pt>
                      <c:pt idx="3">
                        <c:v>150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'Sb-Valve'!$F$309:$F$315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5.3099999999999998E-7</c:v>
                      </c:pt>
                      <c:pt idx="1">
                        <c:v>4.82E-7</c:v>
                      </c:pt>
                      <c:pt idx="2">
                        <c:v>4.27E-7</c:v>
                      </c:pt>
                      <c:pt idx="3">
                        <c:v>3.7E-7</c:v>
                      </c:pt>
                      <c:pt idx="4">
                        <c:v>3.0800000000000001E-7</c:v>
                      </c:pt>
                      <c:pt idx="5">
                        <c:v>2.2499999999999999E-7</c:v>
                      </c:pt>
                      <c:pt idx="6">
                        <c:v>1.24E-7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2CC-40D7-B504-3CBD18B9753C}"/>
                  </c:ext>
                </c:extLst>
              </c15:ser>
            </c15:filteredScatterSeries>
            <c15:filteredScatterSeries>
              <c15:ser>
                <c:idx val="8"/>
                <c:order val="2"/>
                <c:tx>
                  <c:v>3/10/2020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1"/>
                  <c:dispEq val="1"/>
                  <c:trendlineLbl>
                    <c:layout>
                      <c:manualLayout>
                        <c:x val="-2.6668416447944009E-2"/>
                        <c:y val="-4.590952172645086E-2"/>
                      </c:manualLayout>
                    </c:layout>
                    <c:numFmt formatCode="0.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'Sb-Valve'!$E$316:$E$322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200</c:v>
                      </c:pt>
                      <c:pt idx="3">
                        <c:v>150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'Sb-Valve'!$F$316:$F$322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1.9999999999999999E-7</c:v>
                      </c:pt>
                      <c:pt idx="1">
                        <c:v>1.8099999999999999E-7</c:v>
                      </c:pt>
                      <c:pt idx="2">
                        <c:v>1.6500000000000001E-7</c:v>
                      </c:pt>
                      <c:pt idx="3">
                        <c:v>1.4100000000000001E-7</c:v>
                      </c:pt>
                      <c:pt idx="4">
                        <c:v>1.17E-7</c:v>
                      </c:pt>
                      <c:pt idx="5">
                        <c:v>8.5800000000000001E-8</c:v>
                      </c:pt>
                      <c:pt idx="6">
                        <c:v>4.7799999999999998E-8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2CC-40D7-B504-3CBD18B9753C}"/>
                  </c:ext>
                </c:extLst>
              </c15:ser>
            </c15:filteredScatterSeries>
            <c15:filteredScatterSeries>
              <c15:ser>
                <c:idx val="9"/>
                <c:order val="3"/>
                <c:tx>
                  <c:v>12/21/2020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1"/>
                  <c:dispEq val="1"/>
                  <c:trendlineLbl>
                    <c:layout>
                      <c:manualLayout>
                        <c:x val="-0.21882292251875191"/>
                        <c:y val="8.6782307242353283E-3"/>
                      </c:manualLayout>
                    </c:layout>
                    <c:numFmt formatCode="0.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'Sb-Valve'!$E$323:$E$329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200</c:v>
                      </c:pt>
                      <c:pt idx="3">
                        <c:v>150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'Sb-Valve'!$F$323:$F$329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5.4099999999999999E-7</c:v>
                      </c:pt>
                      <c:pt idx="1">
                        <c:v>4.9100000000000004E-7</c:v>
                      </c:pt>
                      <c:pt idx="2">
                        <c:v>4.3799999999999998E-7</c:v>
                      </c:pt>
                      <c:pt idx="3">
                        <c:v>3.7500000000000001E-7</c:v>
                      </c:pt>
                      <c:pt idx="4">
                        <c:v>3.1100000000000002E-7</c:v>
                      </c:pt>
                      <c:pt idx="5">
                        <c:v>2.2600000000000001E-7</c:v>
                      </c:pt>
                      <c:pt idx="6">
                        <c:v>1.24E-7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2CC-40D7-B504-3CBD18B9753C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v>1/15/2020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1"/>
                  <c:dispEq val="1"/>
                  <c:trendlineLbl>
                    <c:layout>
                      <c:manualLayout>
                        <c:x val="-0.17057406971023659"/>
                        <c:y val="-4.2183612755173028E-4"/>
                      </c:manualLayout>
                    </c:layout>
                    <c:numFmt formatCode="0.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'Sb-Valve'!$E$330:$E$336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200</c:v>
                      </c:pt>
                      <c:pt idx="3">
                        <c:v>150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'Sb-Valve'!$F$330:$F$336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5.2799999999999996E-7</c:v>
                      </c:pt>
                      <c:pt idx="1">
                        <c:v>4.7800000000000002E-7</c:v>
                      </c:pt>
                      <c:pt idx="2">
                        <c:v>4.2500000000000001E-7</c:v>
                      </c:pt>
                      <c:pt idx="3">
                        <c:v>3.6899999999999998E-7</c:v>
                      </c:pt>
                      <c:pt idx="4">
                        <c:v>3.0400000000000002E-7</c:v>
                      </c:pt>
                      <c:pt idx="5">
                        <c:v>2.2000000000000001E-7</c:v>
                      </c:pt>
                      <c:pt idx="6">
                        <c:v>1.1899999999999999E-7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2CC-40D7-B504-3CBD18B9753C}"/>
                  </c:ext>
                </c:extLst>
              </c15:ser>
            </c15:filteredScatterSeries>
            <c15:filteredScatterSeries>
              <c15:ser>
                <c:idx val="11"/>
                <c:order val="5"/>
                <c:tx>
                  <c:v>1/29/2021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1"/>
                  <c:dispEq val="1"/>
                  <c:trendlineLbl>
                    <c:layout>
                      <c:manualLayout>
                        <c:x val="-5.916088917552411E-2"/>
                        <c:y val="-7.4734747007196311E-4"/>
                      </c:manualLayout>
                    </c:layout>
                    <c:numFmt formatCode="0.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'Sb-Valve'!$E$337:$E$343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200</c:v>
                      </c:pt>
                      <c:pt idx="3">
                        <c:v>150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'Sb-Valve'!$F$337:$F$343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5.1900000000000003E-7</c:v>
                      </c:pt>
                      <c:pt idx="1">
                        <c:v>4.7300000000000001E-7</c:v>
                      </c:pt>
                      <c:pt idx="2">
                        <c:v>4.2300000000000002E-7</c:v>
                      </c:pt>
                      <c:pt idx="3">
                        <c:v>3.6300000000000001E-7</c:v>
                      </c:pt>
                      <c:pt idx="4">
                        <c:v>2.9900000000000002E-7</c:v>
                      </c:pt>
                      <c:pt idx="5">
                        <c:v>2.1799999999999999E-7</c:v>
                      </c:pt>
                      <c:pt idx="6">
                        <c:v>1.18E-7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2CC-40D7-B504-3CBD18B9753C}"/>
                  </c:ext>
                </c:extLst>
              </c15:ser>
            </c15:filteredScatterSeries>
            <c15:filteredScatterSeries>
              <c15:ser>
                <c:idx val="0"/>
                <c:order val="6"/>
                <c:tx>
                  <c:v>2/16/2021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1"/>
                  <c:dispEq val="1"/>
                  <c:trendlineLbl>
                    <c:layout>
                      <c:manualLayout>
                        <c:x val="-0.14579225010025343"/>
                        <c:y val="4.2652319563563842E-3"/>
                      </c:manualLayout>
                    </c:layout>
                    <c:numFmt formatCode="0.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'Sb-Valve'!$E$344:$E$350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200</c:v>
                      </c:pt>
                      <c:pt idx="3">
                        <c:v>150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'Sb-Valve'!$F$344:$F$350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1.6500000000000001E-7</c:v>
                      </c:pt>
                      <c:pt idx="1">
                        <c:v>1.49E-7</c:v>
                      </c:pt>
                      <c:pt idx="2">
                        <c:v>1.3400000000000001E-7</c:v>
                      </c:pt>
                      <c:pt idx="3">
                        <c:v>1.1600000000000001E-7</c:v>
                      </c:pt>
                      <c:pt idx="4">
                        <c:v>9.5599999999999996E-8</c:v>
                      </c:pt>
                      <c:pt idx="5">
                        <c:v>7.0000000000000005E-8</c:v>
                      </c:pt>
                      <c:pt idx="6">
                        <c:v>3.8000000000000003E-8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2CC-40D7-B504-3CBD18B9753C}"/>
                  </c:ext>
                </c:extLst>
              </c15:ser>
            </c15:filteredScatterSeries>
            <c15:filteredScatterSeries>
              <c15:ser>
                <c:idx val="1"/>
                <c:order val="7"/>
                <c:tx>
                  <c:v>3/19/2021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1"/>
                  <c:dispEq val="1"/>
                  <c:trendlineLbl>
                    <c:numFmt formatCode="0.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'Sb-Valve'!$E$351:$E$357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200</c:v>
                      </c:pt>
                      <c:pt idx="3">
                        <c:v>150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'Sb-Valve'!$F$351:$F$357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1.6400000000000001E-7</c:v>
                      </c:pt>
                      <c:pt idx="1">
                        <c:v>1.49E-7</c:v>
                      </c:pt>
                      <c:pt idx="2">
                        <c:v>1.3300000000000001E-7</c:v>
                      </c:pt>
                      <c:pt idx="3">
                        <c:v>1.1600000000000001E-7</c:v>
                      </c:pt>
                      <c:pt idx="4">
                        <c:v>9.5000000000000004E-8</c:v>
                      </c:pt>
                      <c:pt idx="5">
                        <c:v>6.8E-8</c:v>
                      </c:pt>
                      <c:pt idx="6">
                        <c:v>3.7300000000000003E-8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2CC-40D7-B504-3CBD18B9753C}"/>
                  </c:ext>
                </c:extLst>
              </c15:ser>
            </c15:filteredScatterSeries>
            <c15:filteredScatterSeries>
              <c15:ser>
                <c:idx val="2"/>
                <c:order val="8"/>
                <c:tx>
                  <c:v>4/22/2021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1"/>
                  <c:dispEq val="1"/>
                  <c:trendlineLbl>
                    <c:numFmt formatCode="0.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'Sb-Valve'!$E$358:$E$364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200</c:v>
                      </c:pt>
                      <c:pt idx="3">
                        <c:v>150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'Sb-Valve'!$F$358:$F$364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1.6299999999999999E-7</c:v>
                      </c:pt>
                      <c:pt idx="1">
                        <c:v>1.48E-7</c:v>
                      </c:pt>
                      <c:pt idx="2">
                        <c:v>1.3400000000000001E-7</c:v>
                      </c:pt>
                      <c:pt idx="3">
                        <c:v>1.1600000000000001E-7</c:v>
                      </c:pt>
                      <c:pt idx="4">
                        <c:v>9.5999999999999999E-8</c:v>
                      </c:pt>
                      <c:pt idx="5">
                        <c:v>6.9399999999999999E-8</c:v>
                      </c:pt>
                      <c:pt idx="6">
                        <c:v>3.7800000000000001E-8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03-40AE-A407-F35F15D172BC}"/>
                  </c:ext>
                </c:extLst>
              </c15:ser>
            </c15:filteredScatterSeries>
            <c15:filteredScatterSeries>
              <c15:ser>
                <c:idx val="3"/>
                <c:order val="9"/>
                <c:tx>
                  <c:v>4/29/2021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dispRSqr val="1"/>
                  <c:dispEq val="1"/>
                  <c:trendlineLbl>
                    <c:numFmt formatCode="0.00E+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'Sb-Valve'!$E$365:$E$371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200</c:v>
                      </c:pt>
                      <c:pt idx="3">
                        <c:v>150</c:v>
                      </c:pt>
                      <c:pt idx="4">
                        <c:v>100</c:v>
                      </c:pt>
                      <c:pt idx="5">
                        <c:v>50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'Sb-Valve'!$F$365:$F$371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1.5900000000000001E-7</c:v>
                      </c:pt>
                      <c:pt idx="1">
                        <c:v>1.4499999999999999E-7</c:v>
                      </c:pt>
                      <c:pt idx="2">
                        <c:v>1.31E-7</c:v>
                      </c:pt>
                      <c:pt idx="3">
                        <c:v>1.1300000000000001E-7</c:v>
                      </c:pt>
                      <c:pt idx="4">
                        <c:v>9.2999999999999999E-8</c:v>
                      </c:pt>
                      <c:pt idx="5">
                        <c:v>6.7599999999999997E-8</c:v>
                      </c:pt>
                      <c:pt idx="6">
                        <c:v>3.7E-8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147-43E6-81ED-5F03BB99059B}"/>
                  </c:ext>
                </c:extLst>
              </c15:ser>
            </c15:filteredScatterSeries>
          </c:ext>
        </c:extLst>
      </c:scatterChart>
      <c:valAx>
        <c:axId val="2766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12544"/>
        <c:crosses val="autoZero"/>
        <c:crossBetween val="midCat"/>
      </c:valAx>
      <c:valAx>
        <c:axId val="2767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9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Bake</a:t>
            </a:r>
            <a:r>
              <a:rPr lang="en-US" baseline="0"/>
              <a:t> Sb Flux vs. Vavle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20988816021032"/>
          <c:y val="0.1687452197696892"/>
          <c:w val="0.82632375561687355"/>
          <c:h val="0.725711593816105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'Sb-Valve'!$E$435:$E$441</c:f>
              <c:numCache>
                <c:formatCode>General</c:formatCode>
                <c:ptCount val="7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xVal>
          <c:yVal>
            <c:numRef>
              <c:f>'Sb-Valve'!$F$435:$F$441</c:f>
              <c:numCache>
                <c:formatCode>0.00E+00</c:formatCode>
                <c:ptCount val="7"/>
                <c:pt idx="0">
                  <c:v>1.5900000000000001E-7</c:v>
                </c:pt>
                <c:pt idx="1">
                  <c:v>1.4600000000000001E-7</c:v>
                </c:pt>
                <c:pt idx="2">
                  <c:v>1.3E-7</c:v>
                </c:pt>
                <c:pt idx="3">
                  <c:v>1.12E-7</c:v>
                </c:pt>
                <c:pt idx="4">
                  <c:v>9.2999999999999999E-8</c:v>
                </c:pt>
                <c:pt idx="5">
                  <c:v>6.7599999999999997E-8</c:v>
                </c:pt>
                <c:pt idx="6">
                  <c:v>3.6699999999999998E-8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08-4BF4-A3FF-BFC488A7B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698112"/>
        <c:axId val="276712544"/>
        <c:extLst/>
      </c:scatterChart>
      <c:valAx>
        <c:axId val="2766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12544"/>
        <c:crosses val="autoZero"/>
        <c:crossBetween val="midCat"/>
      </c:valAx>
      <c:valAx>
        <c:axId val="2767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9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Tsub v Tbb_prev w Ln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backward val="200"/>
            <c:dispRSqr val="1"/>
            <c:dispEq val="1"/>
            <c:trendlineLbl>
              <c:layout>
                <c:manualLayout>
                  <c:x val="-0.4112823020954236"/>
                  <c:y val="-5.69206754328004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'Sb-Valve'!$L$45:$L$54</c:f>
              <c:numCache>
                <c:formatCode>General</c:formatCode>
                <c:ptCount val="10"/>
                <c:pt idx="2">
                  <c:v>490</c:v>
                </c:pt>
                <c:pt idx="3">
                  <c:v>500</c:v>
                </c:pt>
                <c:pt idx="4">
                  <c:v>475</c:v>
                </c:pt>
                <c:pt idx="5">
                  <c:v>515</c:v>
                </c:pt>
                <c:pt idx="6">
                  <c:v>540</c:v>
                </c:pt>
                <c:pt idx="7">
                  <c:v>575</c:v>
                </c:pt>
              </c:numCache>
            </c:numRef>
          </c:xVal>
          <c:yVal>
            <c:numRef>
              <c:f>'Sb-Valve'!$O$45:$O$56</c:f>
              <c:numCache>
                <c:formatCode>General</c:formatCode>
                <c:ptCount val="12"/>
                <c:pt idx="2">
                  <c:v>446</c:v>
                </c:pt>
                <c:pt idx="3">
                  <c:v>423</c:v>
                </c:pt>
                <c:pt idx="4">
                  <c:v>399</c:v>
                </c:pt>
                <c:pt idx="5">
                  <c:v>441</c:v>
                </c:pt>
                <c:pt idx="6">
                  <c:v>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0-467B-8D80-7124779EC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33040"/>
        <c:axId val="275945816"/>
      </c:scatterChart>
      <c:valAx>
        <c:axId val="33413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45816"/>
        <c:crosses val="autoZero"/>
        <c:crossBetween val="midCat"/>
      </c:valAx>
      <c:valAx>
        <c:axId val="27594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3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8.xml"/><Relationship Id="rId13" Type="http://schemas.openxmlformats.org/officeDocument/2006/relationships/chart" Target="../charts/chart103.xml"/><Relationship Id="rId18" Type="http://schemas.openxmlformats.org/officeDocument/2006/relationships/chart" Target="../charts/chart108.xml"/><Relationship Id="rId3" Type="http://schemas.openxmlformats.org/officeDocument/2006/relationships/chart" Target="../charts/chart93.xml"/><Relationship Id="rId21" Type="http://schemas.openxmlformats.org/officeDocument/2006/relationships/chart" Target="../charts/chart111.xml"/><Relationship Id="rId7" Type="http://schemas.openxmlformats.org/officeDocument/2006/relationships/chart" Target="../charts/chart97.xml"/><Relationship Id="rId12" Type="http://schemas.openxmlformats.org/officeDocument/2006/relationships/chart" Target="../charts/chart102.xml"/><Relationship Id="rId17" Type="http://schemas.openxmlformats.org/officeDocument/2006/relationships/chart" Target="../charts/chart107.xml"/><Relationship Id="rId2" Type="http://schemas.openxmlformats.org/officeDocument/2006/relationships/chart" Target="../charts/chart92.xml"/><Relationship Id="rId16" Type="http://schemas.openxmlformats.org/officeDocument/2006/relationships/chart" Target="../charts/chart106.xml"/><Relationship Id="rId20" Type="http://schemas.openxmlformats.org/officeDocument/2006/relationships/chart" Target="../charts/chart110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11" Type="http://schemas.openxmlformats.org/officeDocument/2006/relationships/chart" Target="../charts/chart101.xml"/><Relationship Id="rId5" Type="http://schemas.openxmlformats.org/officeDocument/2006/relationships/chart" Target="../charts/chart95.xml"/><Relationship Id="rId15" Type="http://schemas.openxmlformats.org/officeDocument/2006/relationships/chart" Target="../charts/chart105.xml"/><Relationship Id="rId23" Type="http://schemas.openxmlformats.org/officeDocument/2006/relationships/chart" Target="../charts/chart113.xml"/><Relationship Id="rId10" Type="http://schemas.openxmlformats.org/officeDocument/2006/relationships/chart" Target="../charts/chart100.xml"/><Relationship Id="rId19" Type="http://schemas.openxmlformats.org/officeDocument/2006/relationships/chart" Target="../charts/chart109.xml"/><Relationship Id="rId4" Type="http://schemas.openxmlformats.org/officeDocument/2006/relationships/chart" Target="../charts/chart94.xml"/><Relationship Id="rId9" Type="http://schemas.openxmlformats.org/officeDocument/2006/relationships/chart" Target="../charts/chart99.xml"/><Relationship Id="rId14" Type="http://schemas.openxmlformats.org/officeDocument/2006/relationships/chart" Target="../charts/chart104.xml"/><Relationship Id="rId22" Type="http://schemas.openxmlformats.org/officeDocument/2006/relationships/chart" Target="../charts/chart11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13" Type="http://schemas.openxmlformats.org/officeDocument/2006/relationships/chart" Target="../charts/chart71.xml"/><Relationship Id="rId18" Type="http://schemas.openxmlformats.org/officeDocument/2006/relationships/chart" Target="../charts/chart76.xml"/><Relationship Id="rId26" Type="http://schemas.openxmlformats.org/officeDocument/2006/relationships/chart" Target="../charts/chart84.xml"/><Relationship Id="rId3" Type="http://schemas.openxmlformats.org/officeDocument/2006/relationships/chart" Target="../charts/chart61.xml"/><Relationship Id="rId21" Type="http://schemas.openxmlformats.org/officeDocument/2006/relationships/chart" Target="../charts/chart79.xml"/><Relationship Id="rId7" Type="http://schemas.openxmlformats.org/officeDocument/2006/relationships/chart" Target="../charts/chart65.xml"/><Relationship Id="rId12" Type="http://schemas.openxmlformats.org/officeDocument/2006/relationships/chart" Target="../charts/chart70.xml"/><Relationship Id="rId17" Type="http://schemas.openxmlformats.org/officeDocument/2006/relationships/chart" Target="../charts/chart75.xml"/><Relationship Id="rId25" Type="http://schemas.openxmlformats.org/officeDocument/2006/relationships/chart" Target="../charts/chart83.xml"/><Relationship Id="rId2" Type="http://schemas.openxmlformats.org/officeDocument/2006/relationships/chart" Target="../charts/chart60.xml"/><Relationship Id="rId16" Type="http://schemas.openxmlformats.org/officeDocument/2006/relationships/chart" Target="../charts/chart74.xml"/><Relationship Id="rId20" Type="http://schemas.openxmlformats.org/officeDocument/2006/relationships/chart" Target="../charts/chart78.xml"/><Relationship Id="rId29" Type="http://schemas.openxmlformats.org/officeDocument/2006/relationships/chart" Target="../charts/chart87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24" Type="http://schemas.openxmlformats.org/officeDocument/2006/relationships/chart" Target="../charts/chart82.xml"/><Relationship Id="rId32" Type="http://schemas.openxmlformats.org/officeDocument/2006/relationships/chart" Target="../charts/chart90.xml"/><Relationship Id="rId5" Type="http://schemas.openxmlformats.org/officeDocument/2006/relationships/chart" Target="../charts/chart63.xml"/><Relationship Id="rId15" Type="http://schemas.openxmlformats.org/officeDocument/2006/relationships/chart" Target="../charts/chart73.xml"/><Relationship Id="rId23" Type="http://schemas.openxmlformats.org/officeDocument/2006/relationships/chart" Target="../charts/chart81.xml"/><Relationship Id="rId28" Type="http://schemas.openxmlformats.org/officeDocument/2006/relationships/chart" Target="../charts/chart86.xml"/><Relationship Id="rId10" Type="http://schemas.openxmlformats.org/officeDocument/2006/relationships/chart" Target="../charts/chart68.xml"/><Relationship Id="rId19" Type="http://schemas.openxmlformats.org/officeDocument/2006/relationships/chart" Target="../charts/chart77.xml"/><Relationship Id="rId31" Type="http://schemas.openxmlformats.org/officeDocument/2006/relationships/chart" Target="../charts/chart89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Relationship Id="rId14" Type="http://schemas.openxmlformats.org/officeDocument/2006/relationships/chart" Target="../charts/chart72.xml"/><Relationship Id="rId22" Type="http://schemas.openxmlformats.org/officeDocument/2006/relationships/chart" Target="../charts/chart80.xml"/><Relationship Id="rId27" Type="http://schemas.openxmlformats.org/officeDocument/2006/relationships/chart" Target="../charts/chart85.xml"/><Relationship Id="rId30" Type="http://schemas.openxmlformats.org/officeDocument/2006/relationships/chart" Target="../charts/chart8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150785</xdr:colOff>
      <xdr:row>1</xdr:row>
      <xdr:rowOff>103533</xdr:rowOff>
    </xdr:from>
    <xdr:to>
      <xdr:col>16</xdr:col>
      <xdr:colOff>188886</xdr:colOff>
      <xdr:row>12</xdr:row>
      <xdr:rowOff>182372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303695</xdr:colOff>
      <xdr:row>1</xdr:row>
      <xdr:rowOff>124238</xdr:rowOff>
    </xdr:from>
    <xdr:to>
      <xdr:col>23</xdr:col>
      <xdr:colOff>634999</xdr:colOff>
      <xdr:row>13</xdr:row>
      <xdr:rowOff>27609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130</xdr:row>
      <xdr:rowOff>0</xdr:rowOff>
    </xdr:from>
    <xdr:to>
      <xdr:col>17</xdr:col>
      <xdr:colOff>397014</xdr:colOff>
      <xdr:row>141</xdr:row>
      <xdr:rowOff>78838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511823</xdr:colOff>
      <xdr:row>130</xdr:row>
      <xdr:rowOff>20705</xdr:rowOff>
    </xdr:from>
    <xdr:to>
      <xdr:col>24</xdr:col>
      <xdr:colOff>677475</xdr:colOff>
      <xdr:row>141</xdr:row>
      <xdr:rowOff>117336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23592</xdr:colOff>
      <xdr:row>147</xdr:row>
      <xdr:rowOff>25902</xdr:rowOff>
    </xdr:from>
    <xdr:to>
      <xdr:col>22</xdr:col>
      <xdr:colOff>273577</xdr:colOff>
      <xdr:row>165</xdr:row>
      <xdr:rowOff>17067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127000</xdr:colOff>
      <xdr:row>188</xdr:row>
      <xdr:rowOff>49212</xdr:rowOff>
    </xdr:from>
    <xdr:to>
      <xdr:col>22</xdr:col>
      <xdr:colOff>111125</xdr:colOff>
      <xdr:row>214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256886</xdr:colOff>
      <xdr:row>226</xdr:row>
      <xdr:rowOff>17318</xdr:rowOff>
    </xdr:from>
    <xdr:to>
      <xdr:col>21</xdr:col>
      <xdr:colOff>18761</xdr:colOff>
      <xdr:row>251</xdr:row>
      <xdr:rowOff>180832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138546</xdr:colOff>
      <xdr:row>253</xdr:row>
      <xdr:rowOff>121227</xdr:rowOff>
    </xdr:from>
    <xdr:to>
      <xdr:col>20</xdr:col>
      <xdr:colOff>1026103</xdr:colOff>
      <xdr:row>279</xdr:row>
      <xdr:rowOff>94240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</xdr:row>
      <xdr:rowOff>57150</xdr:rowOff>
    </xdr:from>
    <xdr:to>
      <xdr:col>16</xdr:col>
      <xdr:colOff>187813</xdr:colOff>
      <xdr:row>14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285749</xdr:colOff>
      <xdr:row>17</xdr:row>
      <xdr:rowOff>190499</xdr:rowOff>
    </xdr:from>
    <xdr:to>
      <xdr:col>20</xdr:col>
      <xdr:colOff>190499</xdr:colOff>
      <xdr:row>33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473344</xdr:colOff>
      <xdr:row>1</xdr:row>
      <xdr:rowOff>105538</xdr:rowOff>
    </xdr:from>
    <xdr:to>
      <xdr:col>25</xdr:col>
      <xdr:colOff>422767</xdr:colOff>
      <xdr:row>15</xdr:row>
      <xdr:rowOff>24855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316965</xdr:colOff>
      <xdr:row>215</xdr:row>
      <xdr:rowOff>111579</xdr:rowOff>
    </xdr:from>
    <xdr:to>
      <xdr:col>13</xdr:col>
      <xdr:colOff>36818</xdr:colOff>
      <xdr:row>229</xdr:row>
      <xdr:rowOff>33298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404612</xdr:colOff>
      <xdr:row>305</xdr:row>
      <xdr:rowOff>20730</xdr:rowOff>
    </xdr:from>
    <xdr:to>
      <xdr:col>13</xdr:col>
      <xdr:colOff>132469</xdr:colOff>
      <xdr:row>318</xdr:row>
      <xdr:rowOff>108136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785139</xdr:colOff>
      <xdr:row>68</xdr:row>
      <xdr:rowOff>77348</xdr:rowOff>
    </xdr:from>
    <xdr:to>
      <xdr:col>14</xdr:col>
      <xdr:colOff>643539</xdr:colOff>
      <xdr:row>82</xdr:row>
      <xdr:rowOff>67677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683558</xdr:colOff>
      <xdr:row>332</xdr:row>
      <xdr:rowOff>190500</xdr:rowOff>
    </xdr:from>
    <xdr:to>
      <xdr:col>13</xdr:col>
      <xdr:colOff>411415</xdr:colOff>
      <xdr:row>346</xdr:row>
      <xdr:rowOff>76201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78442</xdr:colOff>
      <xdr:row>401</xdr:row>
      <xdr:rowOff>123265</xdr:rowOff>
    </xdr:from>
    <xdr:to>
      <xdr:col>14</xdr:col>
      <xdr:colOff>119264</xdr:colOff>
      <xdr:row>415</xdr:row>
      <xdr:rowOff>11368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757197</xdr:colOff>
      <xdr:row>83</xdr:row>
      <xdr:rowOff>21464</xdr:rowOff>
    </xdr:from>
    <xdr:to>
      <xdr:col>14</xdr:col>
      <xdr:colOff>647176</xdr:colOff>
      <xdr:row>97</xdr:row>
      <xdr:rowOff>7711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38221</xdr:colOff>
      <xdr:row>532</xdr:row>
      <xdr:rowOff>88966</xdr:rowOff>
    </xdr:from>
    <xdr:to>
      <xdr:col>13</xdr:col>
      <xdr:colOff>698167</xdr:colOff>
      <xdr:row>545</xdr:row>
      <xdr:rowOff>176374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996432</xdr:colOff>
      <xdr:row>615</xdr:row>
      <xdr:rowOff>128612</xdr:rowOff>
    </xdr:from>
    <xdr:to>
      <xdr:col>15</xdr:col>
      <xdr:colOff>223226</xdr:colOff>
      <xdr:row>639</xdr:row>
      <xdr:rowOff>159990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1062849</xdr:colOff>
      <xdr:row>645</xdr:row>
      <xdr:rowOff>93395</xdr:rowOff>
    </xdr:from>
    <xdr:to>
      <xdr:col>15</xdr:col>
      <xdr:colOff>568189</xdr:colOff>
      <xdr:row>670</xdr:row>
      <xdr:rowOff>171704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717178</xdr:colOff>
      <xdr:row>693</xdr:row>
      <xdr:rowOff>33618</xdr:rowOff>
    </xdr:from>
    <xdr:to>
      <xdr:col>14</xdr:col>
      <xdr:colOff>683560</xdr:colOff>
      <xdr:row>716</xdr:row>
      <xdr:rowOff>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1154206</xdr:colOff>
      <xdr:row>727</xdr:row>
      <xdr:rowOff>134472</xdr:rowOff>
    </xdr:from>
    <xdr:to>
      <xdr:col>14</xdr:col>
      <xdr:colOff>593911</xdr:colOff>
      <xdr:row>748</xdr:row>
      <xdr:rowOff>145678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44841</xdr:colOff>
      <xdr:row>820</xdr:row>
      <xdr:rowOff>164212</xdr:rowOff>
    </xdr:from>
    <xdr:to>
      <xdr:col>16</xdr:col>
      <xdr:colOff>722249</xdr:colOff>
      <xdr:row>846</xdr:row>
      <xdr:rowOff>38415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997761</xdr:colOff>
      <xdr:row>68</xdr:row>
      <xdr:rowOff>138546</xdr:rowOff>
    </xdr:from>
    <xdr:to>
      <xdr:col>20</xdr:col>
      <xdr:colOff>24887</xdr:colOff>
      <xdr:row>82</xdr:row>
      <xdr:rowOff>128875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969819</xdr:colOff>
      <xdr:row>83</xdr:row>
      <xdr:rowOff>28233</xdr:rowOff>
    </xdr:from>
    <xdr:to>
      <xdr:col>20</xdr:col>
      <xdr:colOff>28524</xdr:colOff>
      <xdr:row>97</xdr:row>
      <xdr:rowOff>14480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494805</xdr:colOff>
      <xdr:row>804</xdr:row>
      <xdr:rowOff>123083</xdr:rowOff>
    </xdr:from>
    <xdr:to>
      <xdr:col>16</xdr:col>
      <xdr:colOff>392587</xdr:colOff>
      <xdr:row>829</xdr:row>
      <xdr:rowOff>187785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1038225</xdr:colOff>
      <xdr:row>820</xdr:row>
      <xdr:rowOff>28575</xdr:rowOff>
    </xdr:from>
    <xdr:to>
      <xdr:col>27</xdr:col>
      <xdr:colOff>54945</xdr:colOff>
      <xdr:row>845</xdr:row>
      <xdr:rowOff>93277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1095375</xdr:colOff>
      <xdr:row>875</xdr:row>
      <xdr:rowOff>47625</xdr:rowOff>
    </xdr:from>
    <xdr:to>
      <xdr:col>24</xdr:col>
      <xdr:colOff>320221</xdr:colOff>
      <xdr:row>900</xdr:row>
      <xdr:rowOff>112328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523875</xdr:colOff>
      <xdr:row>900</xdr:row>
      <xdr:rowOff>138546</xdr:rowOff>
    </xdr:from>
    <xdr:to>
      <xdr:col>15</xdr:col>
      <xdr:colOff>6330</xdr:colOff>
      <xdr:row>925</xdr:row>
      <xdr:rowOff>203248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435429</xdr:colOff>
      <xdr:row>934</xdr:row>
      <xdr:rowOff>108857</xdr:rowOff>
    </xdr:from>
    <xdr:to>
      <xdr:col>14</xdr:col>
      <xdr:colOff>1115313</xdr:colOff>
      <xdr:row>959</xdr:row>
      <xdr:rowOff>173559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363682</xdr:colOff>
      <xdr:row>969</xdr:row>
      <xdr:rowOff>86591</xdr:rowOff>
    </xdr:from>
    <xdr:to>
      <xdr:col>14</xdr:col>
      <xdr:colOff>1043566</xdr:colOff>
      <xdr:row>994</xdr:row>
      <xdr:rowOff>151292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19051</xdr:colOff>
      <xdr:row>1</xdr:row>
      <xdr:rowOff>180975</xdr:rowOff>
    </xdr:from>
    <xdr:to>
      <xdr:col>15</xdr:col>
      <xdr:colOff>314326</xdr:colOff>
      <xdr:row>12</xdr:row>
      <xdr:rowOff>187533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22</xdr:row>
      <xdr:rowOff>114300</xdr:rowOff>
    </xdr:from>
    <xdr:to>
      <xdr:col>15</xdr:col>
      <xdr:colOff>9525</xdr:colOff>
      <xdr:row>36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22</xdr:row>
      <xdr:rowOff>114300</xdr:rowOff>
    </xdr:from>
    <xdr:to>
      <xdr:col>20</xdr:col>
      <xdr:colOff>47625</xdr:colOff>
      <xdr:row>36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81644</xdr:colOff>
      <xdr:row>91</xdr:row>
      <xdr:rowOff>159203</xdr:rowOff>
    </xdr:from>
    <xdr:to>
      <xdr:col>14</xdr:col>
      <xdr:colOff>81644</xdr:colOff>
      <xdr:row>105</xdr:row>
      <xdr:rowOff>44903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312964</xdr:colOff>
      <xdr:row>91</xdr:row>
      <xdr:rowOff>122463</xdr:rowOff>
    </xdr:from>
    <xdr:to>
      <xdr:col>19</xdr:col>
      <xdr:colOff>367393</xdr:colOff>
      <xdr:row>105</xdr:row>
      <xdr:rowOff>8163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131</xdr:row>
      <xdr:rowOff>0</xdr:rowOff>
    </xdr:from>
    <xdr:to>
      <xdr:col>14</xdr:col>
      <xdr:colOff>0</xdr:colOff>
      <xdr:row>144</xdr:row>
      <xdr:rowOff>89808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81644</xdr:colOff>
      <xdr:row>131</xdr:row>
      <xdr:rowOff>27214</xdr:rowOff>
    </xdr:from>
    <xdr:to>
      <xdr:col>19</xdr:col>
      <xdr:colOff>136073</xdr:colOff>
      <xdr:row>144</xdr:row>
      <xdr:rowOff>117022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149679</xdr:colOff>
      <xdr:row>154</xdr:row>
      <xdr:rowOff>13607</xdr:rowOff>
    </xdr:from>
    <xdr:to>
      <xdr:col>19</xdr:col>
      <xdr:colOff>204108</xdr:colOff>
      <xdr:row>173</xdr:row>
      <xdr:rowOff>54429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108858</xdr:colOff>
      <xdr:row>153</xdr:row>
      <xdr:rowOff>50345</xdr:rowOff>
    </xdr:from>
    <xdr:to>
      <xdr:col>14</xdr:col>
      <xdr:colOff>108858</xdr:colOff>
      <xdr:row>165</xdr:row>
      <xdr:rowOff>167367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449037</xdr:colOff>
      <xdr:row>167</xdr:row>
      <xdr:rowOff>149678</xdr:rowOff>
    </xdr:from>
    <xdr:to>
      <xdr:col>17</xdr:col>
      <xdr:colOff>666751</xdr:colOff>
      <xdr:row>181</xdr:row>
      <xdr:rowOff>35378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1673679</xdr:colOff>
      <xdr:row>168</xdr:row>
      <xdr:rowOff>13606</xdr:rowOff>
    </xdr:from>
    <xdr:to>
      <xdr:col>13</xdr:col>
      <xdr:colOff>95250</xdr:colOff>
      <xdr:row>181</xdr:row>
      <xdr:rowOff>103413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0</xdr:row>
      <xdr:rowOff>127000</xdr:rowOff>
    </xdr:from>
    <xdr:to>
      <xdr:col>16</xdr:col>
      <xdr:colOff>166878</xdr:colOff>
      <xdr:row>10</xdr:row>
      <xdr:rowOff>193294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238125</xdr:colOff>
      <xdr:row>0</xdr:row>
      <xdr:rowOff>123825</xdr:rowOff>
    </xdr:from>
    <xdr:to>
      <xdr:col>21</xdr:col>
      <xdr:colOff>347853</xdr:colOff>
      <xdr:row>10</xdr:row>
      <xdr:rowOff>190119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752475</xdr:colOff>
      <xdr:row>11</xdr:row>
      <xdr:rowOff>19050</xdr:rowOff>
    </xdr:from>
    <xdr:to>
      <xdr:col>16</xdr:col>
      <xdr:colOff>176403</xdr:colOff>
      <xdr:row>21</xdr:row>
      <xdr:rowOff>85344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228600</xdr:colOff>
      <xdr:row>11</xdr:row>
      <xdr:rowOff>71437</xdr:rowOff>
    </xdr:from>
    <xdr:to>
      <xdr:col>21</xdr:col>
      <xdr:colOff>423862</xdr:colOff>
      <xdr:row>21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276225</xdr:colOff>
      <xdr:row>21</xdr:row>
      <xdr:rowOff>128587</xdr:rowOff>
    </xdr:from>
    <xdr:to>
      <xdr:col>21</xdr:col>
      <xdr:colOff>471487</xdr:colOff>
      <xdr:row>31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751974</xdr:colOff>
      <xdr:row>21</xdr:row>
      <xdr:rowOff>110289</xdr:rowOff>
    </xdr:from>
    <xdr:to>
      <xdr:col>16</xdr:col>
      <xdr:colOff>175902</xdr:colOff>
      <xdr:row>31</xdr:row>
      <xdr:rowOff>176583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15297</xdr:colOff>
      <xdr:row>41</xdr:row>
      <xdr:rowOff>10414</xdr:rowOff>
    </xdr:from>
    <xdr:to>
      <xdr:col>27</xdr:col>
      <xdr:colOff>641433</xdr:colOff>
      <xdr:row>55</xdr:row>
      <xdr:rowOff>105533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73269</xdr:colOff>
      <xdr:row>41</xdr:row>
      <xdr:rowOff>48847</xdr:rowOff>
    </xdr:from>
    <xdr:to>
      <xdr:col>15</xdr:col>
      <xdr:colOff>181044</xdr:colOff>
      <xdr:row>51</xdr:row>
      <xdr:rowOff>115141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50800</xdr:colOff>
      <xdr:row>52</xdr:row>
      <xdr:rowOff>38100</xdr:rowOff>
    </xdr:from>
    <xdr:to>
      <xdr:col>15</xdr:col>
      <xdr:colOff>444500</xdr:colOff>
      <xdr:row>63</xdr:row>
      <xdr:rowOff>25400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609600</xdr:colOff>
      <xdr:row>67</xdr:row>
      <xdr:rowOff>41275</xdr:rowOff>
    </xdr:from>
    <xdr:to>
      <xdr:col>16</xdr:col>
      <xdr:colOff>33528</xdr:colOff>
      <xdr:row>77</xdr:row>
      <xdr:rowOff>107569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158436</xdr:colOff>
      <xdr:row>0</xdr:row>
      <xdr:rowOff>201231</xdr:rowOff>
    </xdr:from>
    <xdr:to>
      <xdr:col>23</xdr:col>
      <xdr:colOff>120738</xdr:colOff>
      <xdr:row>91</xdr:row>
      <xdr:rowOff>53660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504938</xdr:colOff>
      <xdr:row>116</xdr:row>
      <xdr:rowOff>2112</xdr:rowOff>
    </xdr:from>
    <xdr:to>
      <xdr:col>18</xdr:col>
      <xdr:colOff>476250</xdr:colOff>
      <xdr:row>136</xdr:row>
      <xdr:rowOff>122117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101355</xdr:colOff>
      <xdr:row>97</xdr:row>
      <xdr:rowOff>32726</xdr:rowOff>
    </xdr:from>
    <xdr:to>
      <xdr:col>16</xdr:col>
      <xdr:colOff>167298</xdr:colOff>
      <xdr:row>113</xdr:row>
      <xdr:rowOff>40541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235682</xdr:colOff>
      <xdr:row>114</xdr:row>
      <xdr:rowOff>26620</xdr:rowOff>
    </xdr:from>
    <xdr:to>
      <xdr:col>26</xdr:col>
      <xdr:colOff>329712</xdr:colOff>
      <xdr:row>137</xdr:row>
      <xdr:rowOff>158749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207596</xdr:colOff>
      <xdr:row>114</xdr:row>
      <xdr:rowOff>158752</xdr:rowOff>
    </xdr:from>
    <xdr:to>
      <xdr:col>33</xdr:col>
      <xdr:colOff>179511</xdr:colOff>
      <xdr:row>138</xdr:row>
      <xdr:rowOff>95497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107462</xdr:colOff>
      <xdr:row>150</xdr:row>
      <xdr:rowOff>185370</xdr:rowOff>
    </xdr:from>
    <xdr:to>
      <xdr:col>17</xdr:col>
      <xdr:colOff>356577</xdr:colOff>
      <xdr:row>164</xdr:row>
      <xdr:rowOff>193186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0.27563</cdr:x>
      <cdr:y>0.08985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695238" cy="36190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272919</xdr:colOff>
      <xdr:row>9</xdr:row>
      <xdr:rowOff>97693</xdr:rowOff>
    </xdr:from>
    <xdr:to>
      <xdr:col>22</xdr:col>
      <xdr:colOff>354133</xdr:colOff>
      <xdr:row>29</xdr:row>
      <xdr:rowOff>183173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194581</xdr:colOff>
      <xdr:row>9</xdr:row>
      <xdr:rowOff>25173</xdr:rowOff>
    </xdr:from>
    <xdr:to>
      <xdr:col>17</xdr:col>
      <xdr:colOff>566056</xdr:colOff>
      <xdr:row>24</xdr:row>
      <xdr:rowOff>58511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351065</xdr:colOff>
      <xdr:row>8</xdr:row>
      <xdr:rowOff>20410</xdr:rowOff>
    </xdr:from>
    <xdr:to>
      <xdr:col>23</xdr:col>
      <xdr:colOff>341540</xdr:colOff>
      <xdr:row>23</xdr:row>
      <xdr:rowOff>53748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585107</xdr:colOff>
      <xdr:row>22</xdr:row>
      <xdr:rowOff>54428</xdr:rowOff>
    </xdr:from>
    <xdr:to>
      <xdr:col>19</xdr:col>
      <xdr:colOff>394607</xdr:colOff>
      <xdr:row>42</xdr:row>
      <xdr:rowOff>33338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790575</xdr:colOff>
      <xdr:row>10</xdr:row>
      <xdr:rowOff>14286</xdr:rowOff>
    </xdr:from>
    <xdr:to>
      <xdr:col>19</xdr:col>
      <xdr:colOff>276224</xdr:colOff>
      <xdr:row>25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230639</xdr:colOff>
      <xdr:row>25</xdr:row>
      <xdr:rowOff>153081</xdr:rowOff>
    </xdr:from>
    <xdr:to>
      <xdr:col>19</xdr:col>
      <xdr:colOff>277585</xdr:colOff>
      <xdr:row>39</xdr:row>
      <xdr:rowOff>95931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361950</xdr:colOff>
      <xdr:row>10</xdr:row>
      <xdr:rowOff>9525</xdr:rowOff>
    </xdr:from>
    <xdr:to>
      <xdr:col>26</xdr:col>
      <xdr:colOff>352425</xdr:colOff>
      <xdr:row>25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367392</xdr:colOff>
      <xdr:row>25</xdr:row>
      <xdr:rowOff>136072</xdr:rowOff>
    </xdr:from>
    <xdr:to>
      <xdr:col>26</xdr:col>
      <xdr:colOff>357867</xdr:colOff>
      <xdr:row>40</xdr:row>
      <xdr:rowOff>169410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449035</xdr:colOff>
      <xdr:row>43</xdr:row>
      <xdr:rowOff>50346</xdr:rowOff>
    </xdr:from>
    <xdr:to>
      <xdr:col>24</xdr:col>
      <xdr:colOff>258535</xdr:colOff>
      <xdr:row>56</xdr:row>
      <xdr:rowOff>140153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61231</xdr:colOff>
      <xdr:row>45</xdr:row>
      <xdr:rowOff>145595</xdr:rowOff>
    </xdr:from>
    <xdr:to>
      <xdr:col>15</xdr:col>
      <xdr:colOff>224517</xdr:colOff>
      <xdr:row>59</xdr:row>
      <xdr:rowOff>31295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3</xdr:row>
      <xdr:rowOff>109537</xdr:rowOff>
    </xdr:from>
    <xdr:to>
      <xdr:col>17</xdr:col>
      <xdr:colOff>371475</xdr:colOff>
      <xdr:row>19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666750</xdr:colOff>
      <xdr:row>30</xdr:row>
      <xdr:rowOff>0</xdr:rowOff>
    </xdr:from>
    <xdr:to>
      <xdr:col>23</xdr:col>
      <xdr:colOff>657225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638175</xdr:colOff>
      <xdr:row>30</xdr:row>
      <xdr:rowOff>19050</xdr:rowOff>
    </xdr:from>
    <xdr:to>
      <xdr:col>16</xdr:col>
      <xdr:colOff>533400</xdr:colOff>
      <xdr:row>45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495300</xdr:colOff>
      <xdr:row>71</xdr:row>
      <xdr:rowOff>152400</xdr:rowOff>
    </xdr:from>
    <xdr:to>
      <xdr:col>17</xdr:col>
      <xdr:colOff>390525</xdr:colOff>
      <xdr:row>88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466725</xdr:colOff>
      <xdr:row>112</xdr:row>
      <xdr:rowOff>1</xdr:rowOff>
    </xdr:from>
    <xdr:to>
      <xdr:col>16</xdr:col>
      <xdr:colOff>561975</xdr:colOff>
      <xdr:row>125</xdr:row>
      <xdr:rowOff>104776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620982</xdr:colOff>
      <xdr:row>162</xdr:row>
      <xdr:rowOff>137557</xdr:rowOff>
    </xdr:from>
    <xdr:to>
      <xdr:col>14</xdr:col>
      <xdr:colOff>578923</xdr:colOff>
      <xdr:row>176</xdr:row>
      <xdr:rowOff>109848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18</xdr:col>
      <xdr:colOff>293172</xdr:colOff>
      <xdr:row>209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590939</xdr:colOff>
      <xdr:row>209</xdr:row>
      <xdr:rowOff>168922</xdr:rowOff>
    </xdr:from>
    <xdr:to>
      <xdr:col>17</xdr:col>
      <xdr:colOff>594827</xdr:colOff>
      <xdr:row>223</xdr:row>
      <xdr:rowOff>54622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48899</xdr:colOff>
      <xdr:row>228</xdr:row>
      <xdr:rowOff>38814</xdr:rowOff>
    </xdr:from>
    <xdr:to>
      <xdr:col>18</xdr:col>
      <xdr:colOff>50935</xdr:colOff>
      <xdr:row>241</xdr:row>
      <xdr:rowOff>165951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44824</xdr:colOff>
      <xdr:row>243</xdr:row>
      <xdr:rowOff>44823</xdr:rowOff>
    </xdr:from>
    <xdr:to>
      <xdr:col>18</xdr:col>
      <xdr:colOff>46860</xdr:colOff>
      <xdr:row>256</xdr:row>
      <xdr:rowOff>171960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564697</xdr:colOff>
      <xdr:row>264</xdr:row>
      <xdr:rowOff>78242</xdr:rowOff>
    </xdr:from>
    <xdr:to>
      <xdr:col>24</xdr:col>
      <xdr:colOff>304795</xdr:colOff>
      <xdr:row>277</xdr:row>
      <xdr:rowOff>1272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452438</xdr:colOff>
      <xdr:row>262</xdr:row>
      <xdr:rowOff>1</xdr:rowOff>
    </xdr:from>
    <xdr:to>
      <xdr:col>16</xdr:col>
      <xdr:colOff>285750</xdr:colOff>
      <xdr:row>277</xdr:row>
      <xdr:rowOff>142875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285</xdr:row>
      <xdr:rowOff>71437</xdr:rowOff>
    </xdr:from>
    <xdr:to>
      <xdr:col>15</xdr:col>
      <xdr:colOff>502099</xdr:colOff>
      <xdr:row>297</xdr:row>
      <xdr:rowOff>196874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695325</xdr:colOff>
      <xdr:row>0</xdr:row>
      <xdr:rowOff>128587</xdr:rowOff>
    </xdr:from>
    <xdr:to>
      <xdr:col>15</xdr:col>
      <xdr:colOff>238125</xdr:colOff>
      <xdr:row>14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21</xdr:col>
      <xdr:colOff>381000</xdr:colOff>
      <xdr:row>14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15</xdr:col>
      <xdr:colOff>381000</xdr:colOff>
      <xdr:row>28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15</xdr:col>
      <xdr:colOff>381000</xdr:colOff>
      <xdr:row>43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95250</xdr:colOff>
      <xdr:row>48</xdr:row>
      <xdr:rowOff>63500</xdr:rowOff>
    </xdr:from>
    <xdr:to>
      <xdr:col>15</xdr:col>
      <xdr:colOff>476250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177800</xdr:colOff>
      <xdr:row>66</xdr:row>
      <xdr:rowOff>76200</xdr:rowOff>
    </xdr:from>
    <xdr:to>
      <xdr:col>17</xdr:col>
      <xdr:colOff>165100</xdr:colOff>
      <xdr:row>80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351692</xdr:colOff>
      <xdr:row>83</xdr:row>
      <xdr:rowOff>172287</xdr:rowOff>
    </xdr:from>
    <xdr:to>
      <xdr:col>15</xdr:col>
      <xdr:colOff>736879</xdr:colOff>
      <xdr:row>97</xdr:row>
      <xdr:rowOff>131256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104</xdr:row>
      <xdr:rowOff>0</xdr:rowOff>
    </xdr:from>
    <xdr:to>
      <xdr:col>16</xdr:col>
      <xdr:colOff>827741</xdr:colOff>
      <xdr:row>118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104</xdr:row>
      <xdr:rowOff>0</xdr:rowOff>
    </xdr:from>
    <xdr:to>
      <xdr:col>25</xdr:col>
      <xdr:colOff>54536</xdr:colOff>
      <xdr:row>118</xdr:row>
      <xdr:rowOff>114301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122</xdr:row>
      <xdr:rowOff>0</xdr:rowOff>
    </xdr:from>
    <xdr:to>
      <xdr:col>16</xdr:col>
      <xdr:colOff>827741</xdr:colOff>
      <xdr:row>136</xdr:row>
      <xdr:rowOff>114301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415193</xdr:colOff>
      <xdr:row>160</xdr:row>
      <xdr:rowOff>85481</xdr:rowOff>
    </xdr:from>
    <xdr:to>
      <xdr:col>23</xdr:col>
      <xdr:colOff>25019</xdr:colOff>
      <xdr:row>174</xdr:row>
      <xdr:rowOff>50772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141</xdr:row>
      <xdr:rowOff>0</xdr:rowOff>
    </xdr:from>
    <xdr:to>
      <xdr:col>16</xdr:col>
      <xdr:colOff>827741</xdr:colOff>
      <xdr:row>155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369075</xdr:colOff>
      <xdr:row>180</xdr:row>
      <xdr:rowOff>97690</xdr:rowOff>
    </xdr:from>
    <xdr:to>
      <xdr:col>18</xdr:col>
      <xdr:colOff>212193</xdr:colOff>
      <xdr:row>198</xdr:row>
      <xdr:rowOff>176132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48847</xdr:colOff>
      <xdr:row>160</xdr:row>
      <xdr:rowOff>109904</xdr:rowOff>
    </xdr:from>
    <xdr:to>
      <xdr:col>17</xdr:col>
      <xdr:colOff>33992</xdr:colOff>
      <xdr:row>175</xdr:row>
      <xdr:rowOff>28818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497944</xdr:colOff>
      <xdr:row>213</xdr:row>
      <xdr:rowOff>183173</xdr:rowOff>
    </xdr:from>
    <xdr:to>
      <xdr:col>15</xdr:col>
      <xdr:colOff>483088</xdr:colOff>
      <xdr:row>228</xdr:row>
      <xdr:rowOff>102087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12212</xdr:colOff>
      <xdr:row>0</xdr:row>
      <xdr:rowOff>183173</xdr:rowOff>
    </xdr:from>
    <xdr:to>
      <xdr:col>25</xdr:col>
      <xdr:colOff>661292</xdr:colOff>
      <xdr:row>231</xdr:row>
      <xdr:rowOff>66230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517072</xdr:colOff>
      <xdr:row>233</xdr:row>
      <xdr:rowOff>122464</xdr:rowOff>
    </xdr:from>
    <xdr:to>
      <xdr:col>15</xdr:col>
      <xdr:colOff>502216</xdr:colOff>
      <xdr:row>248</xdr:row>
      <xdr:rowOff>41378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254</xdr:row>
      <xdr:rowOff>0</xdr:rowOff>
    </xdr:from>
    <xdr:to>
      <xdr:col>15</xdr:col>
      <xdr:colOff>828787</xdr:colOff>
      <xdr:row>268</xdr:row>
      <xdr:rowOff>123021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806824</xdr:colOff>
      <xdr:row>271</xdr:row>
      <xdr:rowOff>156882</xdr:rowOff>
    </xdr:from>
    <xdr:to>
      <xdr:col>15</xdr:col>
      <xdr:colOff>795170</xdr:colOff>
      <xdr:row>286</xdr:row>
      <xdr:rowOff>78197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291</xdr:row>
      <xdr:rowOff>0</xdr:rowOff>
    </xdr:from>
    <xdr:to>
      <xdr:col>15</xdr:col>
      <xdr:colOff>819919</xdr:colOff>
      <xdr:row>305</xdr:row>
      <xdr:rowOff>122256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310</xdr:row>
      <xdr:rowOff>0</xdr:rowOff>
    </xdr:from>
    <xdr:to>
      <xdr:col>15</xdr:col>
      <xdr:colOff>819919</xdr:colOff>
      <xdr:row>324</xdr:row>
      <xdr:rowOff>122256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125784</xdr:colOff>
      <xdr:row>375</xdr:row>
      <xdr:rowOff>23846</xdr:rowOff>
    </xdr:from>
    <xdr:to>
      <xdr:col>14</xdr:col>
      <xdr:colOff>449873</xdr:colOff>
      <xdr:row>388</xdr:row>
      <xdr:rowOff>121954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773206</xdr:colOff>
      <xdr:row>449</xdr:row>
      <xdr:rowOff>158001</xdr:rowOff>
    </xdr:from>
    <xdr:to>
      <xdr:col>15</xdr:col>
      <xdr:colOff>235323</xdr:colOff>
      <xdr:row>463</xdr:row>
      <xdr:rowOff>77319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821231</xdr:colOff>
      <xdr:row>531</xdr:row>
      <xdr:rowOff>38739</xdr:rowOff>
    </xdr:from>
    <xdr:to>
      <xdr:col>12</xdr:col>
      <xdr:colOff>38420</xdr:colOff>
      <xdr:row>544</xdr:row>
      <xdr:rowOff>159763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556</xdr:row>
      <xdr:rowOff>0</xdr:rowOff>
    </xdr:from>
    <xdr:to>
      <xdr:col>12</xdr:col>
      <xdr:colOff>373796</xdr:colOff>
      <xdr:row>569</xdr:row>
      <xdr:rowOff>121023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1088571</xdr:colOff>
      <xdr:row>577</xdr:row>
      <xdr:rowOff>13607</xdr:rowOff>
    </xdr:from>
    <xdr:to>
      <xdr:col>12</xdr:col>
      <xdr:colOff>305760</xdr:colOff>
      <xdr:row>590</xdr:row>
      <xdr:rowOff>134630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1061356</xdr:colOff>
      <xdr:row>583</xdr:row>
      <xdr:rowOff>36737</xdr:rowOff>
    </xdr:from>
    <xdr:to>
      <xdr:col>18</xdr:col>
      <xdr:colOff>789213</xdr:colOff>
      <xdr:row>600</xdr:row>
      <xdr:rowOff>136072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644485</xdr:colOff>
      <xdr:row>616</xdr:row>
      <xdr:rowOff>180603</xdr:rowOff>
    </xdr:from>
    <xdr:to>
      <xdr:col>12</xdr:col>
      <xdr:colOff>1047752</xdr:colOff>
      <xdr:row>634</xdr:row>
      <xdr:rowOff>75832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1114549</xdr:colOff>
      <xdr:row>667</xdr:row>
      <xdr:rowOff>179366</xdr:rowOff>
    </xdr:from>
    <xdr:to>
      <xdr:col>13</xdr:col>
      <xdr:colOff>426770</xdr:colOff>
      <xdr:row>685</xdr:row>
      <xdr:rowOff>70884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544285</xdr:colOff>
      <xdr:row>667</xdr:row>
      <xdr:rowOff>204106</xdr:rowOff>
    </xdr:from>
    <xdr:to>
      <xdr:col>19</xdr:col>
      <xdr:colOff>523256</xdr:colOff>
      <xdr:row>685</xdr:row>
      <xdr:rowOff>95624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775608</xdr:colOff>
      <xdr:row>694</xdr:row>
      <xdr:rowOff>176892</xdr:rowOff>
    </xdr:from>
    <xdr:to>
      <xdr:col>13</xdr:col>
      <xdr:colOff>87829</xdr:colOff>
      <xdr:row>712</xdr:row>
      <xdr:rowOff>68411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719</xdr:row>
      <xdr:rowOff>0</xdr:rowOff>
    </xdr:from>
    <xdr:to>
      <xdr:col>13</xdr:col>
      <xdr:colOff>468828</xdr:colOff>
      <xdr:row>736</xdr:row>
      <xdr:rowOff>95625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279" totalsRowShown="0" totalsRowDxfId="12">
  <autoFilter ref="A1:I279"/>
  <tableColumns count="9">
    <tableColumn id="1" name="Date" dataDxfId="11" totalsRowDxfId="10"/>
    <tableColumn id="2" name="T Cell" totalsRowDxfId="9"/>
    <tableColumn id="3" name="Temp K" totalsRowDxfId="8">
      <calculatedColumnFormula>Table1[T Cell]+273</calculatedColumnFormula>
    </tableColumn>
    <tableColumn id="4" name="10000/T" totalsRowDxfId="7">
      <calculatedColumnFormula>10000/Table1[Temp K]</calculatedColumnFormula>
    </tableColumn>
    <tableColumn id="5" name="Bi Flux" totalsRowDxfId="6"/>
    <tableColumn id="7" name="LN(Flux)" dataDxfId="5" totalsRowDxfId="4">
      <calculatedColumnFormula>LN(Table1[[#This Row],[Bi Flux]])</calculatedColumnFormula>
    </tableColumn>
    <tableColumn id="8" name="Bi/Ga flux" dataDxfId="3" totalsRowDxfId="2"/>
    <tableColumn id="9" name="Bi fraction" dataDxfId="1" totalsRowDxfId="0"/>
    <tableColumn id="6" name="Note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7"/>
  <sheetViews>
    <sheetView zoomScale="55" zoomScaleNormal="55" workbookViewId="0">
      <pane ySplit="1" topLeftCell="A222" activePane="bottomLeft" state="frozen"/>
      <selection pane="bottomLeft" activeCell="A262" sqref="A262:F262"/>
    </sheetView>
  </sheetViews>
  <sheetFormatPr defaultRowHeight="15.75" x14ac:dyDescent="0.25"/>
  <cols>
    <col min="1" max="1" width="15.125" customWidth="1"/>
    <col min="5" max="5" width="9" customWidth="1"/>
    <col min="6" max="6" width="11.875" bestFit="1" customWidth="1"/>
    <col min="7" max="7" width="12.75" customWidth="1"/>
    <col min="8" max="8" width="13.125" customWidth="1"/>
    <col min="11" max="11" width="11" bestFit="1" customWidth="1"/>
    <col min="12" max="12" width="13.75" customWidth="1"/>
    <col min="13" max="13" width="12.875" customWidth="1"/>
    <col min="15" max="15" width="12.25" customWidth="1"/>
    <col min="16" max="16" width="11.875" bestFit="1" customWidth="1"/>
    <col min="17" max="17" width="15.875" customWidth="1"/>
    <col min="18" max="18" width="14.625" customWidth="1"/>
    <col min="19" max="19" width="11.125" customWidth="1"/>
    <col min="20" max="20" width="21.375" customWidth="1"/>
    <col min="21" max="21" width="14.875" customWidth="1"/>
    <col min="22" max="22" width="23.75" customWidth="1"/>
    <col min="23" max="23" width="21" customWidth="1"/>
    <col min="24" max="24" width="11.25" customWidth="1"/>
    <col min="25" max="25" width="11" customWidth="1"/>
  </cols>
  <sheetData>
    <row r="1" spans="1:11" x14ac:dyDescent="0.25">
      <c r="A1" s="4" t="s">
        <v>14</v>
      </c>
      <c r="B1" s="4" t="s">
        <v>22</v>
      </c>
      <c r="C1" s="4" t="s">
        <v>23</v>
      </c>
      <c r="D1" s="4" t="s">
        <v>3</v>
      </c>
      <c r="E1" s="4" t="s">
        <v>4</v>
      </c>
      <c r="F1" s="4" t="s">
        <v>6</v>
      </c>
      <c r="G1" s="4" t="s">
        <v>7</v>
      </c>
      <c r="H1" s="4" t="s">
        <v>5</v>
      </c>
      <c r="I1" s="4" t="s">
        <v>21</v>
      </c>
      <c r="J1" s="4" t="s">
        <v>20</v>
      </c>
      <c r="K1" s="4" t="s">
        <v>122</v>
      </c>
    </row>
    <row r="2" spans="1:11" hidden="1" x14ac:dyDescent="0.25">
      <c r="A2" s="7">
        <v>42807</v>
      </c>
      <c r="B2">
        <v>880</v>
      </c>
      <c r="C2">
        <f>B2+100</f>
        <v>980</v>
      </c>
      <c r="D2">
        <f>B2+273</f>
        <v>1153</v>
      </c>
      <c r="E2">
        <f>10000/D2</f>
        <v>8.6730268863833473</v>
      </c>
      <c r="F2" s="3">
        <v>2.53E-7</v>
      </c>
      <c r="G2">
        <f t="shared" ref="G2:G16" si="0">LN(F2)</f>
        <v>-15.18987634821889</v>
      </c>
      <c r="H2">
        <v>0.58799999999999997</v>
      </c>
      <c r="I2">
        <v>4</v>
      </c>
    </row>
    <row r="3" spans="1:11" hidden="1" x14ac:dyDescent="0.25">
      <c r="B3">
        <v>900</v>
      </c>
      <c r="C3">
        <f t="shared" ref="C3:C18" si="1">B3+100</f>
        <v>1000</v>
      </c>
      <c r="D3">
        <f>B3+273</f>
        <v>1173</v>
      </c>
      <c r="E3">
        <f>10000/D3</f>
        <v>8.5251491901108274</v>
      </c>
      <c r="F3" s="3">
        <v>3.735E-7</v>
      </c>
      <c r="G3">
        <f t="shared" si="0"/>
        <v>-14.800347832373539</v>
      </c>
      <c r="H3">
        <v>0.87150000000000005</v>
      </c>
      <c r="I3">
        <v>4</v>
      </c>
    </row>
    <row r="4" spans="1:11" hidden="1" x14ac:dyDescent="0.25">
      <c r="B4">
        <v>906</v>
      </c>
      <c r="C4">
        <f t="shared" si="1"/>
        <v>1006</v>
      </c>
      <c r="D4">
        <f t="shared" ref="D4:D139" si="2">B4+273</f>
        <v>1179</v>
      </c>
      <c r="E4">
        <f t="shared" ref="E4:E139" si="3">10000/D4</f>
        <v>8.481764206955047</v>
      </c>
      <c r="F4" s="3">
        <v>4.0999999999999999E-7</v>
      </c>
      <c r="G4">
        <f t="shared" si="0"/>
        <v>-14.707108677248058</v>
      </c>
      <c r="H4">
        <v>1.0638000000000001</v>
      </c>
      <c r="I4">
        <v>4</v>
      </c>
    </row>
    <row r="5" spans="1:11" hidden="1" x14ac:dyDescent="0.25">
      <c r="B5">
        <v>920</v>
      </c>
      <c r="C5">
        <f t="shared" si="1"/>
        <v>1020</v>
      </c>
      <c r="D5">
        <f t="shared" si="2"/>
        <v>1193</v>
      </c>
      <c r="E5">
        <f t="shared" si="3"/>
        <v>8.3822296730930432</v>
      </c>
      <c r="F5" s="3">
        <v>5.5899999999999996E-7</v>
      </c>
      <c r="G5">
        <f t="shared" si="0"/>
        <v>-14.397116363791312</v>
      </c>
      <c r="H5">
        <v>1.2410000000000001</v>
      </c>
      <c r="I5">
        <v>4</v>
      </c>
    </row>
    <row r="6" spans="1:11" hidden="1" x14ac:dyDescent="0.25">
      <c r="B6">
        <v>906</v>
      </c>
      <c r="C6">
        <f t="shared" si="1"/>
        <v>1006</v>
      </c>
      <c r="D6">
        <f t="shared" si="2"/>
        <v>1179</v>
      </c>
      <c r="E6">
        <f t="shared" si="3"/>
        <v>8.481764206955047</v>
      </c>
      <c r="F6" s="3">
        <v>4.2100000000000002E-7</v>
      </c>
      <c r="G6">
        <f t="shared" si="0"/>
        <v>-14.680633003264029</v>
      </c>
      <c r="H6">
        <v>0.96733333333333338</v>
      </c>
      <c r="I6">
        <v>4</v>
      </c>
    </row>
    <row r="7" spans="1:11" hidden="1" x14ac:dyDescent="0.25">
      <c r="B7">
        <v>901</v>
      </c>
      <c r="C7">
        <f t="shared" si="1"/>
        <v>1001</v>
      </c>
      <c r="D7">
        <f t="shared" si="2"/>
        <v>1174</v>
      </c>
      <c r="E7">
        <f t="shared" si="3"/>
        <v>8.5178875638841571</v>
      </c>
      <c r="F7" s="3">
        <v>4.193E-7</v>
      </c>
      <c r="G7">
        <f t="shared" si="0"/>
        <v>-14.684679182769694</v>
      </c>
      <c r="H7">
        <v>0.996</v>
      </c>
      <c r="I7">
        <v>4</v>
      </c>
    </row>
    <row r="8" spans="1:11" hidden="1" x14ac:dyDescent="0.25">
      <c r="A8" s="7">
        <v>42832</v>
      </c>
      <c r="B8">
        <v>870</v>
      </c>
      <c r="C8">
        <f t="shared" si="1"/>
        <v>970</v>
      </c>
      <c r="D8">
        <f t="shared" si="2"/>
        <v>1143</v>
      </c>
      <c r="E8">
        <f t="shared" si="3"/>
        <v>8.7489063867016625</v>
      </c>
      <c r="F8" s="3">
        <v>2.125E-7</v>
      </c>
      <c r="G8">
        <f t="shared" si="0"/>
        <v>-15.36432384858194</v>
      </c>
      <c r="H8">
        <f>(0.481+0.462)/2</f>
        <v>0.47150000000000003</v>
      </c>
      <c r="I8">
        <v>4</v>
      </c>
    </row>
    <row r="9" spans="1:11" hidden="1" x14ac:dyDescent="0.25">
      <c r="B9">
        <v>880</v>
      </c>
      <c r="C9">
        <f t="shared" si="1"/>
        <v>980</v>
      </c>
      <c r="D9">
        <f t="shared" si="2"/>
        <v>1153</v>
      </c>
      <c r="E9">
        <f t="shared" si="3"/>
        <v>8.6730268863833473</v>
      </c>
      <c r="F9" s="3">
        <v>2.5800000000000001E-7</v>
      </c>
      <c r="G9">
        <f t="shared" si="0"/>
        <v>-15.170306252024794</v>
      </c>
      <c r="H9">
        <f>(0.582+0.578)/2</f>
        <v>0.57999999999999996</v>
      </c>
      <c r="I9">
        <v>4</v>
      </c>
    </row>
    <row r="10" spans="1:11" hidden="1" x14ac:dyDescent="0.25">
      <c r="B10">
        <v>900</v>
      </c>
      <c r="C10">
        <f t="shared" si="1"/>
        <v>1000</v>
      </c>
      <c r="D10">
        <f t="shared" si="2"/>
        <v>1173</v>
      </c>
      <c r="E10">
        <f t="shared" si="3"/>
        <v>8.5251491901108274</v>
      </c>
      <c r="F10" s="3">
        <v>3.8599999999999999E-7</v>
      </c>
      <c r="G10">
        <f t="shared" si="0"/>
        <v>-14.767428467481579</v>
      </c>
      <c r="H10">
        <f>(0.883+0.869)/2</f>
        <v>0.876</v>
      </c>
      <c r="I10">
        <v>4</v>
      </c>
    </row>
    <row r="11" spans="1:11" hidden="1" x14ac:dyDescent="0.25">
      <c r="B11">
        <v>910</v>
      </c>
      <c r="C11">
        <f t="shared" si="1"/>
        <v>1010</v>
      </c>
      <c r="D11">
        <f t="shared" si="2"/>
        <v>1183</v>
      </c>
      <c r="E11">
        <f t="shared" si="3"/>
        <v>8.4530853761622993</v>
      </c>
      <c r="F11" s="3">
        <v>4.7399999999999998E-7</v>
      </c>
      <c r="G11">
        <f t="shared" si="0"/>
        <v>-14.562058515251335</v>
      </c>
      <c r="H11">
        <v>1.111</v>
      </c>
      <c r="I11">
        <v>4</v>
      </c>
    </row>
    <row r="12" spans="1:11" hidden="1" x14ac:dyDescent="0.25">
      <c r="A12" s="7">
        <v>42836</v>
      </c>
      <c r="B12">
        <v>872</v>
      </c>
      <c r="C12">
        <f t="shared" si="1"/>
        <v>972</v>
      </c>
      <c r="D12">
        <f t="shared" si="2"/>
        <v>1145</v>
      </c>
      <c r="E12">
        <f t="shared" si="3"/>
        <v>8.7336244541484724</v>
      </c>
      <c r="F12" s="3">
        <v>2.34E-7</v>
      </c>
      <c r="G12">
        <f t="shared" si="0"/>
        <v>-15.267944721588711</v>
      </c>
      <c r="I12">
        <v>4</v>
      </c>
    </row>
    <row r="13" spans="1:11" hidden="1" x14ac:dyDescent="0.25">
      <c r="B13">
        <v>870</v>
      </c>
      <c r="C13">
        <f t="shared" si="1"/>
        <v>970</v>
      </c>
      <c r="D13">
        <f t="shared" si="2"/>
        <v>1143</v>
      </c>
      <c r="E13">
        <f t="shared" si="3"/>
        <v>8.7489063867016625</v>
      </c>
      <c r="F13" s="3">
        <v>2.28E-7</v>
      </c>
      <c r="G13">
        <f t="shared" si="0"/>
        <v>-15.29392020799197</v>
      </c>
      <c r="I13">
        <v>4</v>
      </c>
    </row>
    <row r="14" spans="1:11" hidden="1" x14ac:dyDescent="0.25">
      <c r="B14">
        <v>868</v>
      </c>
      <c r="C14">
        <f t="shared" si="1"/>
        <v>968</v>
      </c>
      <c r="D14">
        <f t="shared" si="2"/>
        <v>1141</v>
      </c>
      <c r="E14">
        <f t="shared" si="3"/>
        <v>8.7642418930762496</v>
      </c>
      <c r="F14" s="3">
        <v>2.1799999999999999E-7</v>
      </c>
      <c r="G14">
        <f t="shared" si="0"/>
        <v>-15.338770774157322</v>
      </c>
      <c r="I14">
        <v>4</v>
      </c>
    </row>
    <row r="15" spans="1:11" hidden="1" x14ac:dyDescent="0.25">
      <c r="A15" s="7">
        <v>42850</v>
      </c>
      <c r="B15">
        <v>890</v>
      </c>
      <c r="C15">
        <f t="shared" si="1"/>
        <v>990</v>
      </c>
      <c r="D15">
        <f t="shared" si="2"/>
        <v>1163</v>
      </c>
      <c r="E15">
        <f t="shared" si="3"/>
        <v>8.5984522785898534</v>
      </c>
      <c r="F15" s="3">
        <v>3.15E-7</v>
      </c>
      <c r="G15">
        <f t="shared" si="0"/>
        <v>-14.970693198120777</v>
      </c>
      <c r="H15">
        <v>0.73</v>
      </c>
      <c r="I15">
        <v>4</v>
      </c>
    </row>
    <row r="16" spans="1:11" hidden="1" x14ac:dyDescent="0.25">
      <c r="B16">
        <v>901</v>
      </c>
      <c r="C16">
        <f t="shared" si="1"/>
        <v>1001</v>
      </c>
      <c r="D16">
        <f t="shared" si="2"/>
        <v>1174</v>
      </c>
      <c r="E16">
        <f t="shared" si="3"/>
        <v>8.5178875638841571</v>
      </c>
      <c r="F16" s="3">
        <v>4.2800000000000002E-7</v>
      </c>
      <c r="G16">
        <f t="shared" si="0"/>
        <v>-14.664142641364615</v>
      </c>
      <c r="H16">
        <v>0.94799999999999995</v>
      </c>
      <c r="I16">
        <v>4</v>
      </c>
    </row>
    <row r="17" spans="1:17" hidden="1" x14ac:dyDescent="0.25">
      <c r="B17">
        <v>902</v>
      </c>
      <c r="C17">
        <f t="shared" si="1"/>
        <v>1002</v>
      </c>
      <c r="D17">
        <f t="shared" si="2"/>
        <v>1175</v>
      </c>
      <c r="E17">
        <f t="shared" si="3"/>
        <v>8.5106382978723403</v>
      </c>
      <c r="H17">
        <v>1.02</v>
      </c>
      <c r="I17">
        <v>4</v>
      </c>
    </row>
    <row r="18" spans="1:17" hidden="1" x14ac:dyDescent="0.25">
      <c r="B18">
        <v>910</v>
      </c>
      <c r="C18">
        <f t="shared" si="1"/>
        <v>1010</v>
      </c>
      <c r="D18">
        <f t="shared" si="2"/>
        <v>1183</v>
      </c>
      <c r="E18">
        <f t="shared" si="3"/>
        <v>8.4530853761622993</v>
      </c>
      <c r="H18">
        <v>1.1759999999999999</v>
      </c>
      <c r="I18">
        <v>4</v>
      </c>
    </row>
    <row r="19" spans="1:17" hidden="1" x14ac:dyDescent="0.25">
      <c r="B19">
        <v>910</v>
      </c>
      <c r="C19">
        <v>1100</v>
      </c>
      <c r="D19">
        <f t="shared" si="2"/>
        <v>1183</v>
      </c>
      <c r="E19">
        <f t="shared" si="3"/>
        <v>8.4530853761622993</v>
      </c>
      <c r="F19" s="3">
        <v>6.4899999999999995E-7</v>
      </c>
      <c r="G19">
        <f t="shared" ref="G19:G103" si="4">LN(F19)</f>
        <v>-14.247833120242321</v>
      </c>
      <c r="I19">
        <v>4</v>
      </c>
    </row>
    <row r="20" spans="1:17" hidden="1" x14ac:dyDescent="0.25">
      <c r="A20" s="7">
        <v>42853</v>
      </c>
      <c r="B20">
        <v>901</v>
      </c>
      <c r="C20">
        <v>1001</v>
      </c>
      <c r="D20">
        <f t="shared" si="2"/>
        <v>1174</v>
      </c>
      <c r="E20">
        <f t="shared" si="3"/>
        <v>8.5178875638841571</v>
      </c>
      <c r="F20" s="3">
        <v>4.2100000000000002E-7</v>
      </c>
      <c r="G20">
        <f t="shared" si="4"/>
        <v>-14.680633003264029</v>
      </c>
      <c r="H20">
        <v>1.01</v>
      </c>
      <c r="I20">
        <v>4</v>
      </c>
    </row>
    <row r="21" spans="1:17" hidden="1" x14ac:dyDescent="0.25">
      <c r="A21" s="7">
        <v>42865</v>
      </c>
      <c r="B21">
        <v>870</v>
      </c>
      <c r="C21">
        <v>970</v>
      </c>
      <c r="D21">
        <f t="shared" si="2"/>
        <v>1143</v>
      </c>
      <c r="E21">
        <f t="shared" si="3"/>
        <v>8.7489063867016625</v>
      </c>
      <c r="F21" s="3">
        <v>2.11E-7</v>
      </c>
      <c r="G21">
        <f t="shared" si="4"/>
        <v>-15.371407703470345</v>
      </c>
      <c r="H21">
        <v>0.496</v>
      </c>
      <c r="I21">
        <v>4</v>
      </c>
      <c r="J21" s="10" t="s">
        <v>26</v>
      </c>
    </row>
    <row r="22" spans="1:17" ht="15.75" hidden="1" customHeight="1" x14ac:dyDescent="0.25">
      <c r="B22">
        <v>880</v>
      </c>
      <c r="C22">
        <v>980</v>
      </c>
      <c r="D22">
        <f t="shared" si="2"/>
        <v>1153</v>
      </c>
      <c r="E22">
        <f t="shared" si="3"/>
        <v>8.6730268863833473</v>
      </c>
      <c r="F22" s="3">
        <v>2.5699999999999999E-7</v>
      </c>
      <c r="G22">
        <f t="shared" si="4"/>
        <v>-15.174189752051191</v>
      </c>
      <c r="H22">
        <v>0.63600000000000001</v>
      </c>
      <c r="I22">
        <v>4</v>
      </c>
      <c r="J22" s="10" t="s">
        <v>26</v>
      </c>
      <c r="M22" s="8"/>
      <c r="N22" s="8"/>
      <c r="O22" s="8"/>
      <c r="P22" s="8"/>
      <c r="Q22" s="8"/>
    </row>
    <row r="23" spans="1:17" hidden="1" x14ac:dyDescent="0.25">
      <c r="B23">
        <v>901</v>
      </c>
      <c r="C23">
        <v>1001</v>
      </c>
      <c r="D23">
        <f t="shared" si="2"/>
        <v>1174</v>
      </c>
      <c r="E23">
        <f t="shared" si="3"/>
        <v>8.5178875638841571</v>
      </c>
      <c r="F23" s="3">
        <v>3.9200000000000002E-7</v>
      </c>
      <c r="G23">
        <f t="shared" si="4"/>
        <v>-14.752003997155949</v>
      </c>
      <c r="H23">
        <f>(0.996+0.943+0.98)/3</f>
        <v>0.97299999999999998</v>
      </c>
      <c r="I23">
        <v>4</v>
      </c>
      <c r="J23" s="10" t="s">
        <v>26</v>
      </c>
    </row>
    <row r="24" spans="1:17" hidden="1" x14ac:dyDescent="0.25">
      <c r="B24">
        <v>905</v>
      </c>
      <c r="C24">
        <v>1005</v>
      </c>
      <c r="D24">
        <f t="shared" si="2"/>
        <v>1178</v>
      </c>
      <c r="E24">
        <f t="shared" si="3"/>
        <v>8.4889643463497446</v>
      </c>
      <c r="F24" s="3">
        <v>4.1699999999999999E-7</v>
      </c>
      <c r="G24">
        <f t="shared" si="4"/>
        <v>-14.69017961514761</v>
      </c>
      <c r="H24">
        <f>1.05</f>
        <v>1.05</v>
      </c>
      <c r="I24">
        <v>4</v>
      </c>
    </row>
    <row r="25" spans="1:17" hidden="1" x14ac:dyDescent="0.25">
      <c r="A25" s="7">
        <v>42866</v>
      </c>
      <c r="B25">
        <v>872</v>
      </c>
      <c r="C25">
        <v>972</v>
      </c>
      <c r="D25">
        <f t="shared" si="2"/>
        <v>1145</v>
      </c>
      <c r="E25">
        <f t="shared" si="3"/>
        <v>8.7336244541484724</v>
      </c>
      <c r="F25">
        <f>(0.000000224+0.000000218+0.000000217)/3</f>
        <v>2.1966666666666666E-7</v>
      </c>
      <c r="G25">
        <f t="shared" si="4"/>
        <v>-15.331154591112014</v>
      </c>
      <c r="I25">
        <v>4</v>
      </c>
    </row>
    <row r="26" spans="1:17" hidden="1" x14ac:dyDescent="0.25">
      <c r="B26">
        <v>902</v>
      </c>
      <c r="C26">
        <v>1002</v>
      </c>
      <c r="D26">
        <f t="shared" si="2"/>
        <v>1175</v>
      </c>
      <c r="E26">
        <f t="shared" si="3"/>
        <v>8.5106382978723403</v>
      </c>
      <c r="F26" s="3">
        <v>3.9700000000000002E-7</v>
      </c>
      <c r="G26">
        <f t="shared" si="4"/>
        <v>-14.739329556259221</v>
      </c>
      <c r="I26">
        <v>4</v>
      </c>
    </row>
    <row r="27" spans="1:17" hidden="1" x14ac:dyDescent="0.25">
      <c r="A27" s="7">
        <v>42867</v>
      </c>
      <c r="B27">
        <v>910</v>
      </c>
      <c r="C27">
        <v>1010</v>
      </c>
      <c r="D27">
        <f t="shared" si="2"/>
        <v>1183</v>
      </c>
      <c r="E27">
        <f t="shared" si="3"/>
        <v>8.4530853761622993</v>
      </c>
      <c r="F27" s="3">
        <v>4.4400000000000001E-7</v>
      </c>
      <c r="G27">
        <f t="shared" si="4"/>
        <v>-14.627441274514187</v>
      </c>
      <c r="I27">
        <v>4</v>
      </c>
    </row>
    <row r="28" spans="1:17" hidden="1" x14ac:dyDescent="0.25">
      <c r="B28">
        <v>902</v>
      </c>
      <c r="C28">
        <v>1002</v>
      </c>
      <c r="D28">
        <f t="shared" si="2"/>
        <v>1175</v>
      </c>
      <c r="E28">
        <f t="shared" si="3"/>
        <v>8.5106382978723403</v>
      </c>
      <c r="F28" s="3">
        <v>3.8299999999999998E-7</v>
      </c>
      <c r="G28">
        <f t="shared" si="4"/>
        <v>-14.775230847765766</v>
      </c>
      <c r="I28">
        <v>4</v>
      </c>
    </row>
    <row r="29" spans="1:17" hidden="1" x14ac:dyDescent="0.25">
      <c r="B29">
        <v>900</v>
      </c>
      <c r="C29">
        <v>1000</v>
      </c>
      <c r="D29">
        <f t="shared" si="2"/>
        <v>1173</v>
      </c>
      <c r="E29">
        <f t="shared" si="3"/>
        <v>8.5251491901108274</v>
      </c>
      <c r="F29" s="3">
        <v>3.6699999999999999E-7</v>
      </c>
      <c r="G29">
        <f t="shared" si="4"/>
        <v>-14.817903988891841</v>
      </c>
      <c r="I29">
        <v>4</v>
      </c>
    </row>
    <row r="30" spans="1:17" hidden="1" x14ac:dyDescent="0.25">
      <c r="A30" s="7">
        <v>42870</v>
      </c>
      <c r="B30">
        <v>902</v>
      </c>
      <c r="C30">
        <v>1002</v>
      </c>
      <c r="D30">
        <f t="shared" si="2"/>
        <v>1175</v>
      </c>
      <c r="E30">
        <f t="shared" si="3"/>
        <v>8.5106382978723403</v>
      </c>
      <c r="F30" s="3">
        <v>4.2E-7</v>
      </c>
      <c r="G30">
        <f t="shared" si="4"/>
        <v>-14.683011125668997</v>
      </c>
      <c r="I30">
        <v>4</v>
      </c>
    </row>
    <row r="31" spans="1:17" hidden="1" x14ac:dyDescent="0.25">
      <c r="A31" s="7">
        <v>42871</v>
      </c>
      <c r="B31">
        <v>791</v>
      </c>
      <c r="C31">
        <v>891</v>
      </c>
      <c r="D31">
        <f t="shared" si="2"/>
        <v>1064</v>
      </c>
      <c r="E31">
        <f t="shared" si="3"/>
        <v>9.3984962406015029</v>
      </c>
      <c r="F31" s="3">
        <v>3.9300000000000001E-8</v>
      </c>
      <c r="G31">
        <f t="shared" si="4"/>
        <v>-17.052041318071197</v>
      </c>
      <c r="I31">
        <v>4</v>
      </c>
    </row>
    <row r="32" spans="1:17" hidden="1" x14ac:dyDescent="0.25">
      <c r="B32">
        <v>788</v>
      </c>
      <c r="C32">
        <v>888</v>
      </c>
      <c r="D32">
        <f t="shared" si="2"/>
        <v>1061</v>
      </c>
      <c r="E32">
        <f t="shared" si="3"/>
        <v>9.4250706880301607</v>
      </c>
      <c r="F32" s="3">
        <v>3.3400000000000001E-8</v>
      </c>
      <c r="G32" s="3">
        <f t="shared" si="4"/>
        <v>-17.214709936963757</v>
      </c>
      <c r="H32" s="3"/>
      <c r="I32" s="15">
        <v>4</v>
      </c>
    </row>
    <row r="33" spans="1:26" hidden="1" x14ac:dyDescent="0.25">
      <c r="B33">
        <v>871</v>
      </c>
      <c r="C33">
        <v>971</v>
      </c>
      <c r="D33">
        <f t="shared" si="2"/>
        <v>1144</v>
      </c>
      <c r="E33">
        <f t="shared" si="3"/>
        <v>8.7412587412587417</v>
      </c>
      <c r="F33" s="3">
        <v>2.3699999999999999E-7</v>
      </c>
      <c r="G33" s="3">
        <f t="shared" si="4"/>
        <v>-15.255205695811281</v>
      </c>
      <c r="H33" s="3"/>
      <c r="I33" s="15">
        <v>4</v>
      </c>
    </row>
    <row r="34" spans="1:26" hidden="1" x14ac:dyDescent="0.25">
      <c r="B34">
        <v>869</v>
      </c>
      <c r="C34">
        <v>969</v>
      </c>
      <c r="D34">
        <f t="shared" si="2"/>
        <v>1142</v>
      </c>
      <c r="E34">
        <f t="shared" si="3"/>
        <v>8.7565674255691768</v>
      </c>
      <c r="F34" s="3">
        <v>2.03E-7</v>
      </c>
      <c r="G34">
        <f t="shared" si="4"/>
        <v>-15.410059857904624</v>
      </c>
      <c r="H34">
        <v>0.49199999999999999</v>
      </c>
      <c r="I34">
        <v>4</v>
      </c>
    </row>
    <row r="35" spans="1:26" hidden="1" x14ac:dyDescent="0.25">
      <c r="B35">
        <v>903</v>
      </c>
      <c r="C35">
        <v>1003</v>
      </c>
      <c r="D35">
        <f t="shared" si="2"/>
        <v>1176</v>
      </c>
      <c r="E35">
        <f t="shared" si="3"/>
        <v>8.5034013605442169</v>
      </c>
      <c r="F35" s="3">
        <v>3.9900000000000001E-7</v>
      </c>
      <c r="G35">
        <f t="shared" si="4"/>
        <v>-14.734304420056548</v>
      </c>
      <c r="H35">
        <v>0.98899999999999999</v>
      </c>
      <c r="I35">
        <v>4</v>
      </c>
    </row>
    <row r="36" spans="1:26" hidden="1" x14ac:dyDescent="0.25">
      <c r="A36" s="7">
        <v>42872</v>
      </c>
      <c r="B36">
        <v>787</v>
      </c>
      <c r="C36">
        <v>887</v>
      </c>
      <c r="D36">
        <f t="shared" si="2"/>
        <v>1060</v>
      </c>
      <c r="E36">
        <f t="shared" si="3"/>
        <v>9.433962264150944</v>
      </c>
      <c r="F36" s="3">
        <v>3.2999999999999998E-8</v>
      </c>
      <c r="G36">
        <f t="shared" si="4"/>
        <v>-17.226758275479931</v>
      </c>
      <c r="H36">
        <v>7.0000000000000007E-2</v>
      </c>
      <c r="I36">
        <v>4</v>
      </c>
    </row>
    <row r="37" spans="1:26" hidden="1" x14ac:dyDescent="0.25">
      <c r="B37">
        <v>903</v>
      </c>
      <c r="C37">
        <v>1003</v>
      </c>
      <c r="D37">
        <f t="shared" si="2"/>
        <v>1176</v>
      </c>
      <c r="E37">
        <f t="shared" si="3"/>
        <v>8.5034013605442169</v>
      </c>
      <c r="F37" s="3">
        <v>4.2599999999999998E-7</v>
      </c>
      <c r="G37" s="3">
        <f t="shared" si="4"/>
        <v>-14.668826490677041</v>
      </c>
      <c r="H37" s="3"/>
    </row>
    <row r="38" spans="1:26" hidden="1" x14ac:dyDescent="0.25">
      <c r="B38">
        <v>901</v>
      </c>
      <c r="C38">
        <v>1001</v>
      </c>
      <c r="D38">
        <f t="shared" si="2"/>
        <v>1174</v>
      </c>
      <c r="E38">
        <f t="shared" si="3"/>
        <v>8.5178875638841571</v>
      </c>
      <c r="F38" s="3">
        <v>3.8299999999999998E-7</v>
      </c>
      <c r="G38" s="3">
        <f t="shared" si="4"/>
        <v>-14.775230847765766</v>
      </c>
      <c r="H38">
        <v>0.95099999999999996</v>
      </c>
      <c r="I38">
        <v>4</v>
      </c>
    </row>
    <row r="39" spans="1:26" hidden="1" x14ac:dyDescent="0.25">
      <c r="A39" s="7">
        <v>42874</v>
      </c>
      <c r="B39">
        <v>860</v>
      </c>
      <c r="C39">
        <v>960</v>
      </c>
      <c r="D39">
        <f t="shared" si="2"/>
        <v>1133</v>
      </c>
      <c r="E39">
        <f t="shared" si="3"/>
        <v>8.8261253309796999</v>
      </c>
      <c r="F39" s="3">
        <v>1.79E-7</v>
      </c>
      <c r="G39">
        <f t="shared" si="4"/>
        <v>-15.535880031105656</v>
      </c>
    </row>
    <row r="40" spans="1:26" hidden="1" x14ac:dyDescent="0.25">
      <c r="B40">
        <v>869</v>
      </c>
      <c r="C40">
        <v>969</v>
      </c>
      <c r="D40">
        <f t="shared" si="2"/>
        <v>1142</v>
      </c>
      <c r="E40">
        <f t="shared" si="3"/>
        <v>8.7565674255691768</v>
      </c>
      <c r="F40" s="3">
        <v>2.1299999999999999E-7</v>
      </c>
      <c r="G40">
        <f t="shared" si="4"/>
        <v>-15.361973671236987</v>
      </c>
    </row>
    <row r="41" spans="1:26" hidden="1" x14ac:dyDescent="0.25">
      <c r="A41" s="7">
        <v>42881</v>
      </c>
      <c r="B41">
        <v>860</v>
      </c>
      <c r="C41">
        <v>860</v>
      </c>
      <c r="D41">
        <f t="shared" si="2"/>
        <v>1133</v>
      </c>
      <c r="E41">
        <f t="shared" si="3"/>
        <v>8.8261253309796999</v>
      </c>
      <c r="F41" s="3">
        <v>1.7499999999999999E-7</v>
      </c>
      <c r="G41">
        <f t="shared" si="4"/>
        <v>-15.558479863022898</v>
      </c>
    </row>
    <row r="42" spans="1:26" hidden="1" x14ac:dyDescent="0.25">
      <c r="B42">
        <v>835</v>
      </c>
      <c r="C42">
        <v>935</v>
      </c>
      <c r="D42">
        <f t="shared" si="2"/>
        <v>1108</v>
      </c>
      <c r="E42">
        <f t="shared" si="3"/>
        <v>9.025270758122744</v>
      </c>
      <c r="F42" s="3">
        <v>9.9999999999999995E-8</v>
      </c>
      <c r="G42">
        <f t="shared" si="4"/>
        <v>-16.11809565095832</v>
      </c>
      <c r="H42">
        <v>0.214</v>
      </c>
      <c r="I42">
        <v>4</v>
      </c>
    </row>
    <row r="43" spans="1:26" hidden="1" x14ac:dyDescent="0.25">
      <c r="A43" s="7">
        <v>42950</v>
      </c>
      <c r="B43">
        <v>850</v>
      </c>
      <c r="C43">
        <v>950</v>
      </c>
      <c r="D43">
        <f t="shared" si="2"/>
        <v>1123</v>
      </c>
      <c r="E43">
        <f t="shared" si="3"/>
        <v>8.9047195013357072</v>
      </c>
      <c r="F43" s="3">
        <v>1.6299999999999999E-7</v>
      </c>
      <c r="G43">
        <f t="shared" si="4"/>
        <v>-15.629515636139649</v>
      </c>
      <c r="H43" s="2">
        <f>(0.3168+0.325+0.329)/3</f>
        <v>0.32360000000000005</v>
      </c>
      <c r="I43">
        <v>4</v>
      </c>
      <c r="O43" s="3"/>
    </row>
    <row r="44" spans="1:26" hidden="1" x14ac:dyDescent="0.25">
      <c r="A44" s="7">
        <v>42950</v>
      </c>
      <c r="B44">
        <v>875</v>
      </c>
      <c r="C44">
        <v>975</v>
      </c>
      <c r="D44">
        <f t="shared" si="2"/>
        <v>1148</v>
      </c>
      <c r="E44">
        <f t="shared" si="3"/>
        <v>8.7108013937282234</v>
      </c>
      <c r="F44" s="3">
        <v>2.7399999999999999E-7</v>
      </c>
      <c r="G44">
        <f t="shared" si="4"/>
        <v>-15.110137730558341</v>
      </c>
      <c r="H44" s="2">
        <f>(0.546+0.555+0.557)/3</f>
        <v>0.55266666666666664</v>
      </c>
      <c r="I44">
        <v>4</v>
      </c>
      <c r="Y44" s="3"/>
    </row>
    <row r="45" spans="1:26" hidden="1" x14ac:dyDescent="0.25">
      <c r="A45" s="7">
        <v>42950</v>
      </c>
      <c r="B45">
        <v>902</v>
      </c>
      <c r="C45">
        <v>1002</v>
      </c>
      <c r="D45">
        <f t="shared" si="2"/>
        <v>1175</v>
      </c>
      <c r="E45">
        <f t="shared" si="3"/>
        <v>8.5106382978723403</v>
      </c>
      <c r="F45" s="3">
        <v>4.2199999999999999E-7</v>
      </c>
      <c r="G45">
        <f t="shared" si="4"/>
        <v>-14.678260522910399</v>
      </c>
      <c r="H45">
        <f>(0.965+0.99+1)/3</f>
        <v>0.98499999999999999</v>
      </c>
      <c r="I45">
        <v>4</v>
      </c>
    </row>
    <row r="46" spans="1:26" hidden="1" x14ac:dyDescent="0.25">
      <c r="A46" s="7">
        <v>42972</v>
      </c>
      <c r="B46">
        <v>902</v>
      </c>
      <c r="C46">
        <v>1002</v>
      </c>
      <c r="D46">
        <f t="shared" si="2"/>
        <v>1175</v>
      </c>
      <c r="E46">
        <f t="shared" si="3"/>
        <v>8.5106382978723403</v>
      </c>
      <c r="F46" s="3">
        <f>(0.00000043+0.000000424)/2</f>
        <v>4.27E-7</v>
      </c>
      <c r="G46">
        <f t="shared" si="4"/>
        <v>-14.666481823717787</v>
      </c>
      <c r="H46">
        <v>1.02</v>
      </c>
      <c r="I46">
        <v>4</v>
      </c>
      <c r="M46" s="3"/>
      <c r="N46" s="3"/>
      <c r="O46" s="3"/>
      <c r="Y46" s="2"/>
      <c r="Z46" s="16"/>
    </row>
    <row r="47" spans="1:26" hidden="1" x14ac:dyDescent="0.25">
      <c r="A47" s="7"/>
      <c r="B47">
        <v>869</v>
      </c>
      <c r="C47">
        <v>969</v>
      </c>
      <c r="D47">
        <f t="shared" si="2"/>
        <v>1142</v>
      </c>
      <c r="E47">
        <f t="shared" si="3"/>
        <v>8.7565674255691768</v>
      </c>
      <c r="F47">
        <f>(0.000000256+0.000000249)/2</f>
        <v>2.5250000000000002E-7</v>
      </c>
      <c r="G47">
        <f t="shared" si="4"/>
        <v>-15.191854588230997</v>
      </c>
      <c r="H47">
        <v>0.5</v>
      </c>
      <c r="I47">
        <v>4</v>
      </c>
      <c r="M47" s="3"/>
      <c r="N47" s="3"/>
    </row>
    <row r="48" spans="1:26" hidden="1" x14ac:dyDescent="0.25">
      <c r="A48" s="7"/>
      <c r="B48">
        <v>864</v>
      </c>
      <c r="C48">
        <v>964</v>
      </c>
      <c r="D48">
        <f t="shared" si="2"/>
        <v>1137</v>
      </c>
      <c r="E48">
        <f t="shared" si="3"/>
        <v>8.7950747581354438</v>
      </c>
      <c r="F48" s="3">
        <v>1.98E-7</v>
      </c>
      <c r="G48">
        <f t="shared" si="4"/>
        <v>-15.434998806251876</v>
      </c>
      <c r="H48">
        <v>0.439</v>
      </c>
      <c r="I48">
        <v>4</v>
      </c>
    </row>
    <row r="49" spans="1:9" hidden="1" x14ac:dyDescent="0.25">
      <c r="A49" s="7">
        <v>42975</v>
      </c>
      <c r="B49">
        <v>869</v>
      </c>
      <c r="C49">
        <v>969</v>
      </c>
      <c r="D49">
        <f t="shared" si="2"/>
        <v>1142</v>
      </c>
      <c r="E49">
        <f t="shared" si="3"/>
        <v>8.7565674255691768</v>
      </c>
      <c r="F49" s="3">
        <v>2.1299999999999999E-7</v>
      </c>
      <c r="G49">
        <f t="shared" si="4"/>
        <v>-15.361973671236987</v>
      </c>
      <c r="H49">
        <v>0.45500000000000002</v>
      </c>
      <c r="I49">
        <v>4</v>
      </c>
    </row>
    <row r="50" spans="1:9" hidden="1" x14ac:dyDescent="0.25">
      <c r="B50">
        <v>902</v>
      </c>
      <c r="C50">
        <v>1002</v>
      </c>
      <c r="D50">
        <f t="shared" si="2"/>
        <v>1175</v>
      </c>
      <c r="E50">
        <f t="shared" si="3"/>
        <v>8.5106382978723403</v>
      </c>
      <c r="F50" s="3">
        <v>4.0999999999999999E-7</v>
      </c>
      <c r="G50">
        <f t="shared" si="4"/>
        <v>-14.707108677248058</v>
      </c>
      <c r="H50">
        <v>0.93200000000000005</v>
      </c>
      <c r="I50">
        <v>4</v>
      </c>
    </row>
    <row r="51" spans="1:9" hidden="1" x14ac:dyDescent="0.25">
      <c r="A51" s="7">
        <v>42982</v>
      </c>
      <c r="B51">
        <v>869</v>
      </c>
      <c r="C51">
        <v>969</v>
      </c>
      <c r="D51">
        <f t="shared" si="2"/>
        <v>1142</v>
      </c>
      <c r="E51">
        <f t="shared" si="3"/>
        <v>8.7565674255691768</v>
      </c>
      <c r="F51" s="3">
        <v>2.4699999999999998E-7</v>
      </c>
      <c r="G51">
        <f t="shared" si="4"/>
        <v>-15.213877500318434</v>
      </c>
      <c r="H51">
        <v>0.48099999999999998</v>
      </c>
      <c r="I51">
        <v>4</v>
      </c>
    </row>
    <row r="52" spans="1:9" hidden="1" x14ac:dyDescent="0.25">
      <c r="B52">
        <v>902</v>
      </c>
      <c r="C52">
        <v>1002</v>
      </c>
      <c r="D52">
        <f t="shared" si="2"/>
        <v>1175</v>
      </c>
      <c r="E52">
        <f t="shared" si="3"/>
        <v>8.5106382978723403</v>
      </c>
      <c r="F52" s="3">
        <v>4.4799999999999999E-7</v>
      </c>
      <c r="G52">
        <f t="shared" si="4"/>
        <v>-14.618472604531426</v>
      </c>
      <c r="H52">
        <v>1.02</v>
      </c>
      <c r="I52">
        <v>4</v>
      </c>
    </row>
    <row r="53" spans="1:9" hidden="1" x14ac:dyDescent="0.25">
      <c r="A53" s="7">
        <v>42985</v>
      </c>
      <c r="B53">
        <v>869</v>
      </c>
      <c r="C53">
        <v>969</v>
      </c>
      <c r="D53">
        <f t="shared" si="2"/>
        <v>1142</v>
      </c>
      <c r="E53">
        <f t="shared" si="3"/>
        <v>8.7565674255691768</v>
      </c>
      <c r="F53" s="3">
        <v>2.34E-7</v>
      </c>
      <c r="G53">
        <f t="shared" si="4"/>
        <v>-15.267944721588711</v>
      </c>
      <c r="H53">
        <v>0.4385</v>
      </c>
      <c r="I53">
        <v>4</v>
      </c>
    </row>
    <row r="54" spans="1:9" hidden="1" x14ac:dyDescent="0.25">
      <c r="B54">
        <v>902</v>
      </c>
      <c r="C54">
        <v>1002</v>
      </c>
      <c r="D54">
        <f t="shared" si="2"/>
        <v>1175</v>
      </c>
      <c r="E54">
        <f t="shared" si="3"/>
        <v>8.5106382978723403</v>
      </c>
      <c r="F54" s="3">
        <f>(0.000000435+0.000000447)/2</f>
        <v>4.4099999999999999E-7</v>
      </c>
      <c r="G54">
        <f t="shared" si="4"/>
        <v>-14.634220961499565</v>
      </c>
      <c r="H54">
        <v>1.002</v>
      </c>
      <c r="I54">
        <v>4</v>
      </c>
    </row>
    <row r="55" spans="1:9" hidden="1" x14ac:dyDescent="0.25">
      <c r="A55" s="7">
        <v>42989</v>
      </c>
      <c r="B55">
        <v>869</v>
      </c>
      <c r="C55">
        <v>969</v>
      </c>
      <c r="D55">
        <f t="shared" si="2"/>
        <v>1142</v>
      </c>
      <c r="E55">
        <f t="shared" si="3"/>
        <v>8.7565674255691768</v>
      </c>
      <c r="F55" s="3">
        <v>2.2999999999999999E-7</v>
      </c>
      <c r="G55">
        <f t="shared" si="4"/>
        <v>-15.285186528023216</v>
      </c>
      <c r="H55">
        <v>0.45750000000000002</v>
      </c>
      <c r="I55">
        <v>4</v>
      </c>
    </row>
    <row r="56" spans="1:9" hidden="1" x14ac:dyDescent="0.25">
      <c r="B56">
        <v>902</v>
      </c>
      <c r="C56">
        <v>1002</v>
      </c>
      <c r="D56">
        <f t="shared" si="2"/>
        <v>1175</v>
      </c>
      <c r="E56">
        <f t="shared" si="3"/>
        <v>8.5106382978723403</v>
      </c>
      <c r="F56" s="3">
        <v>4.6699999999999999E-7</v>
      </c>
      <c r="G56">
        <f t="shared" si="4"/>
        <v>-14.576936579277515</v>
      </c>
      <c r="H56">
        <v>0.995</v>
      </c>
      <c r="I56">
        <v>4</v>
      </c>
    </row>
    <row r="57" spans="1:9" hidden="1" x14ac:dyDescent="0.25">
      <c r="A57" s="7">
        <v>42992</v>
      </c>
      <c r="B57">
        <v>869</v>
      </c>
      <c r="C57">
        <v>969</v>
      </c>
      <c r="D57">
        <f t="shared" si="2"/>
        <v>1142</v>
      </c>
      <c r="E57">
        <f t="shared" si="3"/>
        <v>8.7565674255691768</v>
      </c>
      <c r="F57" s="3">
        <v>2.3200000000000001E-7</v>
      </c>
      <c r="G57">
        <f t="shared" si="4"/>
        <v>-15.276528465280101</v>
      </c>
      <c r="H57">
        <v>0.45600000000000002</v>
      </c>
      <c r="I57">
        <v>4</v>
      </c>
    </row>
    <row r="58" spans="1:9" hidden="1" x14ac:dyDescent="0.25">
      <c r="B58">
        <v>902</v>
      </c>
      <c r="C58">
        <v>1002</v>
      </c>
      <c r="D58">
        <f t="shared" si="2"/>
        <v>1175</v>
      </c>
      <c r="E58">
        <f t="shared" si="3"/>
        <v>8.5106382978723403</v>
      </c>
      <c r="F58" s="3">
        <v>4.2599999999999998E-7</v>
      </c>
      <c r="G58">
        <f t="shared" si="4"/>
        <v>-14.668826490677041</v>
      </c>
      <c r="H58">
        <v>1.0149999999999999</v>
      </c>
      <c r="I58">
        <v>4</v>
      </c>
    </row>
    <row r="59" spans="1:9" hidden="1" x14ac:dyDescent="0.25">
      <c r="A59" s="7">
        <v>42996</v>
      </c>
      <c r="B59">
        <v>869</v>
      </c>
      <c r="C59">
        <v>969</v>
      </c>
      <c r="D59">
        <f t="shared" si="2"/>
        <v>1142</v>
      </c>
      <c r="E59">
        <f t="shared" si="3"/>
        <v>8.7565674255691768</v>
      </c>
      <c r="F59" s="3">
        <v>2.4699999999999998E-7</v>
      </c>
      <c r="G59">
        <f t="shared" si="4"/>
        <v>-15.213877500318434</v>
      </c>
    </row>
    <row r="60" spans="1:9" hidden="1" x14ac:dyDescent="0.25">
      <c r="B60">
        <v>902</v>
      </c>
      <c r="C60">
        <v>1002</v>
      </c>
      <c r="D60">
        <f t="shared" si="2"/>
        <v>1175</v>
      </c>
      <c r="E60">
        <f t="shared" si="3"/>
        <v>8.5106382978723403</v>
      </c>
      <c r="F60" s="3">
        <v>4.5999999999999999E-7</v>
      </c>
      <c r="G60" s="3">
        <f t="shared" si="4"/>
        <v>-14.59203934746327</v>
      </c>
      <c r="H60">
        <v>1.06</v>
      </c>
      <c r="I60">
        <v>4</v>
      </c>
    </row>
    <row r="61" spans="1:9" hidden="1" x14ac:dyDescent="0.25">
      <c r="A61" s="7">
        <v>43000</v>
      </c>
      <c r="B61">
        <v>869</v>
      </c>
      <c r="C61">
        <v>969</v>
      </c>
      <c r="D61">
        <f t="shared" si="2"/>
        <v>1142</v>
      </c>
      <c r="E61">
        <f t="shared" si="3"/>
        <v>8.7565674255691768</v>
      </c>
      <c r="F61" s="3">
        <v>2.265E-7</v>
      </c>
      <c r="G61">
        <f t="shared" si="4"/>
        <v>-15.300520892023323</v>
      </c>
      <c r="H61">
        <v>0.4375</v>
      </c>
      <c r="I61">
        <v>4</v>
      </c>
    </row>
    <row r="62" spans="1:9" hidden="1" x14ac:dyDescent="0.25">
      <c r="B62">
        <v>902</v>
      </c>
      <c r="C62">
        <v>1002</v>
      </c>
      <c r="D62">
        <f t="shared" si="2"/>
        <v>1175</v>
      </c>
      <c r="E62">
        <f t="shared" si="3"/>
        <v>8.5106382978723403</v>
      </c>
      <c r="F62" s="3">
        <v>4.165E-7</v>
      </c>
      <c r="G62">
        <f t="shared" si="4"/>
        <v>-14.691379375339514</v>
      </c>
      <c r="H62">
        <v>0.98699999999999999</v>
      </c>
      <c r="I62">
        <v>4</v>
      </c>
    </row>
    <row r="63" spans="1:9" hidden="1" x14ac:dyDescent="0.25">
      <c r="A63" s="7">
        <v>43003</v>
      </c>
      <c r="B63">
        <v>869</v>
      </c>
      <c r="C63">
        <v>969</v>
      </c>
      <c r="D63">
        <f t="shared" si="2"/>
        <v>1142</v>
      </c>
      <c r="E63">
        <f t="shared" si="3"/>
        <v>8.7565674255691768</v>
      </c>
      <c r="F63" s="3">
        <v>2.34E-7</v>
      </c>
      <c r="G63">
        <f t="shared" si="4"/>
        <v>-15.267944721588711</v>
      </c>
      <c r="H63">
        <f>(0.458+0.452)/2</f>
        <v>0.45500000000000002</v>
      </c>
      <c r="I63">
        <v>4</v>
      </c>
    </row>
    <row r="64" spans="1:9" hidden="1" x14ac:dyDescent="0.25">
      <c r="B64">
        <v>902</v>
      </c>
      <c r="C64">
        <v>1002</v>
      </c>
      <c r="D64">
        <f t="shared" si="2"/>
        <v>1175</v>
      </c>
      <c r="E64">
        <f t="shared" si="3"/>
        <v>8.5106382978723403</v>
      </c>
      <c r="F64" s="3">
        <v>4.1699999999999999E-7</v>
      </c>
      <c r="G64">
        <f t="shared" si="4"/>
        <v>-14.69017961514761</v>
      </c>
      <c r="H64">
        <f>(0.963+0.989)/2</f>
        <v>0.97599999999999998</v>
      </c>
      <c r="I64">
        <v>4</v>
      </c>
    </row>
    <row r="65" spans="1:13" hidden="1" x14ac:dyDescent="0.25">
      <c r="A65" s="7">
        <v>43004</v>
      </c>
      <c r="B65">
        <v>862</v>
      </c>
      <c r="C65">
        <v>962</v>
      </c>
      <c r="D65">
        <f t="shared" si="2"/>
        <v>1135</v>
      </c>
      <c r="E65">
        <f t="shared" si="3"/>
        <v>8.8105726872246688</v>
      </c>
      <c r="F65" s="3">
        <v>1.9000000000000001E-7</v>
      </c>
      <c r="G65">
        <f t="shared" si="4"/>
        <v>-15.476241764785925</v>
      </c>
    </row>
    <row r="66" spans="1:13" hidden="1" x14ac:dyDescent="0.25">
      <c r="B66">
        <v>867</v>
      </c>
      <c r="C66">
        <v>967</v>
      </c>
      <c r="D66">
        <f t="shared" si="2"/>
        <v>1140</v>
      </c>
      <c r="E66">
        <f t="shared" si="3"/>
        <v>8.7719298245614041</v>
      </c>
      <c r="F66" s="3">
        <v>2.0599999999999999E-7</v>
      </c>
      <c r="G66">
        <f t="shared" si="4"/>
        <v>-15.395389668156831</v>
      </c>
      <c r="H66">
        <v>0.42499999999999999</v>
      </c>
      <c r="I66">
        <v>4</v>
      </c>
    </row>
    <row r="67" spans="1:13" hidden="1" x14ac:dyDescent="0.25">
      <c r="B67">
        <v>872</v>
      </c>
      <c r="C67">
        <v>972</v>
      </c>
      <c r="D67">
        <f t="shared" si="2"/>
        <v>1145</v>
      </c>
      <c r="E67">
        <f t="shared" si="3"/>
        <v>8.7336244541484724</v>
      </c>
      <c r="F67" s="3">
        <v>2.2600000000000001E-7</v>
      </c>
      <c r="G67">
        <f t="shared" si="4"/>
        <v>-15.302730837674126</v>
      </c>
    </row>
    <row r="68" spans="1:13" hidden="1" x14ac:dyDescent="0.25">
      <c r="A68" s="7">
        <v>43007</v>
      </c>
      <c r="B68">
        <v>869</v>
      </c>
      <c r="C68">
        <v>969</v>
      </c>
      <c r="D68">
        <f t="shared" si="2"/>
        <v>1142</v>
      </c>
      <c r="E68">
        <f t="shared" si="3"/>
        <v>8.7565674255691768</v>
      </c>
      <c r="F68" s="3">
        <v>2.075E-7</v>
      </c>
      <c r="G68">
        <f t="shared" si="4"/>
        <v>-15.388134497275658</v>
      </c>
      <c r="H68">
        <v>0.47349999999999998</v>
      </c>
      <c r="I68">
        <v>4</v>
      </c>
    </row>
    <row r="69" spans="1:13" hidden="1" x14ac:dyDescent="0.25">
      <c r="B69">
        <v>902</v>
      </c>
      <c r="C69">
        <v>1002</v>
      </c>
      <c r="D69">
        <f t="shared" si="2"/>
        <v>1175</v>
      </c>
      <c r="E69">
        <f t="shared" si="3"/>
        <v>8.5106382978723403</v>
      </c>
      <c r="F69" s="3">
        <v>4.0200000000000003E-7</v>
      </c>
      <c r="G69">
        <f t="shared" si="4"/>
        <v>-14.726813748327389</v>
      </c>
      <c r="H69">
        <v>0.96299999999999997</v>
      </c>
      <c r="I69">
        <v>4</v>
      </c>
    </row>
    <row r="70" spans="1:13" hidden="1" x14ac:dyDescent="0.25">
      <c r="A70" s="7">
        <v>43011</v>
      </c>
      <c r="B70">
        <v>866</v>
      </c>
      <c r="C70">
        <v>966</v>
      </c>
      <c r="D70">
        <f t="shared" si="2"/>
        <v>1139</v>
      </c>
      <c r="E70">
        <f t="shared" si="3"/>
        <v>8.7796312554872689</v>
      </c>
      <c r="F70" s="3">
        <v>2.11E-7</v>
      </c>
      <c r="G70">
        <f t="shared" si="4"/>
        <v>-15.371407703470345</v>
      </c>
    </row>
    <row r="71" spans="1:13" hidden="1" x14ac:dyDescent="0.25">
      <c r="A71" s="7">
        <v>43012</v>
      </c>
      <c r="B71">
        <v>870</v>
      </c>
      <c r="C71">
        <v>970</v>
      </c>
      <c r="D71">
        <f t="shared" si="2"/>
        <v>1143</v>
      </c>
      <c r="E71">
        <f t="shared" si="3"/>
        <v>8.7489063867016625</v>
      </c>
      <c r="F71" s="3">
        <v>2.1199999999999999E-7</v>
      </c>
      <c r="G71">
        <f t="shared" si="4"/>
        <v>-15.366679562274399</v>
      </c>
      <c r="H71">
        <v>0.47</v>
      </c>
      <c r="I71">
        <v>4</v>
      </c>
    </row>
    <row r="72" spans="1:13" hidden="1" x14ac:dyDescent="0.25">
      <c r="B72">
        <v>902</v>
      </c>
      <c r="C72">
        <v>1002</v>
      </c>
      <c r="D72">
        <f t="shared" si="2"/>
        <v>1175</v>
      </c>
      <c r="E72">
        <f t="shared" si="3"/>
        <v>8.5106382978723403</v>
      </c>
      <c r="F72" s="3">
        <v>4.1800000000000001E-7</v>
      </c>
      <c r="G72">
        <f t="shared" si="4"/>
        <v>-14.687784404421654</v>
      </c>
      <c r="H72">
        <v>1.01</v>
      </c>
      <c r="I72">
        <v>4</v>
      </c>
    </row>
    <row r="73" spans="1:13" hidden="1" x14ac:dyDescent="0.25">
      <c r="B73">
        <v>855</v>
      </c>
      <c r="C73">
        <v>955</v>
      </c>
      <c r="D73">
        <f t="shared" si="2"/>
        <v>1128</v>
      </c>
      <c r="E73">
        <f t="shared" si="3"/>
        <v>8.8652482269503547</v>
      </c>
      <c r="F73" s="3">
        <v>1.5300000000000001E-7</v>
      </c>
      <c r="G73" s="3">
        <f t="shared" si="4"/>
        <v>-15.692827915553975</v>
      </c>
      <c r="H73" s="3">
        <v>0.34</v>
      </c>
      <c r="I73">
        <v>4</v>
      </c>
      <c r="K73" s="13"/>
      <c r="L73" s="13"/>
      <c r="M73" s="13"/>
    </row>
    <row r="74" spans="1:13" hidden="1" x14ac:dyDescent="0.25">
      <c r="A74" s="7">
        <v>43017</v>
      </c>
      <c r="B74">
        <v>869</v>
      </c>
      <c r="C74">
        <v>969</v>
      </c>
      <c r="D74">
        <f t="shared" si="2"/>
        <v>1142</v>
      </c>
      <c r="E74">
        <f t="shared" si="3"/>
        <v>8.7565674255691768</v>
      </c>
      <c r="F74" s="3">
        <v>2.35E-7</v>
      </c>
      <c r="G74">
        <f t="shared" si="4"/>
        <v>-15.263680322802252</v>
      </c>
      <c r="H74">
        <v>0.47199999999999998</v>
      </c>
      <c r="I74">
        <v>4</v>
      </c>
    </row>
    <row r="75" spans="1:13" hidden="1" x14ac:dyDescent="0.25">
      <c r="B75">
        <v>902</v>
      </c>
      <c r="C75">
        <v>1002</v>
      </c>
      <c r="D75">
        <f t="shared" si="2"/>
        <v>1175</v>
      </c>
      <c r="E75">
        <f t="shared" si="3"/>
        <v>8.5106382978723403</v>
      </c>
      <c r="F75" s="3">
        <v>4.34E-7</v>
      </c>
      <c r="G75">
        <f t="shared" si="4"/>
        <v>-14.650221302846006</v>
      </c>
      <c r="H75">
        <v>0.99950000000000006</v>
      </c>
      <c r="I75">
        <v>4</v>
      </c>
    </row>
    <row r="76" spans="1:13" hidden="1" x14ac:dyDescent="0.25">
      <c r="A76" s="7">
        <v>43018</v>
      </c>
      <c r="B76">
        <v>838</v>
      </c>
      <c r="C76">
        <v>938</v>
      </c>
      <c r="D76">
        <f t="shared" si="2"/>
        <v>1111</v>
      </c>
      <c r="E76">
        <f t="shared" si="3"/>
        <v>9.0009000900090008</v>
      </c>
      <c r="F76" s="3">
        <v>1.08E-7</v>
      </c>
      <c r="G76">
        <f t="shared" si="4"/>
        <v>-16.041134609822191</v>
      </c>
      <c r="H76">
        <v>0.22500000000000001</v>
      </c>
      <c r="I76">
        <v>4</v>
      </c>
    </row>
    <row r="77" spans="1:13" hidden="1" x14ac:dyDescent="0.25">
      <c r="B77">
        <v>840</v>
      </c>
      <c r="C77">
        <v>940</v>
      </c>
      <c r="D77">
        <f t="shared" si="2"/>
        <v>1113</v>
      </c>
      <c r="E77">
        <f t="shared" si="3"/>
        <v>8.9847259658580416</v>
      </c>
      <c r="F77" s="3">
        <v>1.12E-7</v>
      </c>
      <c r="G77">
        <f t="shared" si="4"/>
        <v>-16.004766965651317</v>
      </c>
      <c r="H77">
        <v>0.23699999999999999</v>
      </c>
      <c r="I77">
        <v>4</v>
      </c>
    </row>
    <row r="78" spans="1:13" hidden="1" x14ac:dyDescent="0.25">
      <c r="B78">
        <v>834</v>
      </c>
      <c r="C78">
        <v>934</v>
      </c>
      <c r="D78">
        <f t="shared" si="2"/>
        <v>1107</v>
      </c>
      <c r="E78">
        <f t="shared" si="3"/>
        <v>9.033423667570009</v>
      </c>
      <c r="H78">
        <v>0.20499999999999999</v>
      </c>
      <c r="I78">
        <v>4</v>
      </c>
    </row>
    <row r="79" spans="1:13" hidden="1" x14ac:dyDescent="0.25">
      <c r="A79" s="7">
        <v>43032</v>
      </c>
      <c r="B79">
        <v>823</v>
      </c>
      <c r="C79">
        <v>923</v>
      </c>
      <c r="D79">
        <f t="shared" si="2"/>
        <v>1096</v>
      </c>
      <c r="E79">
        <f t="shared" si="3"/>
        <v>9.1240875912408761</v>
      </c>
      <c r="F79" s="3">
        <v>8.5500000000000005E-8</v>
      </c>
      <c r="G79">
        <f t="shared" si="4"/>
        <v>-16.274749461003697</v>
      </c>
    </row>
    <row r="80" spans="1:13" hidden="1" x14ac:dyDescent="0.25">
      <c r="B80">
        <v>818</v>
      </c>
      <c r="C80">
        <v>918</v>
      </c>
      <c r="D80">
        <f t="shared" si="2"/>
        <v>1091</v>
      </c>
      <c r="E80">
        <f t="shared" si="3"/>
        <v>9.1659028414298813</v>
      </c>
      <c r="F80" s="3">
        <v>7.3500000000000003E-8</v>
      </c>
      <c r="G80">
        <f t="shared" si="4"/>
        <v>-16.42598043072762</v>
      </c>
      <c r="H80">
        <v>0.14000000000000001</v>
      </c>
      <c r="I80">
        <v>4</v>
      </c>
    </row>
    <row r="81" spans="1:9" hidden="1" x14ac:dyDescent="0.25">
      <c r="B81">
        <v>869</v>
      </c>
      <c r="C81">
        <v>969</v>
      </c>
      <c r="D81">
        <f t="shared" si="2"/>
        <v>1142</v>
      </c>
      <c r="E81">
        <f t="shared" si="3"/>
        <v>8.7565674255691768</v>
      </c>
      <c r="F81" s="3">
        <v>2.29E-7</v>
      </c>
      <c r="G81">
        <f t="shared" si="4"/>
        <v>-15.289543833392171</v>
      </c>
      <c r="H81">
        <v>0.47</v>
      </c>
      <c r="I81">
        <v>4</v>
      </c>
    </row>
    <row r="82" spans="1:9" hidden="1" x14ac:dyDescent="0.25">
      <c r="B82">
        <v>902</v>
      </c>
      <c r="C82">
        <v>1002</v>
      </c>
      <c r="D82">
        <f t="shared" si="2"/>
        <v>1175</v>
      </c>
      <c r="E82">
        <f t="shared" si="3"/>
        <v>8.5106382978723403</v>
      </c>
      <c r="F82" s="3">
        <v>4.1699999999999999E-7</v>
      </c>
      <c r="G82">
        <f t="shared" si="4"/>
        <v>-14.69017961514761</v>
      </c>
      <c r="H82">
        <v>0.97</v>
      </c>
      <c r="I82">
        <v>4</v>
      </c>
    </row>
    <row r="83" spans="1:9" hidden="1" x14ac:dyDescent="0.25">
      <c r="A83" s="7">
        <v>43035</v>
      </c>
      <c r="B83">
        <v>869</v>
      </c>
      <c r="C83">
        <v>969</v>
      </c>
      <c r="D83">
        <f t="shared" si="2"/>
        <v>1142</v>
      </c>
      <c r="E83">
        <f t="shared" si="3"/>
        <v>8.7565674255691768</v>
      </c>
      <c r="F83" s="3">
        <v>2.34E-7</v>
      </c>
      <c r="G83">
        <f t="shared" si="4"/>
        <v>-15.267944721588711</v>
      </c>
      <c r="H83">
        <v>0.46300000000000002</v>
      </c>
      <c r="I83">
        <v>4</v>
      </c>
    </row>
    <row r="84" spans="1:9" hidden="1" x14ac:dyDescent="0.25">
      <c r="B84">
        <v>902</v>
      </c>
      <c r="C84">
        <v>1002</v>
      </c>
      <c r="D84">
        <f t="shared" si="2"/>
        <v>1175</v>
      </c>
      <c r="E84">
        <f t="shared" si="3"/>
        <v>8.5106382978723403</v>
      </c>
      <c r="F84" s="3">
        <v>4.4900000000000001E-7</v>
      </c>
      <c r="G84" s="3">
        <f t="shared" si="4"/>
        <v>-14.616242949204157</v>
      </c>
      <c r="H84">
        <v>1</v>
      </c>
      <c r="I84">
        <v>4</v>
      </c>
    </row>
    <row r="85" spans="1:9" hidden="1" x14ac:dyDescent="0.25">
      <c r="A85" s="7">
        <v>43038</v>
      </c>
      <c r="B85">
        <v>870</v>
      </c>
      <c r="C85">
        <v>970</v>
      </c>
      <c r="D85">
        <f t="shared" si="2"/>
        <v>1143</v>
      </c>
      <c r="E85">
        <f t="shared" si="3"/>
        <v>8.7489063867016625</v>
      </c>
      <c r="F85" s="3">
        <v>2.3799999999999999E-7</v>
      </c>
      <c r="G85">
        <f t="shared" si="4"/>
        <v>-15.250995163274936</v>
      </c>
    </row>
    <row r="86" spans="1:9" hidden="1" x14ac:dyDescent="0.25">
      <c r="B86">
        <v>902</v>
      </c>
      <c r="C86">
        <v>1002</v>
      </c>
      <c r="D86">
        <f t="shared" si="2"/>
        <v>1175</v>
      </c>
      <c r="E86">
        <f t="shared" si="3"/>
        <v>8.5106382978723403</v>
      </c>
      <c r="F86" s="3">
        <v>4.3300000000000003E-7</v>
      </c>
      <c r="G86">
        <f t="shared" si="4"/>
        <v>-14.652528108943921</v>
      </c>
    </row>
    <row r="87" spans="1:9" hidden="1" x14ac:dyDescent="0.25">
      <c r="A87" s="7">
        <v>43041</v>
      </c>
      <c r="B87">
        <v>870</v>
      </c>
      <c r="C87">
        <v>970</v>
      </c>
      <c r="D87">
        <f t="shared" si="2"/>
        <v>1143</v>
      </c>
      <c r="E87">
        <f t="shared" si="3"/>
        <v>8.7489063867016625</v>
      </c>
      <c r="F87" s="3">
        <v>2.2000000000000001E-7</v>
      </c>
      <c r="G87">
        <f t="shared" si="4"/>
        <v>-15.329638290594049</v>
      </c>
    </row>
    <row r="88" spans="1:9" hidden="1" x14ac:dyDescent="0.25">
      <c r="B88">
        <v>902</v>
      </c>
      <c r="C88">
        <v>1002</v>
      </c>
      <c r="D88">
        <f t="shared" si="2"/>
        <v>1175</v>
      </c>
      <c r="E88">
        <f t="shared" si="3"/>
        <v>8.5106382978723403</v>
      </c>
      <c r="F88" s="3">
        <v>4.0999999999999999E-7</v>
      </c>
      <c r="G88">
        <f t="shared" si="4"/>
        <v>-14.707108677248058</v>
      </c>
    </row>
    <row r="89" spans="1:9" hidden="1" x14ac:dyDescent="0.25">
      <c r="A89" s="7">
        <v>43046</v>
      </c>
      <c r="B89">
        <v>840</v>
      </c>
      <c r="C89">
        <v>940</v>
      </c>
      <c r="D89">
        <f t="shared" si="2"/>
        <v>1113</v>
      </c>
      <c r="E89">
        <f t="shared" si="3"/>
        <v>8.9847259658580416</v>
      </c>
      <c r="F89" s="3">
        <v>1.2100000000000001E-7</v>
      </c>
      <c r="G89">
        <f t="shared" si="4"/>
        <v>-15.927475291349669</v>
      </c>
    </row>
    <row r="90" spans="1:9" hidden="1" x14ac:dyDescent="0.25">
      <c r="B90">
        <v>870</v>
      </c>
      <c r="C90">
        <v>970</v>
      </c>
      <c r="D90">
        <f t="shared" si="2"/>
        <v>1143</v>
      </c>
      <c r="E90">
        <f t="shared" si="3"/>
        <v>8.7489063867016625</v>
      </c>
      <c r="F90" s="3">
        <v>2.2600000000000001E-7</v>
      </c>
      <c r="G90">
        <f t="shared" si="4"/>
        <v>-15.302730837674126</v>
      </c>
    </row>
    <row r="91" spans="1:9" hidden="1" x14ac:dyDescent="0.25">
      <c r="A91" s="7">
        <v>43048</v>
      </c>
      <c r="B91">
        <v>831</v>
      </c>
      <c r="C91">
        <v>931</v>
      </c>
      <c r="D91">
        <f t="shared" si="2"/>
        <v>1104</v>
      </c>
      <c r="E91">
        <f t="shared" si="3"/>
        <v>9.0579710144927539</v>
      </c>
      <c r="F91" s="3">
        <v>9.7500000000000006E-8</v>
      </c>
      <c r="G91">
        <f t="shared" si="4"/>
        <v>-16.143413458942611</v>
      </c>
    </row>
    <row r="92" spans="1:9" hidden="1" x14ac:dyDescent="0.25">
      <c r="B92">
        <v>870</v>
      </c>
      <c r="C92">
        <v>970</v>
      </c>
      <c r="D92">
        <f t="shared" si="2"/>
        <v>1143</v>
      </c>
      <c r="E92">
        <f t="shared" si="3"/>
        <v>8.7489063867016625</v>
      </c>
      <c r="F92" s="3">
        <v>2.2000000000000001E-7</v>
      </c>
      <c r="G92">
        <f t="shared" si="4"/>
        <v>-15.329638290594049</v>
      </c>
    </row>
    <row r="93" spans="1:9" hidden="1" x14ac:dyDescent="0.25">
      <c r="A93" s="7">
        <v>41957</v>
      </c>
      <c r="B93">
        <v>824</v>
      </c>
      <c r="C93">
        <v>924</v>
      </c>
      <c r="D93">
        <f t="shared" si="2"/>
        <v>1097</v>
      </c>
      <c r="E93">
        <f t="shared" si="3"/>
        <v>9.115770282588878</v>
      </c>
      <c r="F93" s="3">
        <v>8.3400000000000006E-8</v>
      </c>
      <c r="G93">
        <f t="shared" si="4"/>
        <v>-16.299617527581709</v>
      </c>
      <c r="H93">
        <v>0.16400000000000001</v>
      </c>
      <c r="I93">
        <v>2</v>
      </c>
    </row>
    <row r="94" spans="1:9" hidden="1" x14ac:dyDescent="0.25">
      <c r="A94" s="7">
        <v>43055</v>
      </c>
      <c r="B94">
        <v>824</v>
      </c>
      <c r="C94">
        <v>924</v>
      </c>
      <c r="D94">
        <f t="shared" si="2"/>
        <v>1097</v>
      </c>
      <c r="E94">
        <f t="shared" si="3"/>
        <v>9.115770282588878</v>
      </c>
      <c r="F94" s="3">
        <v>1.01E-7</v>
      </c>
      <c r="G94">
        <f t="shared" si="4"/>
        <v>-16.108145320105152</v>
      </c>
    </row>
    <row r="95" spans="1:9" hidden="1" x14ac:dyDescent="0.25">
      <c r="A95" s="7">
        <v>43056</v>
      </c>
      <c r="B95">
        <v>824</v>
      </c>
      <c r="C95">
        <v>924</v>
      </c>
      <c r="D95">
        <f t="shared" si="2"/>
        <v>1097</v>
      </c>
      <c r="E95">
        <f t="shared" si="3"/>
        <v>9.115770282588878</v>
      </c>
      <c r="F95" s="3">
        <v>8.6999999999999998E-8</v>
      </c>
      <c r="G95">
        <f t="shared" si="4"/>
        <v>-16.257357718291829</v>
      </c>
    </row>
    <row r="96" spans="1:9" hidden="1" x14ac:dyDescent="0.25">
      <c r="A96" s="7">
        <v>43067</v>
      </c>
      <c r="B96">
        <v>870</v>
      </c>
      <c r="C96">
        <v>970</v>
      </c>
      <c r="D96">
        <f t="shared" si="2"/>
        <v>1143</v>
      </c>
      <c r="E96">
        <f t="shared" si="3"/>
        <v>8.7489063867016625</v>
      </c>
      <c r="F96" s="3">
        <v>2.1199999999999999E-7</v>
      </c>
      <c r="G96">
        <f t="shared" si="4"/>
        <v>-15.366679562274399</v>
      </c>
    </row>
    <row r="97" spans="1:9" hidden="1" x14ac:dyDescent="0.25">
      <c r="A97" s="7">
        <v>43069</v>
      </c>
      <c r="B97">
        <v>870</v>
      </c>
      <c r="C97">
        <v>970</v>
      </c>
      <c r="D97">
        <f t="shared" si="2"/>
        <v>1143</v>
      </c>
      <c r="E97">
        <f t="shared" si="3"/>
        <v>8.7489063867016625</v>
      </c>
      <c r="F97" s="3">
        <v>2.16E-7</v>
      </c>
      <c r="G97" s="3">
        <f t="shared" si="4"/>
        <v>-15.347987429262247</v>
      </c>
      <c r="H97">
        <v>0.46200000000000002</v>
      </c>
      <c r="I97">
        <v>2</v>
      </c>
    </row>
    <row r="98" spans="1:9" hidden="1" x14ac:dyDescent="0.25">
      <c r="A98" s="7">
        <v>43073</v>
      </c>
      <c r="B98">
        <v>870</v>
      </c>
      <c r="C98">
        <v>970</v>
      </c>
      <c r="D98">
        <f t="shared" si="2"/>
        <v>1143</v>
      </c>
      <c r="E98">
        <f t="shared" si="3"/>
        <v>8.7489063867016625</v>
      </c>
      <c r="F98" s="3">
        <v>2.2999999999999999E-7</v>
      </c>
      <c r="G98">
        <f t="shared" si="4"/>
        <v>-15.285186528023216</v>
      </c>
    </row>
    <row r="99" spans="1:9" hidden="1" x14ac:dyDescent="0.25">
      <c r="A99" s="7">
        <v>43077</v>
      </c>
      <c r="B99">
        <v>850</v>
      </c>
      <c r="C99">
        <v>950</v>
      </c>
      <c r="D99">
        <f t="shared" si="2"/>
        <v>1123</v>
      </c>
      <c r="E99">
        <f t="shared" si="3"/>
        <v>8.9047195013357072</v>
      </c>
      <c r="F99" s="3">
        <v>1.5800000000000001E-7</v>
      </c>
      <c r="G99">
        <f t="shared" si="4"/>
        <v>-15.660670803919444</v>
      </c>
      <c r="H99">
        <v>0.29899999999999999</v>
      </c>
      <c r="I99">
        <v>4</v>
      </c>
    </row>
    <row r="100" spans="1:9" hidden="1" x14ac:dyDescent="0.25">
      <c r="B100">
        <v>870</v>
      </c>
      <c r="C100">
        <v>970</v>
      </c>
      <c r="D100">
        <f t="shared" si="2"/>
        <v>1143</v>
      </c>
      <c r="E100">
        <f t="shared" si="3"/>
        <v>8.7489063867016625</v>
      </c>
      <c r="F100" s="3">
        <v>2.48E-7</v>
      </c>
      <c r="G100">
        <f t="shared" si="4"/>
        <v>-15.209837090781429</v>
      </c>
      <c r="H100">
        <v>0.43</v>
      </c>
      <c r="I100">
        <v>4</v>
      </c>
    </row>
    <row r="101" spans="1:9" hidden="1" x14ac:dyDescent="0.25">
      <c r="A101" s="7">
        <v>43080</v>
      </c>
      <c r="B101">
        <v>870</v>
      </c>
      <c r="C101">
        <v>970</v>
      </c>
      <c r="D101">
        <f t="shared" si="2"/>
        <v>1143</v>
      </c>
      <c r="E101">
        <f t="shared" si="3"/>
        <v>8.7489063867016625</v>
      </c>
      <c r="F101" s="3">
        <v>2.1299999999999999E-7</v>
      </c>
      <c r="G101">
        <f t="shared" si="4"/>
        <v>-15.361973671236987</v>
      </c>
    </row>
    <row r="102" spans="1:9" hidden="1" x14ac:dyDescent="0.25">
      <c r="A102" s="7">
        <v>43084</v>
      </c>
      <c r="B102">
        <v>870</v>
      </c>
      <c r="C102">
        <v>970</v>
      </c>
      <c r="D102">
        <f t="shared" si="2"/>
        <v>1143</v>
      </c>
      <c r="E102">
        <f t="shared" si="3"/>
        <v>8.7489063867016625</v>
      </c>
      <c r="F102" s="3">
        <v>2.3300000000000001E-7</v>
      </c>
      <c r="G102">
        <f t="shared" si="4"/>
        <v>-15.272227383380711</v>
      </c>
      <c r="H102">
        <v>0.44900000000000001</v>
      </c>
      <c r="I102">
        <v>4</v>
      </c>
    </row>
    <row r="103" spans="1:9" hidden="1" x14ac:dyDescent="0.25">
      <c r="A103" s="7">
        <v>43088</v>
      </c>
      <c r="B103">
        <v>870</v>
      </c>
      <c r="C103">
        <v>970</v>
      </c>
      <c r="D103">
        <f t="shared" si="2"/>
        <v>1143</v>
      </c>
      <c r="E103">
        <f t="shared" si="3"/>
        <v>8.7489063867016625</v>
      </c>
      <c r="F103" s="3">
        <v>2.2700000000000001E-7</v>
      </c>
      <c r="G103">
        <f t="shared" si="4"/>
        <v>-15.298315819465008</v>
      </c>
      <c r="H103">
        <v>0.43</v>
      </c>
      <c r="I103">
        <v>4</v>
      </c>
    </row>
    <row r="104" spans="1:9" hidden="1" x14ac:dyDescent="0.25">
      <c r="A104" s="7">
        <v>43089</v>
      </c>
      <c r="B104">
        <v>870</v>
      </c>
      <c r="C104">
        <v>970</v>
      </c>
      <c r="D104">
        <f t="shared" si="2"/>
        <v>1143</v>
      </c>
      <c r="E104">
        <f t="shared" si="3"/>
        <v>8.7489063867016625</v>
      </c>
      <c r="F104" s="3">
        <v>2.22E-7</v>
      </c>
      <c r="G104">
        <f t="shared" ref="G104:G139" si="5">LN(F104)</f>
        <v>-15.320588455074132</v>
      </c>
    </row>
    <row r="105" spans="1:9" hidden="1" x14ac:dyDescent="0.25">
      <c r="A105" s="7">
        <v>43115</v>
      </c>
      <c r="B105">
        <v>870</v>
      </c>
      <c r="C105">
        <v>970</v>
      </c>
      <c r="D105">
        <f t="shared" si="2"/>
        <v>1143</v>
      </c>
      <c r="E105">
        <f t="shared" si="3"/>
        <v>8.7489063867016625</v>
      </c>
      <c r="F105" s="3">
        <v>2.2999999999999999E-7</v>
      </c>
      <c r="G105">
        <f t="shared" si="5"/>
        <v>-15.285186528023216</v>
      </c>
    </row>
    <row r="106" spans="1:9" hidden="1" x14ac:dyDescent="0.25">
      <c r="A106" s="7">
        <v>43117</v>
      </c>
      <c r="B106">
        <v>870</v>
      </c>
      <c r="C106">
        <v>970</v>
      </c>
      <c r="D106">
        <f t="shared" si="2"/>
        <v>1143</v>
      </c>
      <c r="E106">
        <f t="shared" si="3"/>
        <v>8.7489063867016625</v>
      </c>
      <c r="F106" s="3">
        <v>2.36E-7</v>
      </c>
      <c r="G106">
        <f t="shared" si="5"/>
        <v>-15.259434031920801</v>
      </c>
      <c r="H106">
        <v>0.45500000000000002</v>
      </c>
      <c r="I106">
        <v>4</v>
      </c>
    </row>
    <row r="107" spans="1:9" hidden="1" x14ac:dyDescent="0.25">
      <c r="A107" s="7">
        <v>43123</v>
      </c>
      <c r="B107">
        <v>870</v>
      </c>
      <c r="C107">
        <v>970</v>
      </c>
      <c r="D107">
        <f t="shared" si="2"/>
        <v>1143</v>
      </c>
      <c r="E107">
        <f t="shared" si="3"/>
        <v>8.7489063867016625</v>
      </c>
      <c r="F107" s="3">
        <v>2.3200000000000001E-7</v>
      </c>
      <c r="G107">
        <f t="shared" si="5"/>
        <v>-15.276528465280101</v>
      </c>
      <c r="H107">
        <v>0.45800000000000002</v>
      </c>
      <c r="I107">
        <v>4</v>
      </c>
    </row>
    <row r="108" spans="1:9" hidden="1" x14ac:dyDescent="0.25">
      <c r="A108" s="7">
        <v>43124</v>
      </c>
      <c r="B108">
        <v>870</v>
      </c>
      <c r="C108">
        <v>970</v>
      </c>
      <c r="D108">
        <f t="shared" si="2"/>
        <v>1143</v>
      </c>
      <c r="E108">
        <f t="shared" si="3"/>
        <v>8.7489063867016625</v>
      </c>
      <c r="F108" s="3">
        <v>2.35E-7</v>
      </c>
      <c r="G108">
        <f t="shared" si="5"/>
        <v>-15.263680322802252</v>
      </c>
      <c r="H108">
        <v>0.48299999999999998</v>
      </c>
      <c r="I108">
        <v>4</v>
      </c>
    </row>
    <row r="109" spans="1:9" hidden="1" x14ac:dyDescent="0.25">
      <c r="A109" s="7">
        <v>43126</v>
      </c>
      <c r="B109">
        <v>870</v>
      </c>
      <c r="C109">
        <v>970</v>
      </c>
      <c r="D109">
        <f t="shared" si="2"/>
        <v>1143</v>
      </c>
      <c r="E109">
        <f t="shared" si="3"/>
        <v>8.7489063867016625</v>
      </c>
      <c r="F109" s="3">
        <v>2.16E-7</v>
      </c>
      <c r="G109">
        <f t="shared" si="5"/>
        <v>-15.347987429262247</v>
      </c>
      <c r="H109">
        <v>0.44600000000000001</v>
      </c>
      <c r="I109">
        <v>4</v>
      </c>
    </row>
    <row r="110" spans="1:9" hidden="1" x14ac:dyDescent="0.25">
      <c r="A110" s="7">
        <v>43151</v>
      </c>
      <c r="B110">
        <v>870</v>
      </c>
      <c r="C110">
        <v>970</v>
      </c>
      <c r="D110">
        <f t="shared" si="2"/>
        <v>1143</v>
      </c>
      <c r="E110">
        <f t="shared" si="3"/>
        <v>8.7489063867016625</v>
      </c>
      <c r="F110" s="3">
        <v>2.29E-7</v>
      </c>
      <c r="G110">
        <f t="shared" si="5"/>
        <v>-15.289543833392171</v>
      </c>
      <c r="H110">
        <v>0.46500000000000002</v>
      </c>
      <c r="I110">
        <v>2</v>
      </c>
    </row>
    <row r="111" spans="1:9" hidden="1" x14ac:dyDescent="0.25">
      <c r="A111" s="7">
        <v>43158</v>
      </c>
      <c r="B111">
        <v>870</v>
      </c>
      <c r="C111">
        <v>970</v>
      </c>
      <c r="D111">
        <f t="shared" si="2"/>
        <v>1143</v>
      </c>
      <c r="E111">
        <f t="shared" si="3"/>
        <v>8.7489063867016625</v>
      </c>
      <c r="F111" s="3">
        <v>2.35E-7</v>
      </c>
      <c r="G111">
        <f t="shared" si="5"/>
        <v>-15.263680322802252</v>
      </c>
      <c r="H111">
        <v>0.502</v>
      </c>
      <c r="I111">
        <v>4</v>
      </c>
    </row>
    <row r="112" spans="1:9" hidden="1" x14ac:dyDescent="0.25">
      <c r="A112" s="7">
        <v>43161</v>
      </c>
      <c r="B112">
        <v>870</v>
      </c>
      <c r="C112">
        <v>970</v>
      </c>
      <c r="D112">
        <f t="shared" si="2"/>
        <v>1143</v>
      </c>
      <c r="E112">
        <f t="shared" si="3"/>
        <v>8.7489063867016625</v>
      </c>
      <c r="F112" s="3">
        <v>2.34E-7</v>
      </c>
      <c r="G112">
        <f t="shared" si="5"/>
        <v>-15.267944721588711</v>
      </c>
      <c r="H112">
        <v>0.42199999999999999</v>
      </c>
    </row>
    <row r="113" spans="1:26" hidden="1" x14ac:dyDescent="0.25">
      <c r="A113" s="7">
        <v>43173</v>
      </c>
      <c r="B113">
        <v>870</v>
      </c>
      <c r="C113">
        <v>970</v>
      </c>
      <c r="D113">
        <f t="shared" si="2"/>
        <v>1143</v>
      </c>
      <c r="E113">
        <f t="shared" si="3"/>
        <v>8.7489063867016625</v>
      </c>
      <c r="F113" s="3">
        <v>2.1500000000000001E-7</v>
      </c>
      <c r="G113">
        <f t="shared" si="5"/>
        <v>-15.352627808818749</v>
      </c>
    </row>
    <row r="114" spans="1:26" hidden="1" x14ac:dyDescent="0.25">
      <c r="B114">
        <v>873</v>
      </c>
      <c r="C114">
        <v>973</v>
      </c>
      <c r="D114">
        <f t="shared" si="2"/>
        <v>1146</v>
      </c>
      <c r="E114">
        <f t="shared" si="3"/>
        <v>8.7260034904013963</v>
      </c>
      <c r="F114" s="3">
        <v>2.2399999999999999E-7</v>
      </c>
      <c r="G114">
        <f t="shared" si="5"/>
        <v>-15.311619785091372</v>
      </c>
      <c r="H114">
        <v>0.45400000000000001</v>
      </c>
      <c r="I114">
        <v>4</v>
      </c>
    </row>
    <row r="115" spans="1:26" hidden="1" x14ac:dyDescent="0.25">
      <c r="A115" s="7">
        <v>43178</v>
      </c>
      <c r="B115">
        <v>873</v>
      </c>
      <c r="C115">
        <v>973</v>
      </c>
      <c r="D115">
        <f t="shared" si="2"/>
        <v>1146</v>
      </c>
      <c r="E115">
        <f t="shared" si="3"/>
        <v>8.7260034904013963</v>
      </c>
      <c r="F115" s="3">
        <v>2.4400000000000001E-7</v>
      </c>
      <c r="G115">
        <f t="shared" si="5"/>
        <v>-15.226097611653209</v>
      </c>
      <c r="H115">
        <v>0.48699999999999999</v>
      </c>
      <c r="I115">
        <v>4</v>
      </c>
    </row>
    <row r="116" spans="1:26" hidden="1" x14ac:dyDescent="0.25">
      <c r="A116" s="7">
        <v>43182</v>
      </c>
      <c r="B116">
        <v>870</v>
      </c>
      <c r="C116">
        <v>970</v>
      </c>
      <c r="D116">
        <f t="shared" si="2"/>
        <v>1143</v>
      </c>
      <c r="E116">
        <f t="shared" si="3"/>
        <v>8.7489063867016625</v>
      </c>
      <c r="F116" s="3">
        <v>2.1500000000000001E-7</v>
      </c>
      <c r="G116">
        <f t="shared" si="5"/>
        <v>-15.352627808818749</v>
      </c>
      <c r="H116">
        <v>0.44500000000000001</v>
      </c>
      <c r="I116">
        <v>4</v>
      </c>
    </row>
    <row r="117" spans="1:26" hidden="1" x14ac:dyDescent="0.25">
      <c r="A117" s="7">
        <v>43189</v>
      </c>
      <c r="B117">
        <v>870</v>
      </c>
      <c r="C117">
        <v>970</v>
      </c>
      <c r="D117">
        <f t="shared" si="2"/>
        <v>1143</v>
      </c>
      <c r="E117">
        <f t="shared" si="3"/>
        <v>8.7489063867016625</v>
      </c>
      <c r="F117" s="3">
        <v>2.1400000000000001E-7</v>
      </c>
      <c r="G117">
        <f t="shared" si="5"/>
        <v>-15.35728982192456</v>
      </c>
    </row>
    <row r="118" spans="1:26" hidden="1" x14ac:dyDescent="0.25">
      <c r="A118" s="7">
        <v>43194</v>
      </c>
      <c r="B118">
        <v>870</v>
      </c>
      <c r="C118">
        <v>970</v>
      </c>
      <c r="D118">
        <f t="shared" si="2"/>
        <v>1143</v>
      </c>
      <c r="E118">
        <f t="shared" si="3"/>
        <v>8.7489063867016625</v>
      </c>
      <c r="F118" s="3">
        <v>2.1400000000000001E-7</v>
      </c>
      <c r="G118">
        <f t="shared" si="5"/>
        <v>-15.35728982192456</v>
      </c>
      <c r="H118">
        <v>0.47</v>
      </c>
      <c r="I118">
        <v>4</v>
      </c>
    </row>
    <row r="119" spans="1:26" hidden="1" x14ac:dyDescent="0.25">
      <c r="A119" s="7">
        <v>43217</v>
      </c>
      <c r="B119">
        <v>870</v>
      </c>
      <c r="C119">
        <v>970</v>
      </c>
      <c r="D119">
        <f t="shared" si="2"/>
        <v>1143</v>
      </c>
      <c r="E119">
        <f t="shared" si="3"/>
        <v>8.7489063867016625</v>
      </c>
      <c r="F119" s="3">
        <v>2.0699999999999999E-7</v>
      </c>
      <c r="G119">
        <f t="shared" si="5"/>
        <v>-15.390547043681043</v>
      </c>
      <c r="H119">
        <v>0.45600000000000002</v>
      </c>
      <c r="I119">
        <v>4</v>
      </c>
    </row>
    <row r="120" spans="1:26" hidden="1" x14ac:dyDescent="0.25">
      <c r="A120" s="7">
        <v>43220</v>
      </c>
      <c r="B120">
        <v>870</v>
      </c>
      <c r="C120">
        <v>970</v>
      </c>
      <c r="D120">
        <f t="shared" si="2"/>
        <v>1143</v>
      </c>
      <c r="E120">
        <f t="shared" si="3"/>
        <v>8.7489063867016625</v>
      </c>
      <c r="F120" s="3">
        <v>2.0699999999999999E-7</v>
      </c>
      <c r="G120">
        <f t="shared" si="5"/>
        <v>-15.390547043681043</v>
      </c>
      <c r="H120">
        <v>0.45300000000000001</v>
      </c>
      <c r="I120">
        <v>4</v>
      </c>
    </row>
    <row r="121" spans="1:26" hidden="1" x14ac:dyDescent="0.25">
      <c r="A121" s="7">
        <v>43223</v>
      </c>
      <c r="B121">
        <v>870</v>
      </c>
      <c r="C121">
        <v>970</v>
      </c>
      <c r="D121">
        <f t="shared" si="2"/>
        <v>1143</v>
      </c>
      <c r="E121">
        <f t="shared" si="3"/>
        <v>8.7489063867016625</v>
      </c>
      <c r="F121" s="3">
        <v>2.41E-7</v>
      </c>
      <c r="G121">
        <f t="shared" si="5"/>
        <v>-15.238468903455756</v>
      </c>
      <c r="H121">
        <v>0.51</v>
      </c>
      <c r="I121">
        <v>4</v>
      </c>
    </row>
    <row r="122" spans="1:26" hidden="1" x14ac:dyDescent="0.25">
      <c r="A122" s="7">
        <v>43350</v>
      </c>
      <c r="B122">
        <v>900</v>
      </c>
      <c r="C122">
        <v>1000</v>
      </c>
      <c r="D122">
        <f t="shared" si="2"/>
        <v>1173</v>
      </c>
      <c r="E122">
        <f t="shared" si="3"/>
        <v>8.5251491901108274</v>
      </c>
      <c r="F122" s="3">
        <v>6.1600000000000001E-7</v>
      </c>
      <c r="G122">
        <f t="shared" si="5"/>
        <v>-14.300018873412892</v>
      </c>
      <c r="H122">
        <v>0.98399999999999999</v>
      </c>
      <c r="I122">
        <v>4</v>
      </c>
      <c r="J122" s="10" t="s">
        <v>76</v>
      </c>
    </row>
    <row r="123" spans="1:26" hidden="1" x14ac:dyDescent="0.25">
      <c r="B123">
        <v>870</v>
      </c>
      <c r="C123">
        <v>970</v>
      </c>
      <c r="D123">
        <f t="shared" si="2"/>
        <v>1143</v>
      </c>
      <c r="E123">
        <f t="shared" si="3"/>
        <v>8.7489063867016625</v>
      </c>
      <c r="F123" s="3">
        <v>3.3000000000000002E-7</v>
      </c>
      <c r="G123">
        <f t="shared" si="5"/>
        <v>-14.924173182485886</v>
      </c>
      <c r="H123">
        <v>0.51100000000000001</v>
      </c>
      <c r="I123">
        <v>4</v>
      </c>
      <c r="M123" s="4" t="s">
        <v>10</v>
      </c>
      <c r="N123" s="4"/>
      <c r="O123" s="4" t="s">
        <v>7</v>
      </c>
      <c r="P123" s="4" t="s">
        <v>12</v>
      </c>
      <c r="R123" s="4" t="s">
        <v>0</v>
      </c>
      <c r="S123" s="4" t="s">
        <v>1</v>
      </c>
      <c r="T123" s="9" t="s">
        <v>114</v>
      </c>
      <c r="U123" s="9" t="s">
        <v>112</v>
      </c>
      <c r="V123" s="9" t="s">
        <v>113</v>
      </c>
      <c r="X123" s="4" t="s">
        <v>34</v>
      </c>
      <c r="Y123" s="4" t="s">
        <v>35</v>
      </c>
      <c r="Z123" s="4" t="s">
        <v>36</v>
      </c>
    </row>
    <row r="124" spans="1:26" hidden="1" x14ac:dyDescent="0.25">
      <c r="B124">
        <v>840</v>
      </c>
      <c r="C124">
        <v>940</v>
      </c>
      <c r="D124">
        <f t="shared" si="2"/>
        <v>1113</v>
      </c>
      <c r="E124">
        <f t="shared" si="3"/>
        <v>8.9847259658580416</v>
      </c>
      <c r="F124" s="3">
        <v>1.7800000000000001E-7</v>
      </c>
      <c r="G124">
        <f t="shared" si="5"/>
        <v>-15.541482286654325</v>
      </c>
      <c r="H124">
        <v>0.251</v>
      </c>
      <c r="I124">
        <v>4</v>
      </c>
      <c r="M124">
        <v>897</v>
      </c>
      <c r="N124">
        <f>10000/(M124+273)</f>
        <v>8.5470085470085468</v>
      </c>
      <c r="O124" s="3">
        <f>SLOPE(G162:G173,E162:E173)*N124+INTERCEPT(G162:G173,E162:E173)</f>
        <v>-14.402186140451072</v>
      </c>
      <c r="P124" s="17">
        <f>EXP(O124)</f>
        <v>5.5617316660892101E-7</v>
      </c>
      <c r="R124">
        <v>0.6</v>
      </c>
      <c r="S124">
        <f>R124*(5.65325/2)/10000*60*60</f>
        <v>0.61055100000000007</v>
      </c>
      <c r="T124">
        <f>0.1/S124*60</f>
        <v>9.8271888834839345</v>
      </c>
      <c r="U124">
        <f>0.5/S124*60</f>
        <v>49.135944417419672</v>
      </c>
      <c r="V124">
        <f>S124*30.5/60</f>
        <v>0.31036342500000003</v>
      </c>
      <c r="X124">
        <v>0.20499999999999999</v>
      </c>
      <c r="Y124">
        <f>X124*(5.867^2)/(5.653^2)</f>
        <v>0.22081474313963129</v>
      </c>
      <c r="Z124">
        <f>Y124*(5.867)/2/10000*60*60</f>
        <v>0.23319361764003901</v>
      </c>
    </row>
    <row r="125" spans="1:26" hidden="1" x14ac:dyDescent="0.25">
      <c r="A125" s="7">
        <v>43351</v>
      </c>
      <c r="B125">
        <v>900</v>
      </c>
      <c r="C125">
        <v>1000</v>
      </c>
      <c r="D125">
        <f t="shared" si="2"/>
        <v>1173</v>
      </c>
      <c r="E125">
        <f t="shared" si="3"/>
        <v>8.5251491901108274</v>
      </c>
      <c r="F125" s="3">
        <v>6.3600000000000003E-7</v>
      </c>
      <c r="G125">
        <f t="shared" si="5"/>
        <v>-14.268067273606288</v>
      </c>
      <c r="I125">
        <v>4</v>
      </c>
      <c r="L125" s="10"/>
      <c r="R125" s="3"/>
      <c r="S125" s="3"/>
      <c r="T125" s="3"/>
      <c r="U125" s="3"/>
      <c r="V125" s="3"/>
    </row>
    <row r="126" spans="1:26" hidden="1" x14ac:dyDescent="0.25">
      <c r="B126">
        <v>910</v>
      </c>
      <c r="C126">
        <v>1010</v>
      </c>
      <c r="D126">
        <f t="shared" si="2"/>
        <v>1183</v>
      </c>
      <c r="E126">
        <f t="shared" si="3"/>
        <v>8.4530853761622993</v>
      </c>
      <c r="F126" s="3">
        <v>7.7899999999999997E-7</v>
      </c>
      <c r="G126">
        <f t="shared" si="5"/>
        <v>-14.065254791075663</v>
      </c>
      <c r="I126">
        <v>4</v>
      </c>
      <c r="M126" s="4" t="s">
        <v>5</v>
      </c>
      <c r="N126" s="4" t="s">
        <v>7</v>
      </c>
      <c r="O126" s="4" t="s">
        <v>12</v>
      </c>
      <c r="R126" s="4" t="s">
        <v>88</v>
      </c>
      <c r="S126" s="4" t="s">
        <v>89</v>
      </c>
      <c r="T126" s="4" t="s">
        <v>90</v>
      </c>
      <c r="U126" s="4"/>
      <c r="V126" s="4"/>
    </row>
    <row r="127" spans="1:26" hidden="1" x14ac:dyDescent="0.25">
      <c r="A127" s="7">
        <v>43354</v>
      </c>
      <c r="B127">
        <v>905</v>
      </c>
      <c r="C127">
        <v>1005</v>
      </c>
      <c r="D127">
        <f t="shared" si="2"/>
        <v>1178</v>
      </c>
      <c r="E127">
        <f t="shared" si="3"/>
        <v>8.4889643463497446</v>
      </c>
      <c r="F127" s="3">
        <v>7.2600000000000002E-7</v>
      </c>
      <c r="G127">
        <f t="shared" si="5"/>
        <v>-14.135715822121615</v>
      </c>
      <c r="H127">
        <v>1.03</v>
      </c>
      <c r="I127">
        <v>4</v>
      </c>
      <c r="M127">
        <v>1</v>
      </c>
      <c r="N127">
        <f>0.867*LN(M127)-14.258</f>
        <v>-14.257999999999999</v>
      </c>
      <c r="O127" s="3">
        <f>EXP(N127)</f>
        <v>6.4243512373939816E-7</v>
      </c>
      <c r="R127">
        <v>0.1</v>
      </c>
      <c r="S127">
        <f>R127/S124</f>
        <v>0.1637864813913989</v>
      </c>
      <c r="T127">
        <f>S127*60</f>
        <v>9.8271888834839345</v>
      </c>
    </row>
    <row r="128" spans="1:26" hidden="1" x14ac:dyDescent="0.25">
      <c r="B128">
        <v>865</v>
      </c>
      <c r="C128">
        <v>965</v>
      </c>
      <c r="D128">
        <f t="shared" si="2"/>
        <v>1138</v>
      </c>
      <c r="E128">
        <f t="shared" si="3"/>
        <v>8.7873462214411244</v>
      </c>
      <c r="F128" s="3">
        <v>3.27E-7</v>
      </c>
      <c r="G128">
        <f t="shared" si="5"/>
        <v>-14.933305666049158</v>
      </c>
      <c r="H128">
        <v>0.41199999999999998</v>
      </c>
      <c r="I128">
        <v>4</v>
      </c>
      <c r="L128" s="10"/>
      <c r="P128" s="3"/>
      <c r="Q128" s="3"/>
      <c r="R128" s="3"/>
    </row>
    <row r="129" spans="1:11" hidden="1" x14ac:dyDescent="0.25">
      <c r="A129" s="7">
        <v>43355</v>
      </c>
      <c r="B129">
        <v>902</v>
      </c>
      <c r="C129">
        <v>1002</v>
      </c>
      <c r="D129">
        <f t="shared" si="2"/>
        <v>1175</v>
      </c>
      <c r="E129">
        <f t="shared" si="3"/>
        <v>8.5106382978723403</v>
      </c>
      <c r="F129" s="3">
        <v>6.3E-7</v>
      </c>
      <c r="G129">
        <f t="shared" si="5"/>
        <v>-14.277546017560832</v>
      </c>
      <c r="H129">
        <v>0.88600000000000001</v>
      </c>
      <c r="I129">
        <v>4</v>
      </c>
    </row>
    <row r="130" spans="1:11" hidden="1" x14ac:dyDescent="0.25">
      <c r="B130">
        <v>867</v>
      </c>
      <c r="C130">
        <v>967</v>
      </c>
      <c r="D130">
        <f t="shared" si="2"/>
        <v>1140</v>
      </c>
      <c r="E130">
        <f t="shared" si="3"/>
        <v>8.7719298245614041</v>
      </c>
      <c r="F130" s="3">
        <v>3.0400000000000002E-7</v>
      </c>
      <c r="G130">
        <f t="shared" si="5"/>
        <v>-15.006238135540189</v>
      </c>
      <c r="H130">
        <v>0.41599999999999998</v>
      </c>
      <c r="I130">
        <v>4</v>
      </c>
    </row>
    <row r="131" spans="1:11" hidden="1" x14ac:dyDescent="0.25">
      <c r="A131" s="7">
        <v>43360</v>
      </c>
      <c r="B131">
        <v>904</v>
      </c>
      <c r="C131">
        <v>1004</v>
      </c>
      <c r="D131">
        <f t="shared" si="2"/>
        <v>1177</v>
      </c>
      <c r="E131">
        <f t="shared" si="3"/>
        <v>8.4961767204757859</v>
      </c>
      <c r="F131" s="3">
        <v>6.8599999999999998E-7</v>
      </c>
      <c r="G131">
        <f t="shared" si="5"/>
        <v>-14.192388209220526</v>
      </c>
      <c r="H131">
        <v>0.95199999999999996</v>
      </c>
      <c r="I131">
        <v>4</v>
      </c>
    </row>
    <row r="132" spans="1:11" hidden="1" x14ac:dyDescent="0.25">
      <c r="B132">
        <v>870</v>
      </c>
      <c r="C132">
        <v>970</v>
      </c>
      <c r="D132">
        <f t="shared" si="2"/>
        <v>1143</v>
      </c>
      <c r="E132">
        <f t="shared" si="3"/>
        <v>8.7489063867016625</v>
      </c>
      <c r="F132" s="3">
        <v>3.3099999999999999E-7</v>
      </c>
      <c r="G132">
        <f t="shared" si="5"/>
        <v>-14.921147461569348</v>
      </c>
      <c r="H132">
        <v>0.435</v>
      </c>
      <c r="I132">
        <v>4</v>
      </c>
    </row>
    <row r="133" spans="1:11" hidden="1" x14ac:dyDescent="0.25">
      <c r="A133" s="7">
        <v>43361</v>
      </c>
      <c r="B133">
        <v>870</v>
      </c>
      <c r="C133">
        <v>970</v>
      </c>
      <c r="D133">
        <f t="shared" si="2"/>
        <v>1143</v>
      </c>
      <c r="E133">
        <f t="shared" si="3"/>
        <v>8.7489063867016625</v>
      </c>
      <c r="F133" s="3">
        <v>3.4799999999999999E-7</v>
      </c>
      <c r="G133">
        <f t="shared" si="5"/>
        <v>-14.871063357171938</v>
      </c>
    </row>
    <row r="134" spans="1:11" hidden="1" x14ac:dyDescent="0.25">
      <c r="B134">
        <v>867</v>
      </c>
      <c r="C134">
        <v>967</v>
      </c>
      <c r="D134">
        <f t="shared" si="2"/>
        <v>1140</v>
      </c>
      <c r="E134">
        <f t="shared" si="3"/>
        <v>8.7719298245614041</v>
      </c>
      <c r="F134" s="3">
        <v>3.0899999999999997E-7</v>
      </c>
      <c r="G134">
        <f t="shared" si="5"/>
        <v>-14.989924560048665</v>
      </c>
    </row>
    <row r="135" spans="1:11" hidden="1" x14ac:dyDescent="0.25">
      <c r="B135">
        <v>868</v>
      </c>
      <c r="C135">
        <v>968</v>
      </c>
      <c r="D135">
        <f t="shared" si="2"/>
        <v>1141</v>
      </c>
      <c r="E135">
        <f t="shared" si="3"/>
        <v>8.7642418930762496</v>
      </c>
      <c r="F135" s="3">
        <v>3.3299999999999998E-7</v>
      </c>
      <c r="G135">
        <f t="shared" si="5"/>
        <v>-14.915123346965967</v>
      </c>
      <c r="H135">
        <v>0.46700000000000003</v>
      </c>
      <c r="I135">
        <v>4</v>
      </c>
    </row>
    <row r="136" spans="1:11" hidden="1" x14ac:dyDescent="0.25">
      <c r="A136" s="7">
        <v>43367</v>
      </c>
      <c r="B136">
        <v>868</v>
      </c>
      <c r="C136">
        <v>968</v>
      </c>
      <c r="D136">
        <f t="shared" si="2"/>
        <v>1141</v>
      </c>
      <c r="E136">
        <f t="shared" si="3"/>
        <v>8.7642418930762496</v>
      </c>
      <c r="F136" s="3">
        <v>3.2599999999999998E-7</v>
      </c>
      <c r="G136">
        <f t="shared" si="5"/>
        <v>-14.936368455579704</v>
      </c>
      <c r="H136">
        <v>0.46300000000000002</v>
      </c>
      <c r="I136">
        <v>4</v>
      </c>
    </row>
    <row r="137" spans="1:11" hidden="1" x14ac:dyDescent="0.25">
      <c r="A137" s="7">
        <v>43383</v>
      </c>
      <c r="B137">
        <v>868</v>
      </c>
      <c r="C137">
        <v>968</v>
      </c>
      <c r="D137">
        <f t="shared" si="2"/>
        <v>1141</v>
      </c>
      <c r="E137">
        <f t="shared" si="3"/>
        <v>8.7642418930762496</v>
      </c>
      <c r="F137" s="3">
        <v>3.0800000000000001E-7</v>
      </c>
      <c r="G137">
        <f t="shared" si="5"/>
        <v>-14.993166053972837</v>
      </c>
      <c r="H137">
        <v>0.42399999999999999</v>
      </c>
      <c r="I137">
        <v>4</v>
      </c>
    </row>
    <row r="138" spans="1:11" hidden="1" x14ac:dyDescent="0.25">
      <c r="B138">
        <v>902</v>
      </c>
      <c r="C138">
        <v>1002</v>
      </c>
      <c r="D138">
        <f t="shared" si="2"/>
        <v>1175</v>
      </c>
      <c r="E138">
        <f t="shared" si="3"/>
        <v>8.5106382978723403</v>
      </c>
      <c r="F138" s="20">
        <v>6.5499999999999998E-7</v>
      </c>
      <c r="G138">
        <f t="shared" si="5"/>
        <v>-14.23863060131116</v>
      </c>
      <c r="H138">
        <v>0.871</v>
      </c>
      <c r="I138">
        <v>4</v>
      </c>
    </row>
    <row r="139" spans="1:11" hidden="1" x14ac:dyDescent="0.25">
      <c r="A139" s="7">
        <v>43388</v>
      </c>
      <c r="B139">
        <v>868</v>
      </c>
      <c r="C139">
        <v>968</v>
      </c>
      <c r="D139">
        <f t="shared" si="2"/>
        <v>1141</v>
      </c>
      <c r="E139">
        <f t="shared" si="3"/>
        <v>8.7642418930762496</v>
      </c>
      <c r="F139" s="3">
        <v>3.3099999999999999E-7</v>
      </c>
      <c r="G139">
        <f t="shared" si="5"/>
        <v>-14.921147461569348</v>
      </c>
      <c r="H139">
        <v>0.44600000000000001</v>
      </c>
      <c r="I139">
        <v>4</v>
      </c>
      <c r="K139" s="3"/>
    </row>
    <row r="140" spans="1:11" hidden="1" x14ac:dyDescent="0.25">
      <c r="B140">
        <v>902</v>
      </c>
      <c r="C140">
        <v>1002</v>
      </c>
      <c r="D140">
        <f t="shared" ref="D140:D226" si="6">B140+273</f>
        <v>1175</v>
      </c>
      <c r="E140">
        <f t="shared" ref="E140:E177" si="7">10000/D140</f>
        <v>8.5106382978723403</v>
      </c>
      <c r="F140" s="20">
        <v>6.5499999999999998E-7</v>
      </c>
      <c r="G140">
        <f t="shared" ref="G140:G151" si="8">LN(F140)</f>
        <v>-14.23863060131116</v>
      </c>
      <c r="H140">
        <v>1.004</v>
      </c>
      <c r="I140">
        <v>4</v>
      </c>
    </row>
    <row r="141" spans="1:11" hidden="1" x14ac:dyDescent="0.25">
      <c r="A141" s="7">
        <v>43396</v>
      </c>
      <c r="B141">
        <v>868</v>
      </c>
      <c r="C141">
        <v>968</v>
      </c>
      <c r="D141">
        <f t="shared" si="6"/>
        <v>1141</v>
      </c>
      <c r="E141">
        <f t="shared" si="7"/>
        <v>8.7642418930762496</v>
      </c>
      <c r="F141" s="3">
        <v>3.0899999999999997E-7</v>
      </c>
      <c r="G141">
        <f t="shared" si="8"/>
        <v>-14.989924560048665</v>
      </c>
      <c r="H141">
        <v>0.43</v>
      </c>
      <c r="I141">
        <v>4</v>
      </c>
    </row>
    <row r="142" spans="1:11" hidden="1" x14ac:dyDescent="0.25">
      <c r="B142">
        <v>903</v>
      </c>
      <c r="C142">
        <v>1003</v>
      </c>
      <c r="D142">
        <f t="shared" si="6"/>
        <v>1176</v>
      </c>
      <c r="E142">
        <f t="shared" si="7"/>
        <v>8.5034013605442169</v>
      </c>
      <c r="F142" s="20">
        <v>6.68E-7</v>
      </c>
      <c r="G142">
        <f t="shared" si="8"/>
        <v>-14.218977663409765</v>
      </c>
      <c r="H142">
        <v>0.94499999999999995</v>
      </c>
      <c r="I142">
        <v>4</v>
      </c>
    </row>
    <row r="143" spans="1:11" hidden="1" x14ac:dyDescent="0.25">
      <c r="A143" s="7">
        <v>43402</v>
      </c>
      <c r="B143">
        <v>868</v>
      </c>
      <c r="C143">
        <v>968</v>
      </c>
      <c r="D143">
        <f t="shared" si="6"/>
        <v>1141</v>
      </c>
      <c r="E143">
        <f t="shared" si="7"/>
        <v>8.7642418930762496</v>
      </c>
      <c r="F143" s="3">
        <v>3.03E-7</v>
      </c>
      <c r="G143">
        <f t="shared" si="8"/>
        <v>-15.009533031437043</v>
      </c>
      <c r="H143">
        <v>0.42299999999999999</v>
      </c>
      <c r="I143">
        <v>4</v>
      </c>
    </row>
    <row r="144" spans="1:11" hidden="1" x14ac:dyDescent="0.25">
      <c r="A144" s="7">
        <v>43415</v>
      </c>
      <c r="B144">
        <v>868</v>
      </c>
      <c r="C144">
        <v>968</v>
      </c>
      <c r="D144">
        <f t="shared" si="6"/>
        <v>1141</v>
      </c>
      <c r="E144">
        <f t="shared" si="7"/>
        <v>8.7642418930762496</v>
      </c>
      <c r="F144" s="3">
        <v>3.2500000000000001E-7</v>
      </c>
      <c r="G144">
        <f t="shared" si="8"/>
        <v>-14.939440654616673</v>
      </c>
      <c r="H144">
        <v>0.45600000000000002</v>
      </c>
      <c r="I144">
        <v>4</v>
      </c>
    </row>
    <row r="145" spans="1:13" hidden="1" x14ac:dyDescent="0.25">
      <c r="A145" s="7">
        <v>43418</v>
      </c>
      <c r="B145">
        <v>868</v>
      </c>
      <c r="C145">
        <v>968</v>
      </c>
      <c r="D145">
        <f t="shared" si="6"/>
        <v>1141</v>
      </c>
      <c r="E145">
        <f t="shared" si="7"/>
        <v>8.7642418930762496</v>
      </c>
      <c r="F145" s="3">
        <v>3.3299999999999998E-7</v>
      </c>
      <c r="G145">
        <f t="shared" si="8"/>
        <v>-14.915123346965967</v>
      </c>
      <c r="H145">
        <v>0.47299999999999998</v>
      </c>
      <c r="I145">
        <v>4</v>
      </c>
      <c r="M145">
        <f>0.5653*(1-0.058)+0.058*0.633</f>
        <v>0.56922660000000003</v>
      </c>
    </row>
    <row r="146" spans="1:13" hidden="1" x14ac:dyDescent="0.25">
      <c r="A146" s="7">
        <v>43431</v>
      </c>
      <c r="B146">
        <v>868</v>
      </c>
      <c r="C146">
        <v>968</v>
      </c>
      <c r="D146">
        <f t="shared" si="6"/>
        <v>1141</v>
      </c>
      <c r="E146">
        <f t="shared" si="7"/>
        <v>8.7642418930762496</v>
      </c>
      <c r="F146" s="3">
        <v>3.2500000000000001E-7</v>
      </c>
      <c r="G146">
        <f t="shared" si="8"/>
        <v>-14.939440654616673</v>
      </c>
      <c r="H146">
        <v>0.46500000000000002</v>
      </c>
      <c r="I146">
        <v>4</v>
      </c>
    </row>
    <row r="147" spans="1:13" hidden="1" x14ac:dyDescent="0.25">
      <c r="A147" s="7">
        <v>43433</v>
      </c>
      <c r="B147">
        <v>868</v>
      </c>
      <c r="C147">
        <v>968</v>
      </c>
      <c r="D147">
        <f t="shared" si="6"/>
        <v>1141</v>
      </c>
      <c r="E147">
        <f t="shared" si="7"/>
        <v>8.7642418930762496</v>
      </c>
      <c r="F147" s="3">
        <v>3.2000000000000001E-7</v>
      </c>
      <c r="G147">
        <f t="shared" si="8"/>
        <v>-14.954944841152638</v>
      </c>
      <c r="H147">
        <v>0.46899999999999997</v>
      </c>
      <c r="I147">
        <v>4</v>
      </c>
    </row>
    <row r="148" spans="1:13" hidden="1" x14ac:dyDescent="0.25">
      <c r="A148" s="7">
        <v>43438</v>
      </c>
      <c r="B148">
        <v>868</v>
      </c>
      <c r="C148">
        <v>968</v>
      </c>
      <c r="D148">
        <f t="shared" si="6"/>
        <v>1141</v>
      </c>
      <c r="E148">
        <f t="shared" si="7"/>
        <v>8.7642418930762496</v>
      </c>
      <c r="F148" s="3">
        <v>3.3500000000000002E-7</v>
      </c>
      <c r="G148">
        <f t="shared" si="8"/>
        <v>-14.909135305121344</v>
      </c>
      <c r="H148">
        <v>0.48899999999999999</v>
      </c>
      <c r="I148">
        <v>4</v>
      </c>
    </row>
    <row r="149" spans="1:13" hidden="1" x14ac:dyDescent="0.25">
      <c r="A149" s="7">
        <v>43446</v>
      </c>
      <c r="B149">
        <v>868</v>
      </c>
      <c r="C149">
        <v>968</v>
      </c>
      <c r="D149">
        <f t="shared" si="6"/>
        <v>1141</v>
      </c>
      <c r="E149">
        <f t="shared" si="7"/>
        <v>8.7642418930762496</v>
      </c>
      <c r="F149" s="3">
        <v>3.2800000000000003E-7</v>
      </c>
      <c r="G149">
        <f t="shared" si="8"/>
        <v>-14.930252228562267</v>
      </c>
      <c r="H149">
        <v>0.42699999999999999</v>
      </c>
      <c r="I149">
        <v>2</v>
      </c>
    </row>
    <row r="150" spans="1:13" hidden="1" x14ac:dyDescent="0.25">
      <c r="A150" s="7">
        <v>43448</v>
      </c>
      <c r="B150">
        <v>868</v>
      </c>
      <c r="C150">
        <v>968</v>
      </c>
      <c r="D150">
        <f t="shared" si="6"/>
        <v>1141</v>
      </c>
      <c r="E150">
        <f t="shared" si="7"/>
        <v>8.7642418930762496</v>
      </c>
      <c r="F150" s="3">
        <v>3.2599999999999998E-7</v>
      </c>
      <c r="G150">
        <f t="shared" si="8"/>
        <v>-14.936368455579704</v>
      </c>
      <c r="H150">
        <v>0.48</v>
      </c>
      <c r="I150">
        <v>4</v>
      </c>
    </row>
    <row r="151" spans="1:13" hidden="1" x14ac:dyDescent="0.25">
      <c r="A151" s="7">
        <v>43453</v>
      </c>
      <c r="B151">
        <v>902</v>
      </c>
      <c r="C151">
        <v>1002</v>
      </c>
      <c r="D151">
        <f t="shared" si="6"/>
        <v>1175</v>
      </c>
      <c r="E151">
        <f t="shared" si="7"/>
        <v>8.5106382978723403</v>
      </c>
      <c r="F151" s="3">
        <v>6.5899999999999996E-7</v>
      </c>
      <c r="G151">
        <f t="shared" si="8"/>
        <v>-14.232542302443903</v>
      </c>
      <c r="I151">
        <v>4</v>
      </c>
    </row>
    <row r="152" spans="1:13" hidden="1" x14ac:dyDescent="0.25">
      <c r="B152">
        <v>868</v>
      </c>
      <c r="C152">
        <v>968</v>
      </c>
      <c r="D152">
        <f t="shared" si="6"/>
        <v>1141</v>
      </c>
      <c r="E152">
        <f t="shared" si="7"/>
        <v>8.7642418930762496</v>
      </c>
    </row>
    <row r="153" spans="1:13" hidden="1" x14ac:dyDescent="0.25">
      <c r="A153" s="7">
        <v>43495</v>
      </c>
      <c r="B153">
        <v>868</v>
      </c>
      <c r="C153">
        <v>968</v>
      </c>
      <c r="D153">
        <f t="shared" si="6"/>
        <v>1141</v>
      </c>
      <c r="E153">
        <f t="shared" si="7"/>
        <v>8.7642418930762496</v>
      </c>
      <c r="F153" s="3">
        <v>3.2800000000000003E-7</v>
      </c>
      <c r="G153">
        <f t="shared" ref="G153:G177" si="9">LN(F153)</f>
        <v>-14.930252228562267</v>
      </c>
      <c r="H153">
        <v>0.41</v>
      </c>
      <c r="I153">
        <v>4</v>
      </c>
    </row>
    <row r="154" spans="1:13" hidden="1" x14ac:dyDescent="0.25">
      <c r="A154" s="7">
        <v>43138</v>
      </c>
      <c r="B154">
        <v>868</v>
      </c>
      <c r="C154">
        <v>968</v>
      </c>
      <c r="D154">
        <f t="shared" si="6"/>
        <v>1141</v>
      </c>
      <c r="E154">
        <f t="shared" si="7"/>
        <v>8.7642418930762496</v>
      </c>
      <c r="F154" s="3">
        <v>3.2099999999999998E-7</v>
      </c>
      <c r="G154">
        <f t="shared" si="9"/>
        <v>-14.951824713816395</v>
      </c>
      <c r="H154">
        <v>0.47599999999999998</v>
      </c>
      <c r="I154">
        <v>4</v>
      </c>
    </row>
    <row r="155" spans="1:13" hidden="1" x14ac:dyDescent="0.25">
      <c r="A155" s="7">
        <v>43539</v>
      </c>
      <c r="B155">
        <v>868</v>
      </c>
      <c r="C155">
        <v>968</v>
      </c>
      <c r="D155">
        <f t="shared" si="6"/>
        <v>1141</v>
      </c>
      <c r="E155">
        <f t="shared" si="7"/>
        <v>8.7642418930762496</v>
      </c>
      <c r="F155" s="3">
        <v>3.3099999999999999E-7</v>
      </c>
      <c r="G155">
        <f t="shared" si="9"/>
        <v>-14.921147461569348</v>
      </c>
      <c r="H155">
        <v>0.42</v>
      </c>
      <c r="I155">
        <v>4</v>
      </c>
    </row>
    <row r="156" spans="1:13" hidden="1" x14ac:dyDescent="0.25">
      <c r="B156">
        <v>903</v>
      </c>
      <c r="C156">
        <v>1003</v>
      </c>
      <c r="D156">
        <f t="shared" si="6"/>
        <v>1176</v>
      </c>
      <c r="E156">
        <f t="shared" si="7"/>
        <v>8.5034013605442169</v>
      </c>
      <c r="H156">
        <v>1.02</v>
      </c>
      <c r="I156">
        <v>4</v>
      </c>
    </row>
    <row r="157" spans="1:13" hidden="1" x14ac:dyDescent="0.25">
      <c r="A157" s="7">
        <v>43543</v>
      </c>
      <c r="B157">
        <v>868</v>
      </c>
      <c r="C157">
        <v>968</v>
      </c>
      <c r="D157">
        <f t="shared" si="6"/>
        <v>1141</v>
      </c>
      <c r="E157">
        <f t="shared" si="7"/>
        <v>8.7642418930762496</v>
      </c>
      <c r="F157" s="3">
        <v>3.3299999999999998E-7</v>
      </c>
      <c r="G157">
        <f t="shared" si="9"/>
        <v>-14.915123346965967</v>
      </c>
      <c r="H157">
        <v>0.47</v>
      </c>
      <c r="I157">
        <v>4</v>
      </c>
    </row>
    <row r="158" spans="1:13" hidden="1" x14ac:dyDescent="0.25">
      <c r="A158" s="7">
        <v>43557</v>
      </c>
      <c r="B158">
        <v>868</v>
      </c>
      <c r="C158">
        <v>968</v>
      </c>
      <c r="D158">
        <f t="shared" si="6"/>
        <v>1141</v>
      </c>
      <c r="E158">
        <f t="shared" si="7"/>
        <v>8.7642418930762496</v>
      </c>
      <c r="F158" s="3">
        <v>3.3299999999999998E-7</v>
      </c>
      <c r="G158">
        <f t="shared" si="9"/>
        <v>-14.915123346965967</v>
      </c>
      <c r="I158">
        <v>4</v>
      </c>
    </row>
    <row r="159" spans="1:13" hidden="1" x14ac:dyDescent="0.25">
      <c r="A159" s="7">
        <v>43564</v>
      </c>
      <c r="B159">
        <v>904</v>
      </c>
      <c r="C159">
        <v>1004</v>
      </c>
      <c r="D159">
        <f t="shared" si="6"/>
        <v>1177</v>
      </c>
      <c r="E159">
        <f t="shared" si="7"/>
        <v>8.4961767204757859</v>
      </c>
      <c r="F159" s="3">
        <v>6.8299999999999996E-7</v>
      </c>
      <c r="G159">
        <f t="shared" si="9"/>
        <v>-14.196770977375621</v>
      </c>
      <c r="H159">
        <v>0.92100000000000004</v>
      </c>
      <c r="I159">
        <v>4</v>
      </c>
    </row>
    <row r="160" spans="1:13" hidden="1" x14ac:dyDescent="0.25">
      <c r="A160" s="7">
        <v>43571</v>
      </c>
      <c r="B160">
        <v>868</v>
      </c>
      <c r="C160">
        <v>968</v>
      </c>
      <c r="D160">
        <f t="shared" si="6"/>
        <v>1141</v>
      </c>
      <c r="E160">
        <f t="shared" si="7"/>
        <v>8.7642418930762496</v>
      </c>
      <c r="F160" s="3">
        <v>3.3200000000000001E-7</v>
      </c>
      <c r="G160">
        <f t="shared" si="9"/>
        <v>-14.918130868029923</v>
      </c>
      <c r="H160">
        <v>0.45800000000000002</v>
      </c>
      <c r="I160">
        <v>4</v>
      </c>
    </row>
    <row r="161" spans="1:9" hidden="1" x14ac:dyDescent="0.25">
      <c r="A161" s="7">
        <v>43579</v>
      </c>
      <c r="B161">
        <v>868</v>
      </c>
      <c r="C161">
        <v>968</v>
      </c>
      <c r="D161">
        <f t="shared" si="6"/>
        <v>1141</v>
      </c>
      <c r="E161">
        <f t="shared" si="7"/>
        <v>8.7642418930762496</v>
      </c>
      <c r="F161" s="3">
        <v>3.3099999999999999E-7</v>
      </c>
      <c r="G161">
        <f t="shared" si="9"/>
        <v>-14.921147461569348</v>
      </c>
    </row>
    <row r="162" spans="1:9" hidden="1" x14ac:dyDescent="0.25">
      <c r="A162" s="7">
        <v>43592</v>
      </c>
      <c r="B162">
        <v>868</v>
      </c>
      <c r="C162">
        <v>968</v>
      </c>
      <c r="D162">
        <f t="shared" si="6"/>
        <v>1141</v>
      </c>
      <c r="E162">
        <f t="shared" si="7"/>
        <v>8.7642418930762496</v>
      </c>
      <c r="F162" s="3">
        <v>3.27E-7</v>
      </c>
      <c r="G162">
        <f t="shared" si="9"/>
        <v>-14.933305666049158</v>
      </c>
      <c r="H162">
        <v>0.45900000000000002</v>
      </c>
      <c r="I162">
        <v>4</v>
      </c>
    </row>
    <row r="163" spans="1:9" hidden="1" x14ac:dyDescent="0.25">
      <c r="A163" s="7">
        <v>43600</v>
      </c>
      <c r="B163">
        <v>868</v>
      </c>
      <c r="C163">
        <v>968</v>
      </c>
      <c r="D163">
        <f t="shared" si="6"/>
        <v>1141</v>
      </c>
      <c r="E163">
        <f t="shared" si="7"/>
        <v>8.7642418930762496</v>
      </c>
      <c r="F163" s="3">
        <v>3.27E-7</v>
      </c>
      <c r="G163">
        <f t="shared" si="9"/>
        <v>-14.933305666049158</v>
      </c>
      <c r="H163">
        <v>0.47099999999999997</v>
      </c>
    </row>
    <row r="164" spans="1:9" hidden="1" x14ac:dyDescent="0.25">
      <c r="A164" s="7">
        <v>43601</v>
      </c>
      <c r="B164">
        <v>868</v>
      </c>
      <c r="C164">
        <v>968</v>
      </c>
      <c r="D164">
        <f t="shared" si="6"/>
        <v>1141</v>
      </c>
      <c r="E164">
        <f t="shared" si="7"/>
        <v>8.7642418930762496</v>
      </c>
      <c r="F164" s="3">
        <v>3.2500000000000001E-7</v>
      </c>
      <c r="G164">
        <f t="shared" si="9"/>
        <v>-14.939440654616673</v>
      </c>
    </row>
    <row r="165" spans="1:9" hidden="1" x14ac:dyDescent="0.25">
      <c r="A165" s="7">
        <v>43658</v>
      </c>
      <c r="B165">
        <v>868</v>
      </c>
      <c r="C165">
        <v>968</v>
      </c>
      <c r="D165">
        <f t="shared" si="6"/>
        <v>1141</v>
      </c>
      <c r="E165">
        <f t="shared" si="7"/>
        <v>8.7642418930762496</v>
      </c>
      <c r="F165" s="3">
        <v>3.1600000000000002E-7</v>
      </c>
      <c r="G165">
        <f t="shared" si="9"/>
        <v>-14.967523623359499</v>
      </c>
      <c r="H165">
        <v>0.46400000000000002</v>
      </c>
      <c r="I165">
        <v>4</v>
      </c>
    </row>
    <row r="166" spans="1:9" hidden="1" x14ac:dyDescent="0.25">
      <c r="A166" s="7">
        <v>43662</v>
      </c>
      <c r="B166">
        <v>868</v>
      </c>
      <c r="C166">
        <v>968</v>
      </c>
      <c r="D166">
        <f t="shared" si="6"/>
        <v>1141</v>
      </c>
      <c r="E166">
        <f t="shared" si="7"/>
        <v>8.7642418930762496</v>
      </c>
      <c r="F166" s="3">
        <v>3.1699999999999999E-7</v>
      </c>
      <c r="G166">
        <f t="shared" si="9"/>
        <v>-14.96436406306913</v>
      </c>
      <c r="H166">
        <v>0.46800000000000003</v>
      </c>
      <c r="I166">
        <v>4</v>
      </c>
    </row>
    <row r="167" spans="1:9" hidden="1" x14ac:dyDescent="0.25">
      <c r="A167" s="7">
        <v>43663</v>
      </c>
      <c r="B167">
        <v>868</v>
      </c>
      <c r="C167">
        <v>968</v>
      </c>
      <c r="D167">
        <f t="shared" si="6"/>
        <v>1141</v>
      </c>
      <c r="E167">
        <f t="shared" si="7"/>
        <v>8.7642418930762496</v>
      </c>
      <c r="F167" s="3">
        <v>3.1100000000000002E-7</v>
      </c>
      <c r="G167">
        <f t="shared" si="9"/>
        <v>-14.983472924767177</v>
      </c>
      <c r="I167">
        <v>4</v>
      </c>
    </row>
    <row r="168" spans="1:9" hidden="1" x14ac:dyDescent="0.25">
      <c r="A168" s="7">
        <v>43669</v>
      </c>
      <c r="B168">
        <v>905</v>
      </c>
      <c r="C168">
        <v>1005</v>
      </c>
      <c r="D168">
        <f t="shared" si="6"/>
        <v>1178</v>
      </c>
      <c r="E168">
        <f t="shared" si="7"/>
        <v>8.4889643463497446</v>
      </c>
      <c r="F168" s="3">
        <v>6.3399999999999999E-7</v>
      </c>
      <c r="G168">
        <f t="shared" si="9"/>
        <v>-14.271216882509185</v>
      </c>
      <c r="H168">
        <v>1.0009999999999999</v>
      </c>
      <c r="I168">
        <v>4</v>
      </c>
    </row>
    <row r="169" spans="1:9" hidden="1" x14ac:dyDescent="0.25">
      <c r="B169">
        <v>804</v>
      </c>
      <c r="C169">
        <v>904</v>
      </c>
      <c r="D169">
        <f t="shared" si="6"/>
        <v>1077</v>
      </c>
      <c r="E169">
        <f t="shared" si="7"/>
        <v>9.2850510677808735</v>
      </c>
      <c r="F169" s="3">
        <v>7.7499999999999999E-8</v>
      </c>
      <c r="G169">
        <f t="shared" si="9"/>
        <v>-16.372987900587109</v>
      </c>
      <c r="H169">
        <v>8.5000000000000006E-2</v>
      </c>
      <c r="I169">
        <v>4</v>
      </c>
    </row>
    <row r="170" spans="1:9" hidden="1" x14ac:dyDescent="0.25">
      <c r="B170">
        <v>895</v>
      </c>
      <c r="C170">
        <v>995</v>
      </c>
      <c r="D170">
        <f t="shared" si="6"/>
        <v>1168</v>
      </c>
      <c r="E170">
        <f t="shared" si="7"/>
        <v>8.5616438356164384</v>
      </c>
      <c r="F170" s="20">
        <v>5.44E-7</v>
      </c>
      <c r="G170" s="19">
        <f t="shared" si="9"/>
        <v>-14.424316590090468</v>
      </c>
      <c r="H170">
        <v>0.72799999999999998</v>
      </c>
      <c r="I170">
        <v>4</v>
      </c>
    </row>
    <row r="171" spans="1:9" hidden="1" x14ac:dyDescent="0.25">
      <c r="A171" s="7">
        <v>43670</v>
      </c>
      <c r="B171">
        <v>871</v>
      </c>
      <c r="C171">
        <v>971</v>
      </c>
      <c r="D171">
        <f t="shared" si="6"/>
        <v>1144</v>
      </c>
      <c r="E171">
        <f t="shared" si="7"/>
        <v>8.7412587412587417</v>
      </c>
      <c r="F171" s="3">
        <v>3.1800000000000002E-7</v>
      </c>
      <c r="G171">
        <f t="shared" si="9"/>
        <v>-14.961214454166234</v>
      </c>
      <c r="H171">
        <v>0.48</v>
      </c>
      <c r="I171">
        <v>4</v>
      </c>
    </row>
    <row r="172" spans="1:9" hidden="1" x14ac:dyDescent="0.25">
      <c r="A172" s="7">
        <v>43677</v>
      </c>
      <c r="B172">
        <v>871</v>
      </c>
      <c r="C172">
        <v>971</v>
      </c>
      <c r="D172">
        <f t="shared" si="6"/>
        <v>1144</v>
      </c>
      <c r="E172">
        <f t="shared" si="7"/>
        <v>8.7412587412587417</v>
      </c>
      <c r="F172" s="3">
        <v>3.2599999999999998E-7</v>
      </c>
      <c r="G172">
        <f t="shared" si="9"/>
        <v>-14.936368455579704</v>
      </c>
      <c r="H172">
        <v>0.499</v>
      </c>
      <c r="I172">
        <v>4</v>
      </c>
    </row>
    <row r="173" spans="1:9" hidden="1" x14ac:dyDescent="0.25">
      <c r="A173" s="7">
        <v>43680</v>
      </c>
      <c r="B173">
        <v>897</v>
      </c>
      <c r="C173">
        <v>997</v>
      </c>
      <c r="D173">
        <f t="shared" si="6"/>
        <v>1170</v>
      </c>
      <c r="E173">
        <f t="shared" si="7"/>
        <v>8.5470085470085468</v>
      </c>
      <c r="F173" s="3">
        <v>5.37E-7</v>
      </c>
      <c r="G173">
        <f t="shared" si="9"/>
        <v>-14.437267742437546</v>
      </c>
      <c r="H173">
        <v>0.81299999999999994</v>
      </c>
      <c r="I173">
        <v>4</v>
      </c>
    </row>
    <row r="174" spans="1:9" hidden="1" x14ac:dyDescent="0.25">
      <c r="B174">
        <v>804</v>
      </c>
      <c r="C174">
        <v>904</v>
      </c>
      <c r="D174">
        <f t="shared" si="6"/>
        <v>1077</v>
      </c>
      <c r="E174">
        <f t="shared" si="7"/>
        <v>9.2850510677808735</v>
      </c>
      <c r="F174" s="3">
        <v>7.8400000000000001E-8</v>
      </c>
      <c r="G174">
        <f t="shared" si="9"/>
        <v>-16.361441909590049</v>
      </c>
      <c r="H174">
        <v>0.09</v>
      </c>
      <c r="I174">
        <v>4</v>
      </c>
    </row>
    <row r="175" spans="1:9" hidden="1" x14ac:dyDescent="0.25">
      <c r="A175" s="7">
        <v>43684</v>
      </c>
      <c r="B175">
        <v>871</v>
      </c>
      <c r="C175">
        <v>971</v>
      </c>
      <c r="D175">
        <f t="shared" si="6"/>
        <v>1144</v>
      </c>
      <c r="E175">
        <f t="shared" si="7"/>
        <v>8.7412587412587417</v>
      </c>
      <c r="F175" s="3">
        <v>3.1899999999999998E-7</v>
      </c>
      <c r="G175">
        <f t="shared" si="9"/>
        <v>-14.958074734161567</v>
      </c>
      <c r="H175">
        <v>0.442</v>
      </c>
      <c r="I175">
        <v>4</v>
      </c>
    </row>
    <row r="176" spans="1:9" hidden="1" x14ac:dyDescent="0.25">
      <c r="A176" s="7">
        <v>43691</v>
      </c>
      <c r="B176">
        <v>871</v>
      </c>
      <c r="C176">
        <v>971</v>
      </c>
      <c r="D176">
        <f t="shared" si="6"/>
        <v>1144</v>
      </c>
      <c r="E176">
        <f t="shared" si="7"/>
        <v>8.7412587412587417</v>
      </c>
      <c r="F176" s="3">
        <v>3.1600000000000002E-7</v>
      </c>
      <c r="G176">
        <f t="shared" si="9"/>
        <v>-14.967523623359499</v>
      </c>
      <c r="H176">
        <v>0.46400000000000002</v>
      </c>
      <c r="I176">
        <v>4</v>
      </c>
    </row>
    <row r="177" spans="1:28" hidden="1" x14ac:dyDescent="0.25">
      <c r="A177" s="7">
        <v>43697</v>
      </c>
      <c r="B177">
        <v>871</v>
      </c>
      <c r="C177">
        <v>971</v>
      </c>
      <c r="D177">
        <f t="shared" si="6"/>
        <v>1144</v>
      </c>
      <c r="E177">
        <f t="shared" si="7"/>
        <v>8.7412587412587417</v>
      </c>
      <c r="F177" s="3">
        <v>3.15E-7</v>
      </c>
      <c r="G177">
        <f t="shared" si="9"/>
        <v>-14.970693198120777</v>
      </c>
      <c r="H177">
        <v>0.46800000000000003</v>
      </c>
      <c r="I177">
        <v>4</v>
      </c>
    </row>
    <row r="178" spans="1:28" hidden="1" x14ac:dyDescent="0.25">
      <c r="A178" t="s">
        <v>118</v>
      </c>
    </row>
    <row r="179" spans="1:28" hidden="1" x14ac:dyDescent="0.25">
      <c r="A179" s="7">
        <v>43774</v>
      </c>
      <c r="B179">
        <v>871</v>
      </c>
      <c r="C179">
        <v>971</v>
      </c>
      <c r="D179">
        <f t="shared" si="6"/>
        <v>1144</v>
      </c>
      <c r="F179" s="3">
        <v>3.1699999999999999E-7</v>
      </c>
      <c r="H179">
        <v>0.48899999999999999</v>
      </c>
      <c r="I179">
        <v>4</v>
      </c>
    </row>
    <row r="180" spans="1:28" x14ac:dyDescent="0.25">
      <c r="A180" s="7">
        <v>43802</v>
      </c>
      <c r="B180">
        <v>910</v>
      </c>
      <c r="C180">
        <v>1060</v>
      </c>
      <c r="D180">
        <f t="shared" si="6"/>
        <v>1183</v>
      </c>
      <c r="E180">
        <f>10000/D180</f>
        <v>8.4530853761622993</v>
      </c>
      <c r="F180" s="3">
        <v>9.4399999999999998E-7</v>
      </c>
      <c r="G180">
        <f>LN(F180)</f>
        <v>-13.87313967080091</v>
      </c>
      <c r="I180">
        <v>4</v>
      </c>
      <c r="J180" s="19" t="s">
        <v>121</v>
      </c>
      <c r="O180" s="4" t="s">
        <v>10</v>
      </c>
      <c r="P180" s="4"/>
      <c r="Q180" s="4" t="s">
        <v>7</v>
      </c>
      <c r="R180" s="4" t="s">
        <v>12</v>
      </c>
      <c r="T180" s="4" t="s">
        <v>0</v>
      </c>
      <c r="U180" s="4" t="s">
        <v>1</v>
      </c>
      <c r="V180" s="9" t="s">
        <v>114</v>
      </c>
      <c r="W180" s="9" t="s">
        <v>112</v>
      </c>
      <c r="X180" s="9" t="s">
        <v>113</v>
      </c>
      <c r="Z180" s="4" t="s">
        <v>34</v>
      </c>
      <c r="AA180" s="4" t="s">
        <v>35</v>
      </c>
      <c r="AB180" s="4" t="s">
        <v>36</v>
      </c>
    </row>
    <row r="181" spans="1:28" x14ac:dyDescent="0.25">
      <c r="B181">
        <v>870</v>
      </c>
      <c r="C181">
        <v>1020</v>
      </c>
      <c r="D181">
        <f t="shared" si="6"/>
        <v>1143</v>
      </c>
      <c r="E181">
        <f t="shared" ref="E181:E226" si="10">10000/D181</f>
        <v>8.7489063867016625</v>
      </c>
      <c r="F181" s="3">
        <v>4.1800000000000001E-7</v>
      </c>
      <c r="G181">
        <f t="shared" ref="G181:G245" si="11">LN(F181)</f>
        <v>-14.687784404421654</v>
      </c>
      <c r="H181">
        <v>0.6</v>
      </c>
      <c r="I181">
        <v>4</v>
      </c>
      <c r="J181" s="19" t="s">
        <v>126</v>
      </c>
      <c r="O181">
        <v>852</v>
      </c>
      <c r="P181">
        <f>10000/(O181+273)</f>
        <v>8.8888888888888893</v>
      </c>
      <c r="Q181" s="3">
        <f>-5.3108*P181+31.908</f>
        <v>-15.299111111111117</v>
      </c>
      <c r="R181" s="17">
        <f>EXP(Q181)</f>
        <v>2.2681954056478562E-7</v>
      </c>
      <c r="T181">
        <v>0.88</v>
      </c>
      <c r="U181">
        <f>T181*(5.65325/2)/10000*60*60</f>
        <v>0.89547480000000002</v>
      </c>
      <c r="V181">
        <f>0.1/U181*60</f>
        <v>6.7003560569208656</v>
      </c>
      <c r="W181">
        <f>0.5/U181*60</f>
        <v>33.501780284604322</v>
      </c>
      <c r="X181">
        <f>U181*63/60</f>
        <v>0.94024854000000002</v>
      </c>
      <c r="Z181">
        <v>0.20499999999999999</v>
      </c>
      <c r="AA181">
        <f>Z181*(5.867^2)/(5.653^2)</f>
        <v>0.22081474313963129</v>
      </c>
      <c r="AB181">
        <f>AA181*(5.867)/2/10000*60*60</f>
        <v>0.23319361764003901</v>
      </c>
    </row>
    <row r="182" spans="1:28" x14ac:dyDescent="0.25">
      <c r="B182">
        <v>830</v>
      </c>
      <c r="C182">
        <v>980</v>
      </c>
      <c r="D182">
        <f t="shared" si="6"/>
        <v>1103</v>
      </c>
      <c r="E182">
        <f t="shared" si="10"/>
        <v>9.0661831368993653</v>
      </c>
      <c r="F182" s="3">
        <v>1.79E-7</v>
      </c>
      <c r="G182">
        <f t="shared" si="11"/>
        <v>-15.535880031105656</v>
      </c>
      <c r="H182">
        <v>0.24</v>
      </c>
      <c r="I182">
        <v>4</v>
      </c>
      <c r="T182" s="3"/>
      <c r="U182" s="3"/>
      <c r="V182" s="3"/>
      <c r="W182" s="3"/>
      <c r="X182" s="3"/>
    </row>
    <row r="183" spans="1:28" x14ac:dyDescent="0.25">
      <c r="A183" s="7">
        <v>43803</v>
      </c>
      <c r="B183">
        <v>900</v>
      </c>
      <c r="C183">
        <v>1050</v>
      </c>
      <c r="D183">
        <f t="shared" si="6"/>
        <v>1173</v>
      </c>
      <c r="E183">
        <f t="shared" si="10"/>
        <v>8.5251491901108274</v>
      </c>
      <c r="F183" s="3">
        <v>7.1630000000000003E-7</v>
      </c>
      <c r="G183">
        <f t="shared" si="11"/>
        <v>-14.149166763326006</v>
      </c>
      <c r="H183">
        <v>1.22</v>
      </c>
      <c r="I183">
        <v>4</v>
      </c>
      <c r="O183" s="4" t="s">
        <v>5</v>
      </c>
      <c r="P183" s="4" t="s">
        <v>7</v>
      </c>
      <c r="Q183" s="4" t="s">
        <v>12</v>
      </c>
      <c r="T183" s="4" t="s">
        <v>88</v>
      </c>
      <c r="U183" s="4" t="s">
        <v>89</v>
      </c>
      <c r="V183" s="4" t="s">
        <v>90</v>
      </c>
      <c r="W183" s="4"/>
      <c r="X183" s="4"/>
    </row>
    <row r="184" spans="1:28" x14ac:dyDescent="0.25">
      <c r="B184">
        <v>862</v>
      </c>
      <c r="C184">
        <v>1012</v>
      </c>
      <c r="D184">
        <f t="shared" si="6"/>
        <v>1135</v>
      </c>
      <c r="E184">
        <f t="shared" si="10"/>
        <v>8.8105726872246688</v>
      </c>
      <c r="F184" s="3">
        <v>3.3500000000000002E-7</v>
      </c>
      <c r="G184">
        <f t="shared" si="11"/>
        <v>-14.909135305121344</v>
      </c>
      <c r="H184">
        <v>0.45600000000000002</v>
      </c>
      <c r="I184">
        <v>4</v>
      </c>
      <c r="O184">
        <v>0.75</v>
      </c>
      <c r="P184">
        <f>0.8689*LN(O184)-14.258</f>
        <v>-14.507966952753351</v>
      </c>
      <c r="Q184" s="3">
        <f>EXP(P184)</f>
        <v>5.0034551220915343E-7</v>
      </c>
      <c r="T184">
        <v>0.35</v>
      </c>
      <c r="U184">
        <f>T184/U181</f>
        <v>0.39085410332038373</v>
      </c>
      <c r="V184">
        <f>U184*60</f>
        <v>23.451246199223025</v>
      </c>
    </row>
    <row r="185" spans="1:28" x14ac:dyDescent="0.25">
      <c r="A185" s="7">
        <v>43805</v>
      </c>
      <c r="B185">
        <v>887</v>
      </c>
      <c r="C185">
        <v>1037</v>
      </c>
      <c r="D185">
        <f t="shared" si="6"/>
        <v>1160</v>
      </c>
      <c r="E185">
        <f t="shared" si="10"/>
        <v>8.6206896551724146</v>
      </c>
      <c r="F185" s="3">
        <v>5.6100000000000001E-7</v>
      </c>
      <c r="G185">
        <f t="shared" si="11"/>
        <v>-14.393544931423715</v>
      </c>
      <c r="H185">
        <v>0.79500000000000004</v>
      </c>
      <c r="I185">
        <v>4</v>
      </c>
    </row>
    <row r="186" spans="1:28" x14ac:dyDescent="0.25">
      <c r="B186">
        <v>864</v>
      </c>
      <c r="C186">
        <v>964</v>
      </c>
      <c r="D186">
        <f t="shared" si="6"/>
        <v>1137</v>
      </c>
      <c r="E186">
        <f t="shared" si="10"/>
        <v>8.7950747581354438</v>
      </c>
      <c r="F186" s="3">
        <v>3.3999999999999997E-7</v>
      </c>
      <c r="G186">
        <f t="shared" si="11"/>
        <v>-14.894320219336205</v>
      </c>
      <c r="H186">
        <v>0.48399999999999999</v>
      </c>
      <c r="I186">
        <v>4</v>
      </c>
    </row>
    <row r="187" spans="1:28" x14ac:dyDescent="0.25">
      <c r="A187" s="7">
        <v>43809</v>
      </c>
      <c r="B187">
        <v>887</v>
      </c>
      <c r="C187">
        <v>1037</v>
      </c>
      <c r="D187">
        <f t="shared" si="6"/>
        <v>1160</v>
      </c>
      <c r="E187">
        <f t="shared" si="10"/>
        <v>8.6206896551724146</v>
      </c>
      <c r="F187" s="3">
        <v>5.6000000000000004E-7</v>
      </c>
      <c r="G187">
        <f t="shared" si="11"/>
        <v>-14.395329053217216</v>
      </c>
      <c r="H187">
        <v>0.81</v>
      </c>
      <c r="I187">
        <v>4</v>
      </c>
    </row>
    <row r="188" spans="1:28" x14ac:dyDescent="0.25">
      <c r="B188">
        <v>864</v>
      </c>
      <c r="C188">
        <v>1014</v>
      </c>
      <c r="D188">
        <f t="shared" si="6"/>
        <v>1137</v>
      </c>
      <c r="E188">
        <f t="shared" si="10"/>
        <v>8.7950747581354438</v>
      </c>
      <c r="F188" s="3">
        <v>3.3999999999999997E-7</v>
      </c>
      <c r="G188">
        <f t="shared" si="11"/>
        <v>-14.894320219336205</v>
      </c>
      <c r="H188">
        <v>0.5</v>
      </c>
      <c r="I188">
        <v>4</v>
      </c>
    </row>
    <row r="189" spans="1:28" x14ac:dyDescent="0.25">
      <c r="A189" s="7">
        <v>43812</v>
      </c>
      <c r="B189">
        <v>887</v>
      </c>
      <c r="C189">
        <v>1037</v>
      </c>
      <c r="D189">
        <f t="shared" si="6"/>
        <v>1160</v>
      </c>
      <c r="E189">
        <f t="shared" si="10"/>
        <v>8.6206896551724146</v>
      </c>
      <c r="F189" s="3">
        <v>5.4700000000000001E-7</v>
      </c>
      <c r="G189">
        <f t="shared" si="11"/>
        <v>-14.41881703452443</v>
      </c>
      <c r="H189">
        <v>0.82</v>
      </c>
      <c r="I189">
        <v>4</v>
      </c>
    </row>
    <row r="190" spans="1:28" x14ac:dyDescent="0.25">
      <c r="B190">
        <v>864</v>
      </c>
      <c r="C190">
        <v>1014</v>
      </c>
      <c r="D190">
        <f t="shared" si="6"/>
        <v>1137</v>
      </c>
      <c r="E190">
        <f t="shared" si="10"/>
        <v>8.7950747581354438</v>
      </c>
      <c r="F190" s="3">
        <v>3.39E-7</v>
      </c>
      <c r="G190">
        <f t="shared" si="11"/>
        <v>-14.897265729565961</v>
      </c>
      <c r="H190">
        <v>0.48199999999999998</v>
      </c>
      <c r="I190">
        <v>4</v>
      </c>
    </row>
    <row r="191" spans="1:28" x14ac:dyDescent="0.25">
      <c r="A191" s="7">
        <v>43815</v>
      </c>
      <c r="B191">
        <v>887</v>
      </c>
      <c r="C191">
        <v>1037</v>
      </c>
      <c r="D191">
        <f t="shared" si="6"/>
        <v>1160</v>
      </c>
      <c r="E191">
        <f t="shared" si="10"/>
        <v>8.6206896551724146</v>
      </c>
      <c r="F191" s="3">
        <v>5.5899999999999996E-7</v>
      </c>
      <c r="G191">
        <f t="shared" si="11"/>
        <v>-14.397116363791312</v>
      </c>
    </row>
    <row r="192" spans="1:28" x14ac:dyDescent="0.25">
      <c r="B192">
        <v>864</v>
      </c>
      <c r="C192">
        <v>1014</v>
      </c>
      <c r="D192">
        <f t="shared" si="6"/>
        <v>1137</v>
      </c>
      <c r="E192">
        <f t="shared" si="10"/>
        <v>8.7950747581354438</v>
      </c>
      <c r="F192" s="3">
        <v>3.4299999999999999E-7</v>
      </c>
      <c r="G192">
        <f t="shared" si="11"/>
        <v>-14.885535389780472</v>
      </c>
    </row>
    <row r="193" spans="1:10" x14ac:dyDescent="0.25">
      <c r="A193" s="7">
        <v>43817</v>
      </c>
      <c r="B193">
        <v>887</v>
      </c>
      <c r="C193">
        <v>1037</v>
      </c>
      <c r="D193">
        <f t="shared" si="6"/>
        <v>1160</v>
      </c>
      <c r="E193">
        <f t="shared" si="10"/>
        <v>8.6206896551724146</v>
      </c>
      <c r="F193" s="3">
        <v>5.5000000000000003E-7</v>
      </c>
      <c r="G193">
        <f t="shared" si="11"/>
        <v>-14.413347558719895</v>
      </c>
    </row>
    <row r="194" spans="1:10" x14ac:dyDescent="0.25">
      <c r="B194">
        <v>864</v>
      </c>
      <c r="C194">
        <v>1014</v>
      </c>
      <c r="D194">
        <f t="shared" si="6"/>
        <v>1137</v>
      </c>
      <c r="E194">
        <f t="shared" si="10"/>
        <v>8.7950747581354438</v>
      </c>
      <c r="F194" s="3">
        <v>3.3799999999999998E-7</v>
      </c>
      <c r="G194">
        <f t="shared" si="11"/>
        <v>-14.900219941463392</v>
      </c>
    </row>
    <row r="195" spans="1:10" x14ac:dyDescent="0.25">
      <c r="A195" s="7">
        <v>43844</v>
      </c>
      <c r="B195">
        <v>887</v>
      </c>
      <c r="C195">
        <f>B195+150</f>
        <v>1037</v>
      </c>
      <c r="D195">
        <f t="shared" si="6"/>
        <v>1160</v>
      </c>
      <c r="E195">
        <f t="shared" si="10"/>
        <v>8.6206896551724146</v>
      </c>
      <c r="F195" s="3">
        <v>5.5300000000000004E-7</v>
      </c>
      <c r="G195">
        <f t="shared" si="11"/>
        <v>-14.407907835424076</v>
      </c>
      <c r="H195">
        <v>0.71</v>
      </c>
    </row>
    <row r="196" spans="1:10" x14ac:dyDescent="0.25">
      <c r="B196">
        <v>864</v>
      </c>
      <c r="C196">
        <f>B196+150</f>
        <v>1014</v>
      </c>
      <c r="D196">
        <f t="shared" si="6"/>
        <v>1137</v>
      </c>
      <c r="E196">
        <f t="shared" si="10"/>
        <v>8.7950747581354438</v>
      </c>
      <c r="F196" s="3">
        <v>3.39E-7</v>
      </c>
      <c r="G196">
        <f t="shared" si="11"/>
        <v>-14.897265729565961</v>
      </c>
      <c r="H196">
        <v>0.54</v>
      </c>
      <c r="I196">
        <v>4</v>
      </c>
    </row>
    <row r="197" spans="1:10" x14ac:dyDescent="0.25">
      <c r="A197" s="7">
        <v>43847</v>
      </c>
      <c r="B197">
        <v>864</v>
      </c>
      <c r="C197">
        <v>1014</v>
      </c>
      <c r="D197">
        <f t="shared" si="6"/>
        <v>1137</v>
      </c>
      <c r="E197">
        <f t="shared" si="10"/>
        <v>8.7950747581354438</v>
      </c>
      <c r="F197" s="3">
        <v>3.34E-7</v>
      </c>
      <c r="G197">
        <f t="shared" si="11"/>
        <v>-14.91212484396971</v>
      </c>
      <c r="H197">
        <v>0.47199999999999998</v>
      </c>
      <c r="I197">
        <v>4</v>
      </c>
    </row>
    <row r="198" spans="1:10" x14ac:dyDescent="0.25">
      <c r="A198" s="7">
        <v>43850</v>
      </c>
      <c r="B198">
        <v>864</v>
      </c>
      <c r="C198">
        <v>1014</v>
      </c>
      <c r="D198">
        <f t="shared" si="6"/>
        <v>1137</v>
      </c>
      <c r="E198">
        <f t="shared" si="10"/>
        <v>8.7950747581354438</v>
      </c>
      <c r="F198" s="3">
        <v>3.0800000000000001E-7</v>
      </c>
      <c r="G198">
        <f t="shared" si="11"/>
        <v>-14.993166053972837</v>
      </c>
    </row>
    <row r="199" spans="1:10" x14ac:dyDescent="0.25">
      <c r="A199" s="7">
        <v>43489</v>
      </c>
      <c r="B199">
        <v>887</v>
      </c>
      <c r="C199">
        <v>1037</v>
      </c>
      <c r="D199">
        <f t="shared" si="6"/>
        <v>1160</v>
      </c>
      <c r="E199">
        <f t="shared" si="10"/>
        <v>8.6206896551724146</v>
      </c>
      <c r="F199" s="3">
        <v>5.0299999999999999E-7</v>
      </c>
      <c r="G199">
        <f t="shared" si="11"/>
        <v>-14.502675666846672</v>
      </c>
      <c r="H199">
        <v>0.83</v>
      </c>
      <c r="I199">
        <v>4</v>
      </c>
    </row>
    <row r="200" spans="1:10" x14ac:dyDescent="0.25">
      <c r="B200">
        <v>864</v>
      </c>
      <c r="C200">
        <v>1014</v>
      </c>
      <c r="D200">
        <f t="shared" si="6"/>
        <v>1137</v>
      </c>
      <c r="E200">
        <f t="shared" si="10"/>
        <v>8.7950747581354438</v>
      </c>
      <c r="F200" s="3">
        <v>3.2800000000000003E-7</v>
      </c>
      <c r="G200">
        <f t="shared" si="11"/>
        <v>-14.930252228562267</v>
      </c>
      <c r="H200">
        <v>0.50600000000000001</v>
      </c>
      <c r="I200">
        <v>4</v>
      </c>
    </row>
    <row r="201" spans="1:10" x14ac:dyDescent="0.25">
      <c r="A201" s="7">
        <v>43858</v>
      </c>
      <c r="B201">
        <v>887</v>
      </c>
      <c r="C201">
        <v>1037</v>
      </c>
      <c r="D201">
        <f t="shared" si="6"/>
        <v>1160</v>
      </c>
      <c r="E201">
        <f t="shared" si="10"/>
        <v>8.6206896551724146</v>
      </c>
      <c r="F201" s="3">
        <v>5.1399999999999997E-7</v>
      </c>
      <c r="G201">
        <f t="shared" si="11"/>
        <v>-14.481042571491246</v>
      </c>
      <c r="J201" t="s">
        <v>133</v>
      </c>
    </row>
    <row r="202" spans="1:10" x14ac:dyDescent="0.25">
      <c r="B202">
        <v>864</v>
      </c>
      <c r="C202">
        <v>1014</v>
      </c>
      <c r="D202">
        <f t="shared" si="6"/>
        <v>1137</v>
      </c>
      <c r="E202">
        <f t="shared" si="10"/>
        <v>8.7950747581354438</v>
      </c>
      <c r="F202" s="3">
        <v>3.2000000000000001E-7</v>
      </c>
      <c r="G202">
        <f t="shared" si="11"/>
        <v>-14.954944841152638</v>
      </c>
      <c r="H202">
        <v>0.47299999999999998</v>
      </c>
      <c r="I202">
        <v>4</v>
      </c>
    </row>
    <row r="203" spans="1:10" x14ac:dyDescent="0.25">
      <c r="A203" s="7">
        <v>43865</v>
      </c>
      <c r="B203">
        <v>864</v>
      </c>
      <c r="C203">
        <v>1014</v>
      </c>
      <c r="D203">
        <f t="shared" si="6"/>
        <v>1137</v>
      </c>
      <c r="E203">
        <f t="shared" si="10"/>
        <v>8.7950747581354438</v>
      </c>
      <c r="F203" s="3">
        <v>3.7599999999999998E-7</v>
      </c>
      <c r="G203">
        <f t="shared" si="11"/>
        <v>-14.793676693556517</v>
      </c>
    </row>
    <row r="204" spans="1:10" x14ac:dyDescent="0.25">
      <c r="B204">
        <v>859</v>
      </c>
      <c r="C204">
        <v>1009</v>
      </c>
      <c r="D204">
        <f t="shared" si="6"/>
        <v>1132</v>
      </c>
      <c r="E204">
        <f t="shared" si="10"/>
        <v>8.8339222614840995</v>
      </c>
      <c r="F204" s="3">
        <v>3.0699999999999998E-7</v>
      </c>
      <c r="G204">
        <f t="shared" si="11"/>
        <v>-14.996418089359214</v>
      </c>
    </row>
    <row r="205" spans="1:10" x14ac:dyDescent="0.25">
      <c r="B205">
        <v>861</v>
      </c>
      <c r="C205">
        <v>1011</v>
      </c>
      <c r="D205">
        <f t="shared" si="6"/>
        <v>1134</v>
      </c>
      <c r="E205">
        <f t="shared" si="10"/>
        <v>8.8183421516754859</v>
      </c>
      <c r="F205" s="3">
        <v>3.2399999999999999E-7</v>
      </c>
      <c r="G205">
        <f t="shared" si="11"/>
        <v>-14.942522321154081</v>
      </c>
      <c r="H205">
        <v>0.46</v>
      </c>
      <c r="J205" t="s">
        <v>135</v>
      </c>
    </row>
    <row r="206" spans="1:10" x14ac:dyDescent="0.25">
      <c r="A206" s="7">
        <v>43868</v>
      </c>
      <c r="B206">
        <v>864</v>
      </c>
      <c r="C206">
        <v>1064</v>
      </c>
      <c r="D206">
        <f t="shared" si="6"/>
        <v>1137</v>
      </c>
      <c r="E206">
        <f t="shared" si="10"/>
        <v>8.7950747581354438</v>
      </c>
      <c r="F206" s="3">
        <v>3.6899999999999998E-7</v>
      </c>
      <c r="G206">
        <f t="shared" si="11"/>
        <v>-14.812469192905883</v>
      </c>
      <c r="I206">
        <v>4</v>
      </c>
      <c r="J206" t="s">
        <v>134</v>
      </c>
    </row>
    <row r="207" spans="1:10" x14ac:dyDescent="0.25">
      <c r="B207">
        <v>861</v>
      </c>
      <c r="C207">
        <v>1011</v>
      </c>
      <c r="D207">
        <f t="shared" si="6"/>
        <v>1134</v>
      </c>
      <c r="E207">
        <f t="shared" si="10"/>
        <v>8.8183421516754859</v>
      </c>
      <c r="F207" s="3">
        <v>2.9700000000000003E-7</v>
      </c>
      <c r="G207">
        <f t="shared" si="11"/>
        <v>-15.029533698143711</v>
      </c>
      <c r="H207">
        <v>0.47</v>
      </c>
      <c r="I207">
        <v>4</v>
      </c>
    </row>
    <row r="208" spans="1:10" x14ac:dyDescent="0.25">
      <c r="B208">
        <v>825</v>
      </c>
      <c r="C208">
        <v>975</v>
      </c>
      <c r="D208">
        <f t="shared" si="6"/>
        <v>1098</v>
      </c>
      <c r="E208">
        <f t="shared" si="10"/>
        <v>9.1074681238615671</v>
      </c>
      <c r="F208" s="3">
        <v>1.37E-7</v>
      </c>
      <c r="G208">
        <f t="shared" si="11"/>
        <v>-15.803284911118286</v>
      </c>
      <c r="I208">
        <v>4</v>
      </c>
    </row>
    <row r="209" spans="1:10" x14ac:dyDescent="0.25">
      <c r="A209" s="7">
        <v>43871</v>
      </c>
      <c r="B209">
        <v>864</v>
      </c>
      <c r="C209">
        <v>1064</v>
      </c>
      <c r="D209">
        <f t="shared" si="6"/>
        <v>1137</v>
      </c>
      <c r="E209">
        <f t="shared" si="10"/>
        <v>8.7950747581354438</v>
      </c>
      <c r="F209" s="3">
        <v>3.8200000000000001E-7</v>
      </c>
      <c r="G209">
        <f t="shared" si="11"/>
        <v>-14.777845228339835</v>
      </c>
      <c r="I209">
        <v>4</v>
      </c>
    </row>
    <row r="210" spans="1:10" x14ac:dyDescent="0.25">
      <c r="B210">
        <v>861</v>
      </c>
      <c r="C210">
        <v>1011</v>
      </c>
      <c r="D210">
        <f t="shared" si="6"/>
        <v>1134</v>
      </c>
      <c r="E210">
        <f t="shared" si="10"/>
        <v>8.8183421516754859</v>
      </c>
      <c r="F210" s="3">
        <v>3.1E-7</v>
      </c>
      <c r="G210">
        <f t="shared" si="11"/>
        <v>-14.98669353946722</v>
      </c>
      <c r="H210">
        <v>0.437</v>
      </c>
      <c r="I210">
        <v>4</v>
      </c>
    </row>
    <row r="211" spans="1:10" x14ac:dyDescent="0.25">
      <c r="A211" s="7">
        <v>43873</v>
      </c>
      <c r="B211">
        <v>864</v>
      </c>
      <c r="C211">
        <v>1014</v>
      </c>
      <c r="D211">
        <f t="shared" si="6"/>
        <v>1137</v>
      </c>
      <c r="E211">
        <f t="shared" si="10"/>
        <v>8.7950747581354438</v>
      </c>
      <c r="F211" s="3">
        <v>3.3200000000000001E-7</v>
      </c>
      <c r="G211">
        <f t="shared" si="11"/>
        <v>-14.918130868029923</v>
      </c>
      <c r="H211">
        <v>0.47</v>
      </c>
      <c r="I211">
        <v>4</v>
      </c>
    </row>
    <row r="212" spans="1:10" x14ac:dyDescent="0.25">
      <c r="A212" s="7">
        <v>43875</v>
      </c>
      <c r="B212">
        <v>864</v>
      </c>
      <c r="C212">
        <v>1014</v>
      </c>
      <c r="D212">
        <f t="shared" si="6"/>
        <v>1137</v>
      </c>
      <c r="E212">
        <f t="shared" si="10"/>
        <v>8.7950747581354438</v>
      </c>
      <c r="F212" s="3">
        <v>3.2599999999999998E-7</v>
      </c>
      <c r="G212">
        <f t="shared" si="11"/>
        <v>-14.936368455579704</v>
      </c>
      <c r="I212">
        <v>4</v>
      </c>
    </row>
    <row r="213" spans="1:10" x14ac:dyDescent="0.25">
      <c r="A213" s="7">
        <v>43879</v>
      </c>
      <c r="B213">
        <v>864</v>
      </c>
      <c r="C213">
        <v>1014</v>
      </c>
      <c r="D213">
        <f t="shared" si="6"/>
        <v>1137</v>
      </c>
      <c r="E213">
        <f t="shared" si="10"/>
        <v>8.7950747581354438</v>
      </c>
      <c r="F213" s="3">
        <v>3.2500000000000001E-7</v>
      </c>
      <c r="G213">
        <f t="shared" si="11"/>
        <v>-14.939440654616673</v>
      </c>
      <c r="H213">
        <v>0.46500000000000002</v>
      </c>
      <c r="I213">
        <v>4</v>
      </c>
    </row>
    <row r="214" spans="1:10" x14ac:dyDescent="0.25">
      <c r="A214" s="7">
        <v>43881</v>
      </c>
      <c r="B214">
        <v>864</v>
      </c>
      <c r="C214">
        <v>1014</v>
      </c>
      <c r="D214">
        <f t="shared" si="6"/>
        <v>1137</v>
      </c>
      <c r="E214">
        <f t="shared" si="10"/>
        <v>8.7950747581354438</v>
      </c>
      <c r="F214" s="3">
        <v>3.1800000000000002E-7</v>
      </c>
      <c r="G214">
        <f t="shared" si="11"/>
        <v>-14.961214454166234</v>
      </c>
      <c r="I214">
        <v>4</v>
      </c>
    </row>
    <row r="215" spans="1:10" x14ac:dyDescent="0.25">
      <c r="A215" s="7">
        <v>43888</v>
      </c>
      <c r="B215">
        <v>564</v>
      </c>
      <c r="C215">
        <v>1014</v>
      </c>
      <c r="D215">
        <f t="shared" si="6"/>
        <v>837</v>
      </c>
      <c r="E215">
        <f t="shared" si="10"/>
        <v>11.947431302270012</v>
      </c>
      <c r="F215" s="3">
        <v>3.1199999999999999E-7</v>
      </c>
      <c r="G215">
        <f t="shared" si="11"/>
        <v>-14.980262649136929</v>
      </c>
      <c r="I215">
        <v>4</v>
      </c>
    </row>
    <row r="216" spans="1:10" x14ac:dyDescent="0.25">
      <c r="A216" s="7" t="s">
        <v>138</v>
      </c>
      <c r="F216" s="3"/>
      <c r="J216" t="s">
        <v>141</v>
      </c>
    </row>
    <row r="217" spans="1:10" x14ac:dyDescent="0.25">
      <c r="A217" s="6">
        <v>44187</v>
      </c>
      <c r="B217">
        <v>890</v>
      </c>
      <c r="C217">
        <v>1040</v>
      </c>
      <c r="D217">
        <f t="shared" si="6"/>
        <v>1163</v>
      </c>
      <c r="E217">
        <f t="shared" si="10"/>
        <v>8.5984522785898534</v>
      </c>
      <c r="F217" s="3">
        <v>5.5000000000000003E-7</v>
      </c>
      <c r="G217">
        <f t="shared" si="11"/>
        <v>-14.413347558719895</v>
      </c>
      <c r="H217">
        <v>0.78400000000000003</v>
      </c>
      <c r="I217">
        <v>4</v>
      </c>
      <c r="J217" t="s">
        <v>139</v>
      </c>
    </row>
    <row r="218" spans="1:10" x14ac:dyDescent="0.25">
      <c r="B218">
        <v>865</v>
      </c>
      <c r="C218">
        <v>1015</v>
      </c>
      <c r="D218">
        <f t="shared" si="6"/>
        <v>1138</v>
      </c>
      <c r="E218">
        <f t="shared" si="10"/>
        <v>8.7873462214411244</v>
      </c>
      <c r="F218" s="3">
        <v>3.2500000000000001E-7</v>
      </c>
      <c r="G218">
        <f t="shared" si="11"/>
        <v>-14.939440654616673</v>
      </c>
      <c r="H218">
        <v>0.44400000000000001</v>
      </c>
      <c r="I218">
        <v>4</v>
      </c>
    </row>
    <row r="219" spans="1:10" x14ac:dyDescent="0.25">
      <c r="B219">
        <v>830</v>
      </c>
      <c r="C219">
        <v>980</v>
      </c>
      <c r="D219">
        <f t="shared" si="6"/>
        <v>1103</v>
      </c>
      <c r="E219">
        <f t="shared" si="10"/>
        <v>9.0661831368993653</v>
      </c>
      <c r="F219" s="3">
        <v>1.4999999999999999E-7</v>
      </c>
      <c r="G219">
        <f t="shared" si="11"/>
        <v>-15.712630542850155</v>
      </c>
      <c r="H219">
        <v>0.19400000000000001</v>
      </c>
      <c r="I219">
        <v>4</v>
      </c>
    </row>
    <row r="220" spans="1:10" x14ac:dyDescent="0.25">
      <c r="A220" s="6">
        <v>44195</v>
      </c>
      <c r="B220">
        <v>865</v>
      </c>
      <c r="C220">
        <v>1015</v>
      </c>
      <c r="D220">
        <f t="shared" si="6"/>
        <v>1138</v>
      </c>
      <c r="E220">
        <f t="shared" si="10"/>
        <v>8.7873462214411244</v>
      </c>
      <c r="F220" s="3">
        <v>3.2899999999999999E-7</v>
      </c>
      <c r="G220">
        <f t="shared" si="11"/>
        <v>-14.927208086181039</v>
      </c>
      <c r="H220">
        <v>0.47299999999999998</v>
      </c>
      <c r="I220">
        <v>4</v>
      </c>
      <c r="J220" t="s">
        <v>140</v>
      </c>
    </row>
    <row r="221" spans="1:10" x14ac:dyDescent="0.25">
      <c r="B221">
        <v>870</v>
      </c>
      <c r="C221">
        <v>1020</v>
      </c>
      <c r="D221">
        <f t="shared" si="6"/>
        <v>1143</v>
      </c>
      <c r="E221">
        <f t="shared" si="10"/>
        <v>8.7489063867016625</v>
      </c>
      <c r="F221" s="3">
        <v>3.5600000000000001E-7</v>
      </c>
      <c r="G221">
        <f t="shared" si="11"/>
        <v>-14.84833510609438</v>
      </c>
      <c r="H221">
        <v>0.53200000000000003</v>
      </c>
      <c r="I221">
        <v>4</v>
      </c>
    </row>
    <row r="222" spans="1:10" x14ac:dyDescent="0.25">
      <c r="A222" s="6">
        <v>44292</v>
      </c>
      <c r="B222">
        <v>870</v>
      </c>
      <c r="C222">
        <v>1020</v>
      </c>
      <c r="D222">
        <f t="shared" si="6"/>
        <v>1143</v>
      </c>
      <c r="E222">
        <f t="shared" si="10"/>
        <v>8.7489063867016625</v>
      </c>
      <c r="F222" s="3">
        <v>3.5100000000000001E-7</v>
      </c>
      <c r="G222">
        <f t="shared" si="11"/>
        <v>-14.862479613480545</v>
      </c>
      <c r="H222">
        <v>0.48699999999999999</v>
      </c>
      <c r="I222">
        <v>4</v>
      </c>
    </row>
    <row r="223" spans="1:10" x14ac:dyDescent="0.25">
      <c r="A223" s="6">
        <v>44312</v>
      </c>
      <c r="B223">
        <v>870</v>
      </c>
      <c r="C223">
        <v>1020</v>
      </c>
      <c r="D223">
        <f t="shared" si="6"/>
        <v>1143</v>
      </c>
      <c r="E223">
        <f t="shared" si="10"/>
        <v>8.7489063867016625</v>
      </c>
      <c r="F223" s="3">
        <v>3.5499999999999999E-7</v>
      </c>
      <c r="G223">
        <f t="shared" si="11"/>
        <v>-14.851148047470996</v>
      </c>
      <c r="I223">
        <v>4</v>
      </c>
    </row>
    <row r="224" spans="1:10" x14ac:dyDescent="0.25">
      <c r="A224" s="6">
        <v>44482</v>
      </c>
      <c r="B224">
        <v>870</v>
      </c>
      <c r="C224">
        <v>1020</v>
      </c>
      <c r="D224">
        <f t="shared" si="6"/>
        <v>1143</v>
      </c>
      <c r="E224">
        <f t="shared" si="10"/>
        <v>8.7489063867016625</v>
      </c>
      <c r="F224" s="3">
        <v>3.4299999999999999E-7</v>
      </c>
      <c r="G224">
        <f t="shared" si="11"/>
        <v>-14.885535389780472</v>
      </c>
      <c r="H224">
        <v>0.505</v>
      </c>
      <c r="I224">
        <v>4</v>
      </c>
    </row>
    <row r="225" spans="1:23" x14ac:dyDescent="0.25">
      <c r="B225">
        <v>830</v>
      </c>
      <c r="C225">
        <v>980</v>
      </c>
      <c r="D225">
        <f t="shared" si="6"/>
        <v>1103</v>
      </c>
      <c r="E225">
        <f t="shared" si="10"/>
        <v>9.0661831368993653</v>
      </c>
      <c r="G225" t="e">
        <f t="shared" si="11"/>
        <v>#NUM!</v>
      </c>
    </row>
    <row r="226" spans="1:23" x14ac:dyDescent="0.25">
      <c r="A226" s="6">
        <v>44579</v>
      </c>
      <c r="B226">
        <v>870</v>
      </c>
      <c r="C226">
        <v>1020</v>
      </c>
      <c r="D226">
        <f t="shared" si="6"/>
        <v>1143</v>
      </c>
      <c r="E226">
        <f t="shared" si="10"/>
        <v>8.7489063867016625</v>
      </c>
      <c r="F226" s="3">
        <v>3.39E-7</v>
      </c>
      <c r="G226">
        <f t="shared" si="11"/>
        <v>-14.897265729565961</v>
      </c>
      <c r="H226">
        <v>0.498</v>
      </c>
      <c r="I226">
        <v>4</v>
      </c>
      <c r="J226" t="s">
        <v>157</v>
      </c>
    </row>
    <row r="227" spans="1:23" x14ac:dyDescent="0.25">
      <c r="A227" s="6">
        <v>44582</v>
      </c>
      <c r="B227">
        <v>870</v>
      </c>
      <c r="C227">
        <v>1020</v>
      </c>
      <c r="D227">
        <f t="shared" ref="D227:D246" si="12">B227+273</f>
        <v>1143</v>
      </c>
      <c r="E227">
        <f t="shared" ref="E227:E246" si="13">10000/D227</f>
        <v>8.7489063867016625</v>
      </c>
      <c r="F227" s="3">
        <v>3.3999999999999997E-7</v>
      </c>
      <c r="G227">
        <f t="shared" si="11"/>
        <v>-14.894320219336205</v>
      </c>
    </row>
    <row r="228" spans="1:23" x14ac:dyDescent="0.25">
      <c r="A228" s="6">
        <v>44587</v>
      </c>
      <c r="B228">
        <v>870</v>
      </c>
      <c r="C228">
        <v>1020</v>
      </c>
      <c r="D228">
        <f t="shared" si="12"/>
        <v>1143</v>
      </c>
      <c r="E228">
        <f t="shared" si="13"/>
        <v>8.7489063867016625</v>
      </c>
      <c r="F228" s="3">
        <v>3.3999999999999997E-7</v>
      </c>
      <c r="G228">
        <f t="shared" si="11"/>
        <v>-14.894320219336205</v>
      </c>
      <c r="H228">
        <v>0.497</v>
      </c>
      <c r="I228">
        <v>4</v>
      </c>
    </row>
    <row r="229" spans="1:23" ht="17.25" customHeight="1" x14ac:dyDescent="0.25">
      <c r="A229" s="6">
        <v>44610</v>
      </c>
      <c r="B229">
        <v>890</v>
      </c>
      <c r="C229">
        <v>1040</v>
      </c>
      <c r="D229">
        <f t="shared" si="12"/>
        <v>1163</v>
      </c>
      <c r="E229">
        <f t="shared" si="13"/>
        <v>8.5984522785898534</v>
      </c>
      <c r="F229" s="3">
        <v>5.2200000000000004E-7</v>
      </c>
      <c r="G229">
        <f t="shared" si="11"/>
        <v>-14.465598249063772</v>
      </c>
      <c r="I229">
        <v>4</v>
      </c>
    </row>
    <row r="230" spans="1:23" x14ac:dyDescent="0.25">
      <c r="B230">
        <v>870</v>
      </c>
      <c r="C230">
        <v>1020</v>
      </c>
      <c r="D230">
        <f t="shared" si="12"/>
        <v>1143</v>
      </c>
      <c r="E230">
        <f t="shared" si="13"/>
        <v>8.7489063867016625</v>
      </c>
      <c r="F230" s="3">
        <v>3.3700000000000001E-7</v>
      </c>
      <c r="G230">
        <f t="shared" si="11"/>
        <v>-14.903182906594049</v>
      </c>
      <c r="H230">
        <v>0.5</v>
      </c>
      <c r="I230">
        <v>4</v>
      </c>
    </row>
    <row r="231" spans="1:23" x14ac:dyDescent="0.25">
      <c r="B231">
        <v>850</v>
      </c>
      <c r="C231">
        <v>1000</v>
      </c>
      <c r="D231">
        <f t="shared" si="12"/>
        <v>1123</v>
      </c>
      <c r="E231">
        <f t="shared" si="13"/>
        <v>8.9047195013357072</v>
      </c>
      <c r="F231" s="3">
        <v>2.23E-7</v>
      </c>
      <c r="G231">
        <f t="shared" si="11"/>
        <v>-15.316094065486292</v>
      </c>
      <c r="H231">
        <v>0.318</v>
      </c>
      <c r="I231">
        <v>4</v>
      </c>
    </row>
    <row r="232" spans="1:23" x14ac:dyDescent="0.25">
      <c r="B232">
        <v>830</v>
      </c>
      <c r="C232">
        <v>980</v>
      </c>
      <c r="D232">
        <f t="shared" si="12"/>
        <v>1103</v>
      </c>
      <c r="E232">
        <f t="shared" si="13"/>
        <v>9.0661831368993653</v>
      </c>
      <c r="F232" s="3">
        <v>1.4399999999999999E-7</v>
      </c>
      <c r="G232">
        <f t="shared" si="11"/>
        <v>-15.753452537370411</v>
      </c>
      <c r="H232">
        <v>0.20399999999999999</v>
      </c>
      <c r="I232">
        <v>4</v>
      </c>
    </row>
    <row r="233" spans="1:23" x14ac:dyDescent="0.25">
      <c r="A233" s="6">
        <v>44623</v>
      </c>
      <c r="B233">
        <v>870</v>
      </c>
      <c r="C233">
        <v>1020</v>
      </c>
      <c r="D233">
        <f t="shared" si="12"/>
        <v>1143</v>
      </c>
      <c r="E233">
        <f t="shared" si="13"/>
        <v>8.7489063867016625</v>
      </c>
      <c r="F233" s="3">
        <v>3.34E-7</v>
      </c>
      <c r="G233">
        <f t="shared" si="11"/>
        <v>-14.91212484396971</v>
      </c>
      <c r="I233">
        <v>4</v>
      </c>
      <c r="W233" s="3"/>
    </row>
    <row r="234" spans="1:23" x14ac:dyDescent="0.25">
      <c r="B234">
        <v>850</v>
      </c>
      <c r="C234">
        <v>1000</v>
      </c>
      <c r="D234">
        <f t="shared" si="12"/>
        <v>1123</v>
      </c>
      <c r="E234">
        <f t="shared" si="13"/>
        <v>8.9047195013357072</v>
      </c>
      <c r="F234" s="3">
        <v>2.1799999999999999E-7</v>
      </c>
      <c r="G234">
        <f t="shared" si="11"/>
        <v>-15.338770774157322</v>
      </c>
      <c r="I234">
        <v>4</v>
      </c>
      <c r="W234" s="3"/>
    </row>
    <row r="235" spans="1:23" x14ac:dyDescent="0.25">
      <c r="A235" s="6">
        <v>44627</v>
      </c>
      <c r="B235">
        <v>870</v>
      </c>
      <c r="C235">
        <v>1020</v>
      </c>
      <c r="D235">
        <f t="shared" si="12"/>
        <v>1143</v>
      </c>
      <c r="E235">
        <f t="shared" si="13"/>
        <v>8.7489063867016625</v>
      </c>
      <c r="F235" s="3">
        <v>3.3599999999999999E-7</v>
      </c>
      <c r="G235">
        <f t="shared" si="11"/>
        <v>-14.906154676983206</v>
      </c>
      <c r="I235">
        <v>4</v>
      </c>
    </row>
    <row r="236" spans="1:23" x14ac:dyDescent="0.25">
      <c r="B236">
        <v>850</v>
      </c>
      <c r="C236">
        <v>1020</v>
      </c>
      <c r="D236">
        <f t="shared" si="12"/>
        <v>1123</v>
      </c>
      <c r="E236">
        <f t="shared" si="13"/>
        <v>8.9047195013357072</v>
      </c>
      <c r="F236" s="3">
        <v>2.1799999999999999E-7</v>
      </c>
      <c r="G236">
        <f t="shared" si="11"/>
        <v>-15.338770774157322</v>
      </c>
      <c r="H236">
        <v>0.31</v>
      </c>
      <c r="I236">
        <v>4</v>
      </c>
    </row>
    <row r="237" spans="1:23" x14ac:dyDescent="0.25">
      <c r="A237" s="6">
        <v>44631</v>
      </c>
      <c r="B237">
        <v>870</v>
      </c>
      <c r="C237">
        <v>1020</v>
      </c>
      <c r="D237">
        <f t="shared" si="12"/>
        <v>1143</v>
      </c>
      <c r="E237">
        <f t="shared" si="13"/>
        <v>8.7489063867016625</v>
      </c>
      <c r="F237" s="3">
        <v>3.5100000000000001E-7</v>
      </c>
      <c r="G237">
        <f t="shared" si="11"/>
        <v>-14.862479613480545</v>
      </c>
      <c r="H237">
        <v>0.47099999999999997</v>
      </c>
      <c r="I237">
        <v>4</v>
      </c>
    </row>
    <row r="238" spans="1:23" x14ac:dyDescent="0.25">
      <c r="B238">
        <v>850</v>
      </c>
      <c r="C238">
        <v>1000</v>
      </c>
      <c r="D238">
        <f t="shared" si="12"/>
        <v>1123</v>
      </c>
      <c r="E238">
        <f t="shared" si="13"/>
        <v>8.9047195013357072</v>
      </c>
      <c r="F238" s="3">
        <v>2.1299999999999999E-7</v>
      </c>
      <c r="G238">
        <f t="shared" si="11"/>
        <v>-15.361973671236987</v>
      </c>
      <c r="I238">
        <v>4</v>
      </c>
      <c r="V238" t="s">
        <v>10</v>
      </c>
      <c r="W238">
        <v>868</v>
      </c>
    </row>
    <row r="239" spans="1:23" x14ac:dyDescent="0.25">
      <c r="A239" s="6">
        <v>44644</v>
      </c>
      <c r="B239">
        <v>870</v>
      </c>
      <c r="C239">
        <v>1020</v>
      </c>
      <c r="D239">
        <f t="shared" si="12"/>
        <v>1143</v>
      </c>
      <c r="E239">
        <f t="shared" si="13"/>
        <v>8.7489063867016625</v>
      </c>
      <c r="F239" s="3">
        <v>3.2899999999999999E-7</v>
      </c>
      <c r="G239">
        <f t="shared" si="11"/>
        <v>-14.927208086181039</v>
      </c>
      <c r="H239">
        <v>0.43</v>
      </c>
      <c r="I239">
        <v>4</v>
      </c>
      <c r="V239" t="s">
        <v>12</v>
      </c>
      <c r="W239">
        <f>0.00000000000000147*EXP(0.0222*W238)</f>
        <v>3.4355658981574789E-7</v>
      </c>
    </row>
    <row r="240" spans="1:23" x14ac:dyDescent="0.25">
      <c r="A240" s="6">
        <v>44685</v>
      </c>
      <c r="B240">
        <v>875</v>
      </c>
      <c r="C240">
        <v>1025</v>
      </c>
      <c r="D240">
        <f t="shared" si="12"/>
        <v>1148</v>
      </c>
      <c r="E240">
        <f t="shared" si="13"/>
        <v>8.7108013937282234</v>
      </c>
      <c r="F240" s="3">
        <v>3.5699999999999998E-7</v>
      </c>
      <c r="G240">
        <f t="shared" si="11"/>
        <v>-14.845530055166773</v>
      </c>
      <c r="H240">
        <v>0.52300000000000002</v>
      </c>
      <c r="I240">
        <v>4</v>
      </c>
    </row>
    <row r="241" spans="1:10" x14ac:dyDescent="0.25">
      <c r="A241" s="6">
        <v>44783</v>
      </c>
      <c r="B241">
        <v>875</v>
      </c>
      <c r="C241">
        <v>1025</v>
      </c>
      <c r="D241">
        <f t="shared" si="12"/>
        <v>1148</v>
      </c>
      <c r="E241">
        <f t="shared" si="13"/>
        <v>8.7108013937282234</v>
      </c>
      <c r="F241" s="3">
        <v>3.5600000000000001E-7</v>
      </c>
      <c r="G241">
        <f t="shared" si="11"/>
        <v>-14.84833510609438</v>
      </c>
      <c r="I241">
        <v>4</v>
      </c>
    </row>
    <row r="242" spans="1:10" x14ac:dyDescent="0.25">
      <c r="A242" s="6">
        <v>44802</v>
      </c>
      <c r="B242">
        <v>893</v>
      </c>
      <c r="C242">
        <v>1043</v>
      </c>
      <c r="D242">
        <f t="shared" si="12"/>
        <v>1166</v>
      </c>
      <c r="E242">
        <f t="shared" si="13"/>
        <v>8.5763293310463116</v>
      </c>
      <c r="F242" s="3">
        <v>5.2E-7</v>
      </c>
      <c r="G242">
        <f t="shared" si="11"/>
        <v>-14.469437025370938</v>
      </c>
      <c r="H242">
        <v>0.81</v>
      </c>
      <c r="I242">
        <v>4</v>
      </c>
    </row>
    <row r="243" spans="1:10" x14ac:dyDescent="0.25">
      <c r="B243">
        <v>870</v>
      </c>
      <c r="C243">
        <v>1020</v>
      </c>
      <c r="D243">
        <f t="shared" si="12"/>
        <v>1143</v>
      </c>
      <c r="E243">
        <f t="shared" si="13"/>
        <v>8.7489063867016625</v>
      </c>
      <c r="F243" s="3">
        <v>3.2000000000000001E-7</v>
      </c>
      <c r="G243">
        <f t="shared" si="11"/>
        <v>-14.954944841152638</v>
      </c>
      <c r="H243">
        <v>0.495</v>
      </c>
      <c r="I243">
        <v>4</v>
      </c>
    </row>
    <row r="244" spans="1:10" x14ac:dyDescent="0.25">
      <c r="A244" s="6">
        <v>44813</v>
      </c>
      <c r="B244">
        <v>870</v>
      </c>
      <c r="C244">
        <v>1020</v>
      </c>
      <c r="D244">
        <f t="shared" si="12"/>
        <v>1143</v>
      </c>
      <c r="E244">
        <f t="shared" si="13"/>
        <v>8.7489063867016625</v>
      </c>
      <c r="F244" s="3">
        <v>3.1199999999999999E-7</v>
      </c>
      <c r="G244">
        <f t="shared" si="11"/>
        <v>-14.980262649136929</v>
      </c>
      <c r="I244">
        <v>4</v>
      </c>
      <c r="J244" t="s">
        <v>194</v>
      </c>
    </row>
    <row r="245" spans="1:10" x14ac:dyDescent="0.25">
      <c r="A245" s="6">
        <v>44873</v>
      </c>
      <c r="B245">
        <v>870</v>
      </c>
      <c r="C245">
        <v>1020</v>
      </c>
      <c r="D245">
        <f t="shared" si="12"/>
        <v>1143</v>
      </c>
      <c r="E245">
        <f t="shared" si="13"/>
        <v>8.7489063867016625</v>
      </c>
      <c r="G245" t="e">
        <f t="shared" si="11"/>
        <v>#NUM!</v>
      </c>
      <c r="H245">
        <v>0.46600000000000003</v>
      </c>
      <c r="I245">
        <v>4</v>
      </c>
      <c r="J245" t="s">
        <v>195</v>
      </c>
    </row>
    <row r="246" spans="1:10" x14ac:dyDescent="0.25">
      <c r="A246" s="6">
        <v>44966</v>
      </c>
      <c r="B246">
        <v>870</v>
      </c>
      <c r="C246">
        <v>1020</v>
      </c>
      <c r="D246">
        <f t="shared" si="12"/>
        <v>1143</v>
      </c>
      <c r="E246">
        <f t="shared" si="13"/>
        <v>8.7489063867016625</v>
      </c>
      <c r="F246" s="3">
        <v>3.4299999999999999E-7</v>
      </c>
      <c r="G246">
        <f t="shared" ref="G246:G253" si="14">LN(F246)</f>
        <v>-14.885535389780472</v>
      </c>
    </row>
    <row r="247" spans="1:10" x14ac:dyDescent="0.25">
      <c r="A247" s="49" t="s">
        <v>245</v>
      </c>
      <c r="B247" s="49"/>
      <c r="C247" s="49"/>
      <c r="D247" s="49"/>
      <c r="E247" s="49"/>
      <c r="F247" s="49"/>
      <c r="G247" s="49"/>
      <c r="H247" s="49"/>
      <c r="I247" s="49"/>
      <c r="J247" s="49" t="s">
        <v>245</v>
      </c>
    </row>
    <row r="248" spans="1:10" x14ac:dyDescent="0.25">
      <c r="A248" s="6">
        <v>45047</v>
      </c>
      <c r="B248">
        <v>890</v>
      </c>
      <c r="C248">
        <v>1040</v>
      </c>
      <c r="D248">
        <f t="shared" ref="D248:D254" si="15">B248+273</f>
        <v>1163</v>
      </c>
      <c r="E248">
        <f t="shared" ref="E248:E254" si="16">10000/D248</f>
        <v>8.5984522785898534</v>
      </c>
      <c r="F248" s="3">
        <v>5.2900000000000004E-7</v>
      </c>
      <c r="G248">
        <f t="shared" si="14"/>
        <v>-14.452277405088111</v>
      </c>
    </row>
    <row r="249" spans="1:10" x14ac:dyDescent="0.25">
      <c r="B249">
        <v>850</v>
      </c>
      <c r="C249">
        <v>1000</v>
      </c>
      <c r="D249">
        <f t="shared" si="15"/>
        <v>1123</v>
      </c>
      <c r="E249">
        <f t="shared" si="16"/>
        <v>8.9047195013357072</v>
      </c>
      <c r="F249" s="3">
        <v>2.23E-7</v>
      </c>
      <c r="G249">
        <f t="shared" si="14"/>
        <v>-15.316094065486292</v>
      </c>
    </row>
    <row r="250" spans="1:10" x14ac:dyDescent="0.25">
      <c r="B250">
        <v>825</v>
      </c>
      <c r="C250">
        <v>975</v>
      </c>
      <c r="D250">
        <f t="shared" si="15"/>
        <v>1098</v>
      </c>
      <c r="E250">
        <f t="shared" si="16"/>
        <v>9.1074681238615671</v>
      </c>
      <c r="F250" s="3">
        <v>1.2499999999999999E-7</v>
      </c>
      <c r="G250">
        <f t="shared" si="14"/>
        <v>-15.89495209964411</v>
      </c>
    </row>
    <row r="251" spans="1:10" x14ac:dyDescent="0.25">
      <c r="A251" s="6">
        <v>45049</v>
      </c>
      <c r="B251">
        <v>890</v>
      </c>
      <c r="C251">
        <v>1040</v>
      </c>
      <c r="D251">
        <f t="shared" si="15"/>
        <v>1163</v>
      </c>
      <c r="E251">
        <f t="shared" si="16"/>
        <v>8.5984522785898534</v>
      </c>
      <c r="F251" s="3">
        <v>5.6100000000000001E-7</v>
      </c>
      <c r="G251">
        <f t="shared" si="14"/>
        <v>-14.393544931423715</v>
      </c>
      <c r="H251">
        <v>0.88</v>
      </c>
      <c r="I251">
        <v>4</v>
      </c>
      <c r="J251" t="s">
        <v>247</v>
      </c>
    </row>
    <row r="252" spans="1:10" x14ac:dyDescent="0.25">
      <c r="B252">
        <v>850</v>
      </c>
      <c r="C252">
        <v>1000</v>
      </c>
      <c r="D252">
        <f t="shared" si="15"/>
        <v>1123</v>
      </c>
      <c r="E252">
        <f t="shared" si="16"/>
        <v>8.9047195013357072</v>
      </c>
      <c r="F252" s="3">
        <v>2.36E-7</v>
      </c>
      <c r="G252">
        <f t="shared" si="14"/>
        <v>-15.259434031920801</v>
      </c>
      <c r="H252">
        <v>0.33</v>
      </c>
      <c r="I252">
        <v>4</v>
      </c>
    </row>
    <row r="253" spans="1:10" x14ac:dyDescent="0.25">
      <c r="A253" s="6">
        <v>45089</v>
      </c>
      <c r="B253">
        <v>890</v>
      </c>
      <c r="C253">
        <v>1040</v>
      </c>
      <c r="D253">
        <f t="shared" si="15"/>
        <v>1163</v>
      </c>
      <c r="E253">
        <f t="shared" si="16"/>
        <v>8.5984522785898534</v>
      </c>
      <c r="F253" s="3">
        <v>5.3200000000000005E-7</v>
      </c>
      <c r="G253">
        <f t="shared" si="14"/>
        <v>-14.446622347604766</v>
      </c>
    </row>
    <row r="254" spans="1:10" x14ac:dyDescent="0.25">
      <c r="B254">
        <v>850</v>
      </c>
      <c r="C254">
        <v>1000</v>
      </c>
      <c r="D254">
        <f t="shared" si="15"/>
        <v>1123</v>
      </c>
      <c r="E254">
        <f t="shared" si="16"/>
        <v>8.9047195013357072</v>
      </c>
      <c r="F254" s="3">
        <v>2.28E-7</v>
      </c>
      <c r="H254">
        <v>0.34</v>
      </c>
    </row>
    <row r="256" spans="1:10" x14ac:dyDescent="0.25">
      <c r="A256" s="6">
        <v>45153</v>
      </c>
      <c r="B256">
        <v>870</v>
      </c>
      <c r="C256">
        <v>1020</v>
      </c>
      <c r="F256" s="3">
        <v>3.4499999999999998E-7</v>
      </c>
      <c r="H256">
        <v>0.57199999999999995</v>
      </c>
    </row>
    <row r="257" spans="1:23" x14ac:dyDescent="0.25">
      <c r="A257" s="6">
        <v>45223</v>
      </c>
      <c r="B257">
        <v>890</v>
      </c>
      <c r="C257">
        <v>1040</v>
      </c>
      <c r="F257" s="3">
        <v>5.3099999999999998E-7</v>
      </c>
    </row>
    <row r="258" spans="1:23" x14ac:dyDescent="0.25">
      <c r="A258" s="6">
        <v>45226</v>
      </c>
      <c r="B258">
        <v>868</v>
      </c>
      <c r="C258">
        <v>1018</v>
      </c>
      <c r="F258" s="3">
        <v>3.4499999999999998E-7</v>
      </c>
      <c r="H258">
        <v>0.52</v>
      </c>
    </row>
    <row r="259" spans="1:23" x14ac:dyDescent="0.25">
      <c r="A259" s="6">
        <v>45233</v>
      </c>
      <c r="B259">
        <v>895</v>
      </c>
      <c r="C259">
        <v>1045</v>
      </c>
      <c r="F259" s="3">
        <v>5.7999999999999995E-7</v>
      </c>
    </row>
    <row r="260" spans="1:23" x14ac:dyDescent="0.25">
      <c r="B260">
        <v>893</v>
      </c>
      <c r="C260">
        <v>1043</v>
      </c>
      <c r="F260" s="3">
        <v>5.6000000000000004E-7</v>
      </c>
    </row>
    <row r="261" spans="1:23" x14ac:dyDescent="0.25">
      <c r="A261" s="6">
        <v>45250</v>
      </c>
      <c r="B261">
        <v>893</v>
      </c>
      <c r="C261">
        <v>1043</v>
      </c>
      <c r="F261" s="3">
        <v>5.4499999999999997E-7</v>
      </c>
    </row>
    <row r="262" spans="1:23" x14ac:dyDescent="0.25">
      <c r="A262" s="6">
        <v>45251</v>
      </c>
      <c r="B262">
        <v>893</v>
      </c>
      <c r="C262">
        <v>1043</v>
      </c>
      <c r="F262" s="3">
        <v>5.4799999999999998E-7</v>
      </c>
    </row>
    <row r="266" spans="1:23" x14ac:dyDescent="0.25">
      <c r="V266" t="s">
        <v>12</v>
      </c>
      <c r="W266" s="3">
        <v>5.4499999999999997E-7</v>
      </c>
    </row>
    <row r="267" spans="1:23" x14ac:dyDescent="0.25">
      <c r="V267" t="s">
        <v>11</v>
      </c>
      <c r="W267" s="3">
        <f>0.1801*EXP(3000000*W266)</f>
        <v>0.92381538526459173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zoomScale="70" zoomScaleNormal="70" workbookViewId="0">
      <pane ySplit="1" topLeftCell="A165" activePane="bottomLeft" state="frozen"/>
      <selection pane="bottomLeft" activeCell="B208" sqref="B208"/>
    </sheetView>
  </sheetViews>
  <sheetFormatPr defaultRowHeight="15.75" x14ac:dyDescent="0.25"/>
  <cols>
    <col min="1" max="1" width="11.75" customWidth="1"/>
    <col min="6" max="6" width="10" customWidth="1"/>
    <col min="9" max="9" width="22.5" customWidth="1"/>
    <col min="10" max="10" width="13.875" customWidth="1"/>
    <col min="12" max="12" width="15.875" customWidth="1"/>
    <col min="13" max="13" width="19.375" customWidth="1"/>
    <col min="14" max="14" width="15.625" customWidth="1"/>
    <col min="16" max="16" width="18" customWidth="1"/>
    <col min="17" max="17" width="14.5" customWidth="1"/>
  </cols>
  <sheetData>
    <row r="1" spans="1:15" s="27" customFormat="1" ht="15" x14ac:dyDescent="0.25">
      <c r="A1" s="27" t="s">
        <v>14</v>
      </c>
      <c r="B1" s="27" t="s">
        <v>22</v>
      </c>
      <c r="C1" s="27" t="s">
        <v>23</v>
      </c>
      <c r="D1" s="27" t="s">
        <v>3</v>
      </c>
      <c r="E1" s="27" t="s">
        <v>4</v>
      </c>
      <c r="F1" s="27" t="s">
        <v>6</v>
      </c>
      <c r="G1" s="27" t="s">
        <v>7</v>
      </c>
      <c r="H1" s="27" t="s">
        <v>5</v>
      </c>
      <c r="I1" s="27" t="s">
        <v>98</v>
      </c>
      <c r="J1" s="27" t="s">
        <v>20</v>
      </c>
    </row>
    <row r="2" spans="1:15" x14ac:dyDescent="0.25">
      <c r="A2" s="7">
        <v>42969</v>
      </c>
      <c r="B2">
        <v>890</v>
      </c>
      <c r="C2">
        <v>990</v>
      </c>
      <c r="D2">
        <f>B2+273</f>
        <v>1163</v>
      </c>
      <c r="E2">
        <f>10000/D2</f>
        <v>8.5984522785898534</v>
      </c>
      <c r="F2" s="3">
        <v>3.3799999999999998E-7</v>
      </c>
      <c r="G2">
        <f>LN(F2)</f>
        <v>-14.900219941463392</v>
      </c>
      <c r="H2">
        <v>1.05</v>
      </c>
      <c r="I2" t="s">
        <v>68</v>
      </c>
    </row>
    <row r="3" spans="1:15" x14ac:dyDescent="0.25">
      <c r="A3" s="7">
        <v>43238</v>
      </c>
      <c r="B3">
        <v>890</v>
      </c>
      <c r="C3">
        <v>990</v>
      </c>
      <c r="D3">
        <f t="shared" ref="D3:D46" si="0">B3+273</f>
        <v>1163</v>
      </c>
      <c r="E3">
        <f t="shared" ref="E3:E46" si="1">10000/D3</f>
        <v>8.5984522785898534</v>
      </c>
      <c r="F3" s="3">
        <v>3.2099999999999998E-7</v>
      </c>
      <c r="G3">
        <f t="shared" ref="G3:G10" si="2">LN(F3)</f>
        <v>-14.951824713816395</v>
      </c>
      <c r="H3">
        <v>0.9</v>
      </c>
      <c r="I3" t="s">
        <v>68</v>
      </c>
    </row>
    <row r="4" spans="1:15" x14ac:dyDescent="0.25">
      <c r="B4">
        <v>880</v>
      </c>
      <c r="C4">
        <v>980</v>
      </c>
      <c r="D4">
        <f t="shared" si="0"/>
        <v>1153</v>
      </c>
      <c r="E4">
        <f t="shared" si="1"/>
        <v>8.6730268863833473</v>
      </c>
      <c r="F4" s="3">
        <v>2.53E-7</v>
      </c>
      <c r="G4">
        <f t="shared" si="2"/>
        <v>-15.18987634821889</v>
      </c>
      <c r="I4" t="s">
        <v>68</v>
      </c>
    </row>
    <row r="5" spans="1:15" x14ac:dyDescent="0.25">
      <c r="B5">
        <v>870</v>
      </c>
      <c r="C5">
        <v>970</v>
      </c>
      <c r="D5">
        <f t="shared" si="0"/>
        <v>1143</v>
      </c>
      <c r="E5">
        <f t="shared" si="1"/>
        <v>8.7489063867016625</v>
      </c>
      <c r="F5" s="3">
        <v>2.05E-7</v>
      </c>
      <c r="G5">
        <f t="shared" si="2"/>
        <v>-15.400255857808004</v>
      </c>
      <c r="I5" t="s">
        <v>68</v>
      </c>
    </row>
    <row r="6" spans="1:15" x14ac:dyDescent="0.25">
      <c r="B6">
        <v>860</v>
      </c>
      <c r="C6">
        <v>960</v>
      </c>
      <c r="D6">
        <f t="shared" si="0"/>
        <v>1133</v>
      </c>
      <c r="E6">
        <f t="shared" si="1"/>
        <v>8.8261253309796999</v>
      </c>
      <c r="F6" s="3">
        <v>1.6899999999999999E-7</v>
      </c>
      <c r="G6">
        <f t="shared" si="2"/>
        <v>-15.593367122023338</v>
      </c>
      <c r="I6" t="s">
        <v>68</v>
      </c>
    </row>
    <row r="7" spans="1:15" x14ac:dyDescent="0.25">
      <c r="B7">
        <v>850</v>
      </c>
      <c r="C7">
        <v>950</v>
      </c>
      <c r="D7">
        <f t="shared" si="0"/>
        <v>1123</v>
      </c>
      <c r="E7">
        <f t="shared" si="1"/>
        <v>8.9047195013357072</v>
      </c>
      <c r="F7" s="3">
        <v>1.3799999999999999E-7</v>
      </c>
      <c r="G7">
        <f t="shared" si="2"/>
        <v>-15.796012151789206</v>
      </c>
      <c r="I7" t="s">
        <v>68</v>
      </c>
    </row>
    <row r="8" spans="1:15" x14ac:dyDescent="0.25">
      <c r="A8" s="7">
        <v>43243</v>
      </c>
      <c r="B8">
        <v>890</v>
      </c>
      <c r="C8">
        <v>990</v>
      </c>
      <c r="D8">
        <f t="shared" si="0"/>
        <v>1163</v>
      </c>
      <c r="E8">
        <f t="shared" si="1"/>
        <v>8.5984522785898534</v>
      </c>
      <c r="F8" s="3">
        <v>3.1E-7</v>
      </c>
      <c r="G8">
        <f t="shared" si="2"/>
        <v>-14.98669353946722</v>
      </c>
      <c r="I8" t="s">
        <v>68</v>
      </c>
    </row>
    <row r="9" spans="1:15" x14ac:dyDescent="0.25">
      <c r="A9" s="6">
        <v>43423</v>
      </c>
      <c r="B9">
        <v>868</v>
      </c>
      <c r="C9">
        <v>968</v>
      </c>
      <c r="D9">
        <f t="shared" si="0"/>
        <v>1141</v>
      </c>
      <c r="E9">
        <f t="shared" si="1"/>
        <v>8.7642418930762496</v>
      </c>
      <c r="F9" s="3">
        <v>3.2800000000000003E-7</v>
      </c>
      <c r="G9">
        <f t="shared" si="2"/>
        <v>-14.930252228562267</v>
      </c>
      <c r="H9">
        <v>0.628</v>
      </c>
      <c r="I9">
        <v>900</v>
      </c>
    </row>
    <row r="10" spans="1:15" x14ac:dyDescent="0.25">
      <c r="B10">
        <v>890</v>
      </c>
      <c r="C10">
        <v>990</v>
      </c>
      <c r="D10">
        <f t="shared" si="0"/>
        <v>1163</v>
      </c>
      <c r="E10">
        <f t="shared" si="1"/>
        <v>8.5984522785898534</v>
      </c>
      <c r="F10" s="3">
        <v>5.2799999999999996E-7</v>
      </c>
      <c r="G10">
        <f t="shared" si="2"/>
        <v>-14.454169553240149</v>
      </c>
      <c r="H10">
        <v>1.03</v>
      </c>
      <c r="I10">
        <v>900</v>
      </c>
    </row>
    <row r="11" spans="1:15" x14ac:dyDescent="0.25">
      <c r="B11">
        <v>880</v>
      </c>
      <c r="C11">
        <v>980</v>
      </c>
      <c r="D11">
        <f t="shared" si="0"/>
        <v>1153</v>
      </c>
      <c r="E11">
        <f t="shared" si="1"/>
        <v>8.6730268863833473</v>
      </c>
      <c r="H11">
        <v>0.80400000000000005</v>
      </c>
      <c r="I11">
        <v>900</v>
      </c>
    </row>
    <row r="12" spans="1:15" x14ac:dyDescent="0.25">
      <c r="B12">
        <v>860</v>
      </c>
      <c r="C12">
        <v>960</v>
      </c>
      <c r="D12">
        <f t="shared" si="0"/>
        <v>1133</v>
      </c>
      <c r="E12">
        <f t="shared" si="1"/>
        <v>8.8261253309796999</v>
      </c>
      <c r="H12">
        <v>0.46700000000000003</v>
      </c>
      <c r="I12">
        <v>900</v>
      </c>
    </row>
    <row r="13" spans="1:15" x14ac:dyDescent="0.25">
      <c r="B13">
        <v>850</v>
      </c>
      <c r="C13">
        <v>950</v>
      </c>
      <c r="D13">
        <f t="shared" si="0"/>
        <v>1123</v>
      </c>
      <c r="E13">
        <f t="shared" si="1"/>
        <v>8.9047195013357072</v>
      </c>
      <c r="H13">
        <v>0.37</v>
      </c>
      <c r="I13">
        <v>900</v>
      </c>
    </row>
    <row r="14" spans="1:15" x14ac:dyDescent="0.25">
      <c r="A14" s="6">
        <v>43521</v>
      </c>
      <c r="B14">
        <v>850</v>
      </c>
      <c r="C14">
        <v>950</v>
      </c>
      <c r="D14">
        <f t="shared" si="0"/>
        <v>1123</v>
      </c>
      <c r="E14">
        <f t="shared" si="1"/>
        <v>8.9047195013357072</v>
      </c>
      <c r="F14" s="3">
        <v>2.11E-7</v>
      </c>
      <c r="I14">
        <v>900</v>
      </c>
    </row>
    <row r="15" spans="1:15" x14ac:dyDescent="0.25">
      <c r="B15">
        <v>860</v>
      </c>
      <c r="C15">
        <v>960</v>
      </c>
      <c r="D15">
        <f t="shared" si="0"/>
        <v>1133</v>
      </c>
      <c r="E15">
        <f t="shared" si="1"/>
        <v>8.8261253309796999</v>
      </c>
      <c r="F15" s="3">
        <v>2.4999999999999999E-7</v>
      </c>
      <c r="I15">
        <v>900</v>
      </c>
      <c r="L15" s="27" t="s">
        <v>10</v>
      </c>
      <c r="M15" s="27"/>
      <c r="N15" s="27" t="s">
        <v>7</v>
      </c>
      <c r="O15" s="27" t="s">
        <v>12</v>
      </c>
    </row>
    <row r="16" spans="1:15" x14ac:dyDescent="0.25">
      <c r="B16">
        <v>880</v>
      </c>
      <c r="C16">
        <v>980</v>
      </c>
      <c r="D16">
        <f t="shared" si="0"/>
        <v>1153</v>
      </c>
      <c r="E16">
        <f t="shared" si="1"/>
        <v>8.6730268863833473</v>
      </c>
      <c r="F16" s="3">
        <v>3.7399999999999999E-7</v>
      </c>
      <c r="H16">
        <v>0.64600000000000002</v>
      </c>
      <c r="I16">
        <v>900</v>
      </c>
      <c r="J16" t="s">
        <v>99</v>
      </c>
      <c r="L16">
        <v>870</v>
      </c>
      <c r="M16">
        <f>10000/(L16+273)</f>
        <v>8.7489063867016625</v>
      </c>
      <c r="N16" s="3">
        <f>SLOPE(G2:G8,E2:E8)*M16+INTERCEPT(G2:G8,E2:E8)</f>
        <v>-15.377345156618375</v>
      </c>
      <c r="O16" s="17">
        <f>EXP(N16)</f>
        <v>2.0975090926417692E-7</v>
      </c>
    </row>
    <row r="17" spans="1:18" x14ac:dyDescent="0.25">
      <c r="A17" s="6">
        <v>43549</v>
      </c>
      <c r="B17">
        <v>860</v>
      </c>
      <c r="C17">
        <v>960</v>
      </c>
      <c r="D17">
        <f t="shared" si="0"/>
        <v>1133</v>
      </c>
      <c r="E17">
        <f t="shared" si="1"/>
        <v>8.8261253309796999</v>
      </c>
      <c r="F17" s="3">
        <v>2.8999999999999998E-7</v>
      </c>
      <c r="H17">
        <v>0.51200000000000001</v>
      </c>
      <c r="I17">
        <v>900</v>
      </c>
      <c r="N17" s="3"/>
      <c r="O17" s="17"/>
    </row>
    <row r="18" spans="1:18" x14ac:dyDescent="0.25">
      <c r="B18">
        <v>870</v>
      </c>
      <c r="C18">
        <v>970</v>
      </c>
      <c r="D18">
        <f t="shared" si="0"/>
        <v>1143</v>
      </c>
      <c r="E18">
        <f t="shared" si="1"/>
        <v>8.7489063867016625</v>
      </c>
      <c r="F18" s="3">
        <v>3.6199999999999999E-7</v>
      </c>
      <c r="H18">
        <v>0.65</v>
      </c>
      <c r="I18">
        <v>900</v>
      </c>
    </row>
    <row r="19" spans="1:18" x14ac:dyDescent="0.25">
      <c r="A19" s="6">
        <v>43558</v>
      </c>
      <c r="B19">
        <v>860</v>
      </c>
      <c r="C19">
        <v>960</v>
      </c>
      <c r="D19">
        <f t="shared" si="0"/>
        <v>1133</v>
      </c>
      <c r="E19">
        <f t="shared" si="1"/>
        <v>8.8261253309796999</v>
      </c>
      <c r="F19" s="3">
        <v>2.7799999999999997E-7</v>
      </c>
      <c r="H19">
        <v>0.52</v>
      </c>
      <c r="I19">
        <v>900</v>
      </c>
    </row>
    <row r="20" spans="1:18" x14ac:dyDescent="0.25">
      <c r="B20">
        <v>870</v>
      </c>
      <c r="C20">
        <v>970</v>
      </c>
      <c r="D20">
        <f t="shared" si="0"/>
        <v>1143</v>
      </c>
      <c r="E20">
        <f t="shared" si="1"/>
        <v>8.7489063867016625</v>
      </c>
      <c r="F20" s="3">
        <v>3.46E-7</v>
      </c>
      <c r="H20">
        <v>0.65</v>
      </c>
      <c r="I20">
        <v>900</v>
      </c>
    </row>
    <row r="21" spans="1:18" x14ac:dyDescent="0.25">
      <c r="A21" s="6">
        <v>43570</v>
      </c>
      <c r="B21">
        <v>890</v>
      </c>
      <c r="C21">
        <v>990</v>
      </c>
      <c r="D21">
        <f t="shared" si="0"/>
        <v>1163</v>
      </c>
      <c r="E21">
        <f t="shared" si="1"/>
        <v>8.5984522785898534</v>
      </c>
      <c r="F21" s="3">
        <v>5.2799999999999996E-7</v>
      </c>
      <c r="I21">
        <v>900</v>
      </c>
      <c r="L21" t="s">
        <v>177</v>
      </c>
      <c r="M21" t="s">
        <v>178</v>
      </c>
      <c r="N21" t="s">
        <v>93</v>
      </c>
      <c r="O21" t="s">
        <v>94</v>
      </c>
      <c r="P21" t="s">
        <v>179</v>
      </c>
      <c r="Q21" t="s">
        <v>95</v>
      </c>
      <c r="R21" t="s">
        <v>96</v>
      </c>
    </row>
    <row r="22" spans="1:18" ht="16.5" thickBot="1" x14ac:dyDescent="0.3">
      <c r="B22">
        <v>840</v>
      </c>
      <c r="C22">
        <v>940</v>
      </c>
      <c r="D22">
        <f t="shared" si="0"/>
        <v>1113</v>
      </c>
      <c r="E22">
        <f t="shared" si="1"/>
        <v>8.9847259658580416</v>
      </c>
      <c r="F22" s="3">
        <v>1.8799999999999999E-7</v>
      </c>
      <c r="I22">
        <v>900</v>
      </c>
      <c r="J22" s="35"/>
      <c r="L22" s="35">
        <v>6.0959300000000001</v>
      </c>
      <c r="M22" s="31">
        <f>$L$22/2/10</f>
        <v>0.30479650000000003</v>
      </c>
      <c r="N22" s="32">
        <v>0.6</v>
      </c>
      <c r="O22" s="31">
        <f>M22*N22</f>
        <v>0.18287790000000001</v>
      </c>
      <c r="P22" s="32">
        <v>300</v>
      </c>
      <c r="Q22" s="33">
        <f>P22/O22</f>
        <v>1640.4387845660956</v>
      </c>
      <c r="R22" s="34">
        <f>Q22/60</f>
        <v>27.340646409434928</v>
      </c>
    </row>
    <row r="23" spans="1:18" ht="16.5" thickTop="1" x14ac:dyDescent="0.25">
      <c r="A23" s="6">
        <v>43572</v>
      </c>
      <c r="B23">
        <v>890</v>
      </c>
      <c r="C23">
        <v>990</v>
      </c>
      <c r="D23">
        <f t="shared" si="0"/>
        <v>1163</v>
      </c>
      <c r="E23">
        <f t="shared" si="1"/>
        <v>8.5984522785898534</v>
      </c>
      <c r="F23" s="3">
        <v>5.3099999999999998E-7</v>
      </c>
    </row>
    <row r="24" spans="1:18" x14ac:dyDescent="0.25">
      <c r="B24">
        <v>840</v>
      </c>
      <c r="C24">
        <v>940</v>
      </c>
      <c r="D24">
        <f t="shared" si="0"/>
        <v>1113</v>
      </c>
      <c r="E24">
        <f t="shared" si="1"/>
        <v>8.9847259658580416</v>
      </c>
      <c r="F24" s="3">
        <v>1.85E-7</v>
      </c>
    </row>
    <row r="25" spans="1:18" x14ac:dyDescent="0.25">
      <c r="A25" s="6">
        <v>43575</v>
      </c>
      <c r="B25">
        <v>890</v>
      </c>
      <c r="C25">
        <v>990</v>
      </c>
      <c r="D25">
        <f t="shared" si="0"/>
        <v>1163</v>
      </c>
      <c r="E25">
        <f t="shared" si="1"/>
        <v>8.5984522785898534</v>
      </c>
      <c r="F25" s="3">
        <v>5.2799999999999996E-7</v>
      </c>
      <c r="H25">
        <v>0.95</v>
      </c>
    </row>
    <row r="26" spans="1:18" x14ac:dyDescent="0.25">
      <c r="B26">
        <v>840</v>
      </c>
      <c r="C26">
        <v>940</v>
      </c>
      <c r="D26">
        <f t="shared" si="0"/>
        <v>1113</v>
      </c>
      <c r="E26">
        <f t="shared" si="1"/>
        <v>8.9847259658580416</v>
      </c>
      <c r="F26" s="3">
        <v>1.8799999999999999E-7</v>
      </c>
    </row>
    <row r="27" spans="1:18" x14ac:dyDescent="0.25">
      <c r="A27" s="6">
        <v>43608</v>
      </c>
      <c r="B27">
        <v>890</v>
      </c>
      <c r="C27">
        <v>990</v>
      </c>
      <c r="D27">
        <f t="shared" si="0"/>
        <v>1163</v>
      </c>
      <c r="E27">
        <f t="shared" si="1"/>
        <v>8.5984522785898534</v>
      </c>
      <c r="F27" s="3">
        <v>5.0500000000000004E-7</v>
      </c>
    </row>
    <row r="28" spans="1:18" x14ac:dyDescent="0.25">
      <c r="B28">
        <v>895</v>
      </c>
      <c r="C28">
        <v>995</v>
      </c>
      <c r="D28">
        <f t="shared" si="0"/>
        <v>1168</v>
      </c>
      <c r="E28">
        <f t="shared" si="1"/>
        <v>8.5616438356164384</v>
      </c>
      <c r="F28" s="3">
        <v>5.5700000000000002E-7</v>
      </c>
    </row>
    <row r="29" spans="1:18" x14ac:dyDescent="0.25">
      <c r="B29">
        <v>893</v>
      </c>
      <c r="C29">
        <v>993</v>
      </c>
      <c r="D29">
        <f t="shared" si="0"/>
        <v>1166</v>
      </c>
      <c r="E29">
        <f t="shared" si="1"/>
        <v>8.5763293310463116</v>
      </c>
      <c r="F29" s="3">
        <v>5.3200000000000005E-7</v>
      </c>
      <c r="H29">
        <v>0.996</v>
      </c>
    </row>
    <row r="30" spans="1:18" x14ac:dyDescent="0.25">
      <c r="B30">
        <v>840</v>
      </c>
      <c r="C30">
        <v>940</v>
      </c>
      <c r="D30">
        <f t="shared" si="0"/>
        <v>1113</v>
      </c>
      <c r="E30">
        <f t="shared" si="1"/>
        <v>8.9847259658580416</v>
      </c>
      <c r="F30" s="3">
        <v>1.8400000000000001E-7</v>
      </c>
    </row>
    <row r="31" spans="1:18" x14ac:dyDescent="0.25">
      <c r="A31" s="6">
        <v>43615</v>
      </c>
      <c r="B31">
        <v>893</v>
      </c>
      <c r="C31">
        <v>993</v>
      </c>
      <c r="D31">
        <f t="shared" si="0"/>
        <v>1166</v>
      </c>
      <c r="E31">
        <f t="shared" si="1"/>
        <v>8.5763293310463116</v>
      </c>
      <c r="F31" s="3">
        <v>5.2E-7</v>
      </c>
    </row>
    <row r="32" spans="1:18" x14ac:dyDescent="0.25">
      <c r="B32">
        <v>843</v>
      </c>
      <c r="C32">
        <v>943</v>
      </c>
      <c r="D32">
        <f t="shared" si="0"/>
        <v>1116</v>
      </c>
      <c r="E32">
        <f t="shared" si="1"/>
        <v>8.9605734767025087</v>
      </c>
      <c r="F32" s="3">
        <v>1.97E-7</v>
      </c>
      <c r="H32">
        <v>0.35</v>
      </c>
    </row>
    <row r="33" spans="1:13" x14ac:dyDescent="0.25">
      <c r="B33">
        <v>838</v>
      </c>
      <c r="C33">
        <v>938</v>
      </c>
      <c r="D33">
        <f t="shared" si="0"/>
        <v>1111</v>
      </c>
      <c r="E33">
        <f t="shared" si="1"/>
        <v>9.0009000900090008</v>
      </c>
      <c r="H33">
        <v>0.31</v>
      </c>
    </row>
    <row r="34" spans="1:13" x14ac:dyDescent="0.25">
      <c r="A34" s="6">
        <v>43622</v>
      </c>
      <c r="B34">
        <v>893</v>
      </c>
      <c r="C34">
        <v>993</v>
      </c>
      <c r="D34">
        <f t="shared" si="0"/>
        <v>1166</v>
      </c>
      <c r="E34">
        <f t="shared" si="1"/>
        <v>8.5763293310463116</v>
      </c>
      <c r="F34" s="3">
        <v>5.4000000000000002E-7</v>
      </c>
    </row>
    <row r="35" spans="1:13" x14ac:dyDescent="0.25">
      <c r="B35">
        <v>890</v>
      </c>
      <c r="C35">
        <v>990</v>
      </c>
      <c r="D35">
        <f t="shared" si="0"/>
        <v>1163</v>
      </c>
      <c r="E35">
        <f t="shared" si="1"/>
        <v>8.5984522785898534</v>
      </c>
      <c r="F35" s="3">
        <v>5.0800000000000005E-7</v>
      </c>
    </row>
    <row r="36" spans="1:13" x14ac:dyDescent="0.25">
      <c r="A36" s="6">
        <v>43623</v>
      </c>
      <c r="B36">
        <v>893</v>
      </c>
      <c r="C36">
        <v>993</v>
      </c>
      <c r="D36">
        <f t="shared" si="0"/>
        <v>1166</v>
      </c>
      <c r="E36">
        <f t="shared" si="1"/>
        <v>8.5763293310463116</v>
      </c>
      <c r="F36" s="3">
        <v>5.3300000000000002E-7</v>
      </c>
    </row>
    <row r="37" spans="1:13" x14ac:dyDescent="0.25">
      <c r="A37" s="6">
        <v>43627</v>
      </c>
      <c r="B37">
        <v>893</v>
      </c>
      <c r="C37">
        <v>993</v>
      </c>
      <c r="D37">
        <f t="shared" si="0"/>
        <v>1166</v>
      </c>
      <c r="E37">
        <f t="shared" si="1"/>
        <v>8.5763293310463116</v>
      </c>
      <c r="F37" s="3">
        <v>5.3600000000000004E-7</v>
      </c>
    </row>
    <row r="38" spans="1:13" x14ac:dyDescent="0.25">
      <c r="A38" s="6">
        <v>43634</v>
      </c>
      <c r="B38">
        <v>893</v>
      </c>
      <c r="C38">
        <v>993</v>
      </c>
      <c r="D38">
        <f t="shared" si="0"/>
        <v>1166</v>
      </c>
      <c r="E38">
        <f t="shared" si="1"/>
        <v>8.5763293310463116</v>
      </c>
      <c r="F38" s="3">
        <v>5.3000000000000001E-7</v>
      </c>
      <c r="M38">
        <v>838</v>
      </c>
    </row>
    <row r="39" spans="1:13" x14ac:dyDescent="0.25">
      <c r="B39">
        <v>843</v>
      </c>
      <c r="C39">
        <v>943</v>
      </c>
      <c r="D39">
        <f t="shared" si="0"/>
        <v>1116</v>
      </c>
      <c r="E39">
        <f t="shared" si="1"/>
        <v>8.9605734767025087</v>
      </c>
      <c r="M39">
        <f>0.0000000000000154*EXP(0.0194*M38)</f>
        <v>1.7698357850383634E-7</v>
      </c>
    </row>
    <row r="40" spans="1:13" x14ac:dyDescent="0.25">
      <c r="A40" s="6">
        <v>43636</v>
      </c>
      <c r="B40">
        <v>863</v>
      </c>
      <c r="C40">
        <v>963</v>
      </c>
      <c r="D40">
        <f t="shared" si="0"/>
        <v>1136</v>
      </c>
      <c r="E40">
        <f t="shared" si="1"/>
        <v>8.8028169014084501</v>
      </c>
      <c r="F40" s="3">
        <v>2.8999999999999998E-7</v>
      </c>
    </row>
    <row r="41" spans="1:13" x14ac:dyDescent="0.25">
      <c r="B41">
        <v>830</v>
      </c>
      <c r="C41">
        <v>930</v>
      </c>
      <c r="D41">
        <f t="shared" si="0"/>
        <v>1103</v>
      </c>
      <c r="E41">
        <f t="shared" si="1"/>
        <v>9.0661831368993653</v>
      </c>
      <c r="F41" s="3">
        <v>1.4700000000000001E-7</v>
      </c>
    </row>
    <row r="42" spans="1:13" x14ac:dyDescent="0.25">
      <c r="A42" s="6">
        <v>43642</v>
      </c>
      <c r="B42">
        <v>863</v>
      </c>
      <c r="C42">
        <v>963</v>
      </c>
      <c r="D42">
        <f t="shared" si="0"/>
        <v>1136</v>
      </c>
      <c r="E42">
        <f t="shared" si="1"/>
        <v>8.8028169014084501</v>
      </c>
      <c r="F42" s="3">
        <v>2.8000000000000002E-7</v>
      </c>
    </row>
    <row r="43" spans="1:13" x14ac:dyDescent="0.25">
      <c r="B43">
        <v>830</v>
      </c>
      <c r="C43">
        <v>930</v>
      </c>
      <c r="D43">
        <f t="shared" si="0"/>
        <v>1103</v>
      </c>
      <c r="E43">
        <f t="shared" si="1"/>
        <v>9.0661831368993653</v>
      </c>
      <c r="F43" s="3">
        <v>1.42E-7</v>
      </c>
    </row>
    <row r="44" spans="1:13" x14ac:dyDescent="0.25">
      <c r="A44" s="6">
        <v>43643</v>
      </c>
      <c r="B44">
        <v>893</v>
      </c>
      <c r="C44">
        <v>993</v>
      </c>
      <c r="D44">
        <f t="shared" si="0"/>
        <v>1166</v>
      </c>
      <c r="E44">
        <f t="shared" si="1"/>
        <v>8.5763293310463116</v>
      </c>
      <c r="F44" s="3">
        <v>5.0699999999999997E-7</v>
      </c>
    </row>
    <row r="45" spans="1:13" x14ac:dyDescent="0.25">
      <c r="A45" s="6">
        <v>43644</v>
      </c>
      <c r="B45">
        <v>863</v>
      </c>
      <c r="C45">
        <v>963</v>
      </c>
      <c r="D45">
        <f t="shared" si="0"/>
        <v>1136</v>
      </c>
      <c r="E45">
        <f t="shared" si="1"/>
        <v>8.8028169014084501</v>
      </c>
      <c r="F45" s="3">
        <v>2.9299999999999999E-7</v>
      </c>
    </row>
    <row r="46" spans="1:13" x14ac:dyDescent="0.25">
      <c r="B46">
        <v>830</v>
      </c>
      <c r="C46">
        <v>930</v>
      </c>
      <c r="D46">
        <f t="shared" si="0"/>
        <v>1103</v>
      </c>
      <c r="E46">
        <f t="shared" si="1"/>
        <v>9.0661831368993653</v>
      </c>
      <c r="F46" s="3">
        <v>1.4499999999999999E-7</v>
      </c>
    </row>
    <row r="47" spans="1:13" x14ac:dyDescent="0.25">
      <c r="A47" s="6">
        <v>43664</v>
      </c>
      <c r="B47">
        <v>830</v>
      </c>
      <c r="C47">
        <v>930</v>
      </c>
      <c r="D47">
        <f t="shared" ref="D47:D130" si="3">B47+273</f>
        <v>1103</v>
      </c>
      <c r="E47">
        <f t="shared" ref="E47:E130" si="4">10000/D47</f>
        <v>9.0661831368993653</v>
      </c>
      <c r="F47" s="3">
        <v>1.4399999999999999E-7</v>
      </c>
    </row>
    <row r="48" spans="1:13" x14ac:dyDescent="0.25">
      <c r="A48" s="6">
        <v>43675</v>
      </c>
      <c r="B48">
        <v>830</v>
      </c>
      <c r="C48">
        <v>930</v>
      </c>
      <c r="D48">
        <f t="shared" si="3"/>
        <v>1103</v>
      </c>
      <c r="E48">
        <f t="shared" si="4"/>
        <v>9.0661831368993653</v>
      </c>
      <c r="F48" s="3">
        <v>1.42E-7</v>
      </c>
    </row>
    <row r="49" spans="1:8" x14ac:dyDescent="0.25">
      <c r="A49" s="6">
        <v>43676</v>
      </c>
      <c r="B49">
        <v>830</v>
      </c>
      <c r="C49">
        <v>930</v>
      </c>
      <c r="D49">
        <f t="shared" si="3"/>
        <v>1103</v>
      </c>
      <c r="E49">
        <f t="shared" si="4"/>
        <v>9.0661831368993653</v>
      </c>
      <c r="F49" s="3">
        <v>1.4100000000000001E-7</v>
      </c>
    </row>
    <row r="50" spans="1:8" x14ac:dyDescent="0.25">
      <c r="A50" s="6">
        <v>43683</v>
      </c>
      <c r="B50">
        <v>830</v>
      </c>
      <c r="C50">
        <v>930</v>
      </c>
      <c r="D50">
        <f t="shared" si="3"/>
        <v>1103</v>
      </c>
      <c r="E50">
        <f t="shared" si="4"/>
        <v>9.0661831368993653</v>
      </c>
      <c r="F50" s="3">
        <v>1.36E-7</v>
      </c>
    </row>
    <row r="51" spans="1:8" x14ac:dyDescent="0.25">
      <c r="B51">
        <v>832</v>
      </c>
      <c r="C51">
        <v>932</v>
      </c>
      <c r="D51">
        <f t="shared" si="3"/>
        <v>1105</v>
      </c>
      <c r="E51">
        <f t="shared" si="4"/>
        <v>9.0497737556561084</v>
      </c>
      <c r="F51" s="3">
        <v>1.4399999999999999E-7</v>
      </c>
    </row>
    <row r="52" spans="1:8" x14ac:dyDescent="0.25">
      <c r="A52" s="6">
        <v>43698</v>
      </c>
      <c r="B52">
        <v>832</v>
      </c>
      <c r="C52">
        <v>932</v>
      </c>
      <c r="D52">
        <f t="shared" si="3"/>
        <v>1105</v>
      </c>
      <c r="E52">
        <f t="shared" si="4"/>
        <v>9.0497737556561084</v>
      </c>
      <c r="F52" s="3">
        <v>1.4399999999999999E-7</v>
      </c>
    </row>
    <row r="53" spans="1:8" x14ac:dyDescent="0.25">
      <c r="A53" s="6">
        <v>43701</v>
      </c>
      <c r="B53">
        <v>832</v>
      </c>
      <c r="C53">
        <v>932</v>
      </c>
      <c r="D53">
        <f t="shared" si="3"/>
        <v>1105</v>
      </c>
      <c r="E53">
        <f t="shared" si="4"/>
        <v>9.0497737556561084</v>
      </c>
      <c r="F53" s="3">
        <v>1.42E-7</v>
      </c>
    </row>
    <row r="54" spans="1:8" x14ac:dyDescent="0.25">
      <c r="A54" s="6">
        <v>43704</v>
      </c>
      <c r="B54">
        <v>832</v>
      </c>
      <c r="C54">
        <v>932</v>
      </c>
      <c r="D54">
        <f t="shared" si="3"/>
        <v>1105</v>
      </c>
      <c r="E54">
        <f t="shared" si="4"/>
        <v>9.0497737556561084</v>
      </c>
      <c r="F54" s="3">
        <v>1.4000000000000001E-7</v>
      </c>
    </row>
    <row r="55" spans="1:8" x14ac:dyDescent="0.25">
      <c r="A55" s="6">
        <v>43708</v>
      </c>
      <c r="B55">
        <v>832</v>
      </c>
      <c r="C55">
        <v>932</v>
      </c>
      <c r="D55">
        <f t="shared" si="3"/>
        <v>1105</v>
      </c>
      <c r="E55">
        <f t="shared" si="4"/>
        <v>9.0497737556561084</v>
      </c>
      <c r="F55" s="3">
        <v>1.4100000000000001E-7</v>
      </c>
    </row>
    <row r="56" spans="1:8" x14ac:dyDescent="0.25">
      <c r="A56" s="6">
        <v>43715</v>
      </c>
      <c r="B56">
        <v>832</v>
      </c>
      <c r="C56">
        <v>932</v>
      </c>
      <c r="D56">
        <f t="shared" si="3"/>
        <v>1105</v>
      </c>
      <c r="E56">
        <f t="shared" si="4"/>
        <v>9.0497737556561084</v>
      </c>
      <c r="F56" s="3">
        <v>1.4000000000000001E-7</v>
      </c>
    </row>
    <row r="57" spans="1:8" x14ac:dyDescent="0.25">
      <c r="A57" s="6">
        <v>43722</v>
      </c>
      <c r="B57">
        <v>832</v>
      </c>
      <c r="C57">
        <v>932</v>
      </c>
      <c r="D57">
        <f t="shared" si="3"/>
        <v>1105</v>
      </c>
      <c r="E57">
        <f t="shared" si="4"/>
        <v>9.0497737556561084</v>
      </c>
      <c r="F57" s="3">
        <v>1.42E-7</v>
      </c>
    </row>
    <row r="58" spans="1:8" x14ac:dyDescent="0.25">
      <c r="A58" t="s">
        <v>118</v>
      </c>
    </row>
    <row r="59" spans="1:8" x14ac:dyDescent="0.25">
      <c r="A59" s="6">
        <v>43811</v>
      </c>
      <c r="B59">
        <v>890</v>
      </c>
      <c r="C59">
        <v>1040</v>
      </c>
      <c r="D59">
        <f t="shared" si="3"/>
        <v>1163</v>
      </c>
      <c r="E59">
        <f t="shared" si="4"/>
        <v>8.5984522785898534</v>
      </c>
      <c r="F59" s="3">
        <v>5.9299999999999998E-7</v>
      </c>
    </row>
    <row r="60" spans="1:8" x14ac:dyDescent="0.25">
      <c r="B60">
        <v>880</v>
      </c>
      <c r="C60">
        <v>1030</v>
      </c>
      <c r="D60">
        <f t="shared" si="3"/>
        <v>1153</v>
      </c>
      <c r="E60">
        <f t="shared" si="4"/>
        <v>8.6730268863833473</v>
      </c>
      <c r="F60" s="3">
        <v>4.8299999999999997E-7</v>
      </c>
    </row>
    <row r="61" spans="1:8" x14ac:dyDescent="0.25">
      <c r="B61">
        <v>885</v>
      </c>
      <c r="C61">
        <v>1035</v>
      </c>
      <c r="D61">
        <f t="shared" si="3"/>
        <v>1158</v>
      </c>
      <c r="E61">
        <f t="shared" si="4"/>
        <v>8.6355785837651116</v>
      </c>
      <c r="F61" s="3">
        <v>5.3099999999999998E-7</v>
      </c>
      <c r="H61">
        <v>0.98</v>
      </c>
    </row>
    <row r="62" spans="1:8" x14ac:dyDescent="0.25">
      <c r="B62">
        <v>835</v>
      </c>
      <c r="C62">
        <v>985</v>
      </c>
      <c r="D62">
        <f t="shared" si="3"/>
        <v>1108</v>
      </c>
      <c r="E62">
        <f t="shared" si="4"/>
        <v>9.025270758122744</v>
      </c>
      <c r="F62" s="3">
        <v>1.8799999999999999E-7</v>
      </c>
    </row>
    <row r="63" spans="1:8" x14ac:dyDescent="0.25">
      <c r="B63">
        <v>827</v>
      </c>
      <c r="C63">
        <v>977</v>
      </c>
      <c r="D63">
        <f t="shared" si="3"/>
        <v>1100</v>
      </c>
      <c r="E63">
        <f t="shared" si="4"/>
        <v>9.0909090909090917</v>
      </c>
      <c r="F63" s="3">
        <v>1.54E-7</v>
      </c>
    </row>
    <row r="64" spans="1:8" x14ac:dyDescent="0.25">
      <c r="A64" s="6">
        <v>43818</v>
      </c>
      <c r="B64">
        <v>885</v>
      </c>
      <c r="C64">
        <v>1035</v>
      </c>
      <c r="D64">
        <f t="shared" si="3"/>
        <v>1158</v>
      </c>
      <c r="E64">
        <f t="shared" si="4"/>
        <v>8.6355785837651116</v>
      </c>
      <c r="F64" s="3">
        <v>5.3399999999999999E-7</v>
      </c>
    </row>
    <row r="65" spans="1:10" x14ac:dyDescent="0.25">
      <c r="B65">
        <v>862</v>
      </c>
      <c r="C65">
        <v>1012</v>
      </c>
      <c r="D65">
        <f t="shared" si="3"/>
        <v>1135</v>
      </c>
      <c r="E65">
        <f t="shared" si="4"/>
        <v>8.8105726872246688</v>
      </c>
      <c r="F65" s="3">
        <v>3.3200000000000001E-7</v>
      </c>
    </row>
    <row r="66" spans="1:10" x14ac:dyDescent="0.25">
      <c r="A66" s="6">
        <v>43822</v>
      </c>
      <c r="B66">
        <v>885</v>
      </c>
      <c r="C66">
        <v>1035</v>
      </c>
      <c r="D66">
        <f t="shared" si="3"/>
        <v>1158</v>
      </c>
      <c r="E66">
        <f t="shared" si="4"/>
        <v>8.6355785837651116</v>
      </c>
      <c r="F66" s="3">
        <v>5.3200000000000005E-7</v>
      </c>
    </row>
    <row r="67" spans="1:10" x14ac:dyDescent="0.25">
      <c r="B67">
        <v>862</v>
      </c>
      <c r="C67">
        <v>1012</v>
      </c>
      <c r="D67">
        <f t="shared" si="3"/>
        <v>1135</v>
      </c>
      <c r="E67">
        <f t="shared" si="4"/>
        <v>8.8105726872246688</v>
      </c>
      <c r="F67" s="3">
        <v>3.2599999999999998E-7</v>
      </c>
    </row>
    <row r="68" spans="1:10" x14ac:dyDescent="0.25">
      <c r="A68" s="6">
        <v>43838</v>
      </c>
      <c r="B68">
        <v>885</v>
      </c>
      <c r="C68">
        <v>1035</v>
      </c>
      <c r="D68">
        <f t="shared" si="3"/>
        <v>1158</v>
      </c>
      <c r="E68">
        <f t="shared" si="4"/>
        <v>8.6355785837651116</v>
      </c>
      <c r="F68" s="3">
        <v>5.3099999999999998E-7</v>
      </c>
    </row>
    <row r="69" spans="1:10" x14ac:dyDescent="0.25">
      <c r="B69">
        <v>862</v>
      </c>
      <c r="C69">
        <v>1012</v>
      </c>
      <c r="D69">
        <f t="shared" si="3"/>
        <v>1135</v>
      </c>
      <c r="E69">
        <f t="shared" si="4"/>
        <v>8.8105726872246688</v>
      </c>
      <c r="F69" s="3">
        <v>3.2300000000000002E-7</v>
      </c>
    </row>
    <row r="70" spans="1:10" x14ac:dyDescent="0.25">
      <c r="A70" s="6">
        <v>43840</v>
      </c>
      <c r="B70">
        <v>885</v>
      </c>
      <c r="C70">
        <v>1035</v>
      </c>
      <c r="D70">
        <f t="shared" si="3"/>
        <v>1158</v>
      </c>
      <c r="E70">
        <f t="shared" si="4"/>
        <v>8.6355785837651116</v>
      </c>
      <c r="F70" s="3">
        <v>5.4099999999999999E-7</v>
      </c>
    </row>
    <row r="71" spans="1:10" x14ac:dyDescent="0.25">
      <c r="B71">
        <v>883</v>
      </c>
      <c r="C71">
        <v>1033</v>
      </c>
      <c r="D71">
        <f t="shared" si="3"/>
        <v>1156</v>
      </c>
      <c r="E71">
        <f t="shared" si="4"/>
        <v>8.6505190311418687</v>
      </c>
      <c r="F71" s="3">
        <v>5.1500000000000005E-7</v>
      </c>
    </row>
    <row r="72" spans="1:10" x14ac:dyDescent="0.25">
      <c r="B72">
        <v>884</v>
      </c>
      <c r="C72">
        <v>1034</v>
      </c>
      <c r="D72">
        <f t="shared" si="3"/>
        <v>1157</v>
      </c>
      <c r="E72">
        <f t="shared" si="4"/>
        <v>8.6430423509075194</v>
      </c>
      <c r="F72" s="3">
        <v>5.2900000000000004E-7</v>
      </c>
    </row>
    <row r="73" spans="1:10" x14ac:dyDescent="0.25">
      <c r="A73" s="6">
        <v>43886</v>
      </c>
      <c r="B73">
        <v>886</v>
      </c>
      <c r="C73">
        <v>1036</v>
      </c>
      <c r="D73">
        <f t="shared" si="3"/>
        <v>1159</v>
      </c>
      <c r="E73">
        <f t="shared" si="4"/>
        <v>8.6281276962899049</v>
      </c>
      <c r="F73" s="3">
        <v>5.0999999999999999E-7</v>
      </c>
    </row>
    <row r="74" spans="1:10" x14ac:dyDescent="0.25">
      <c r="A74" s="6">
        <v>43887</v>
      </c>
      <c r="B74">
        <v>886</v>
      </c>
      <c r="C74">
        <v>1036</v>
      </c>
      <c r="D74">
        <f t="shared" si="3"/>
        <v>1159</v>
      </c>
      <c r="E74">
        <f t="shared" si="4"/>
        <v>8.6281276962899049</v>
      </c>
      <c r="F74" s="3">
        <v>5.0999999999999999E-7</v>
      </c>
    </row>
    <row r="75" spans="1:10" x14ac:dyDescent="0.25">
      <c r="B75">
        <v>862</v>
      </c>
      <c r="C75">
        <v>1012</v>
      </c>
      <c r="D75">
        <f t="shared" si="3"/>
        <v>1135</v>
      </c>
      <c r="E75">
        <f t="shared" si="4"/>
        <v>8.8105726872246688</v>
      </c>
      <c r="F75" s="3">
        <v>3.1100000000000002E-7</v>
      </c>
    </row>
    <row r="76" spans="1:10" x14ac:dyDescent="0.25">
      <c r="A76" s="6">
        <v>43900</v>
      </c>
      <c r="B76">
        <v>825</v>
      </c>
      <c r="C76">
        <v>975</v>
      </c>
      <c r="D76">
        <f t="shared" si="3"/>
        <v>1098</v>
      </c>
      <c r="E76">
        <f t="shared" si="4"/>
        <v>9.1074681238615671</v>
      </c>
      <c r="F76" s="3">
        <v>1.4000000000000001E-7</v>
      </c>
    </row>
    <row r="77" spans="1:10" x14ac:dyDescent="0.25">
      <c r="A77" s="6">
        <v>44186</v>
      </c>
      <c r="B77">
        <v>886</v>
      </c>
      <c r="C77">
        <v>1036</v>
      </c>
      <c r="D77">
        <f t="shared" si="3"/>
        <v>1159</v>
      </c>
      <c r="E77">
        <f t="shared" si="4"/>
        <v>8.6281276962899049</v>
      </c>
      <c r="F77" s="3">
        <v>5.1099999999999996E-7</v>
      </c>
      <c r="H77">
        <v>0.88</v>
      </c>
    </row>
    <row r="78" spans="1:10" x14ac:dyDescent="0.25">
      <c r="B78">
        <v>855</v>
      </c>
      <c r="C78">
        <v>1005</v>
      </c>
      <c r="D78">
        <f t="shared" si="3"/>
        <v>1128</v>
      </c>
      <c r="E78">
        <f t="shared" si="4"/>
        <v>8.8652482269503547</v>
      </c>
      <c r="F78" s="3">
        <v>2.6899999999999999E-7</v>
      </c>
    </row>
    <row r="79" spans="1:10" x14ac:dyDescent="0.25">
      <c r="B79">
        <v>825</v>
      </c>
      <c r="C79">
        <v>975</v>
      </c>
      <c r="D79">
        <f t="shared" si="3"/>
        <v>1098</v>
      </c>
      <c r="E79">
        <f t="shared" si="4"/>
        <v>9.1074681238615671</v>
      </c>
      <c r="F79" s="3">
        <v>1.4100000000000001E-7</v>
      </c>
    </row>
    <row r="80" spans="1:10" x14ac:dyDescent="0.25">
      <c r="A80" s="6">
        <v>44207</v>
      </c>
      <c r="B80">
        <v>880</v>
      </c>
      <c r="C80">
        <v>1030</v>
      </c>
      <c r="D80">
        <f t="shared" si="3"/>
        <v>1153</v>
      </c>
      <c r="E80">
        <f t="shared" si="4"/>
        <v>8.6730268863833473</v>
      </c>
      <c r="J80" t="s">
        <v>142</v>
      </c>
    </row>
    <row r="81" spans="1:18" x14ac:dyDescent="0.25">
      <c r="A81" s="6">
        <v>44211</v>
      </c>
      <c r="B81">
        <v>888</v>
      </c>
      <c r="C81">
        <v>1038</v>
      </c>
      <c r="D81">
        <f t="shared" si="3"/>
        <v>1161</v>
      </c>
      <c r="E81">
        <f t="shared" si="4"/>
        <v>8.6132644272179153</v>
      </c>
      <c r="F81" s="3">
        <v>5.1200000000000003E-7</v>
      </c>
      <c r="H81">
        <v>0.88</v>
      </c>
    </row>
    <row r="82" spans="1:18" x14ac:dyDescent="0.25">
      <c r="B82">
        <v>825</v>
      </c>
      <c r="C82">
        <v>975</v>
      </c>
      <c r="D82">
        <f t="shared" si="3"/>
        <v>1098</v>
      </c>
      <c r="E82">
        <f t="shared" si="4"/>
        <v>9.1074681238615671</v>
      </c>
      <c r="F82" s="3">
        <v>1.3799999999999999E-7</v>
      </c>
      <c r="H82">
        <v>0.25</v>
      </c>
    </row>
    <row r="83" spans="1:18" x14ac:dyDescent="0.25">
      <c r="A83" s="6">
        <v>44225</v>
      </c>
      <c r="B83">
        <v>888</v>
      </c>
      <c r="C83">
        <v>1038</v>
      </c>
      <c r="D83">
        <f t="shared" si="3"/>
        <v>1161</v>
      </c>
      <c r="E83">
        <f t="shared" si="4"/>
        <v>8.6132644272179153</v>
      </c>
      <c r="F83" s="3">
        <v>4.9800000000000004E-7</v>
      </c>
      <c r="H83">
        <v>0.89</v>
      </c>
      <c r="J83" t="s">
        <v>143</v>
      </c>
    </row>
    <row r="84" spans="1:18" x14ac:dyDescent="0.25">
      <c r="A84" s="6">
        <v>44243</v>
      </c>
      <c r="B84">
        <v>825</v>
      </c>
      <c r="C84">
        <v>975</v>
      </c>
      <c r="D84">
        <f t="shared" si="3"/>
        <v>1098</v>
      </c>
      <c r="E84">
        <f t="shared" si="4"/>
        <v>9.1074681238615671</v>
      </c>
      <c r="F84" s="3">
        <v>1.4000000000000001E-7</v>
      </c>
    </row>
    <row r="85" spans="1:18" x14ac:dyDescent="0.25">
      <c r="A85" s="6">
        <v>44274</v>
      </c>
      <c r="B85">
        <v>825</v>
      </c>
      <c r="C85">
        <v>975</v>
      </c>
      <c r="D85">
        <f t="shared" si="3"/>
        <v>1098</v>
      </c>
      <c r="E85">
        <f t="shared" si="4"/>
        <v>9.1074681238615671</v>
      </c>
      <c r="F85" s="3">
        <v>1.36E-7</v>
      </c>
      <c r="H85">
        <v>0.248</v>
      </c>
    </row>
    <row r="86" spans="1:18" x14ac:dyDescent="0.25">
      <c r="A86" s="6">
        <v>44308</v>
      </c>
      <c r="B86">
        <v>825</v>
      </c>
      <c r="C86">
        <v>975</v>
      </c>
      <c r="D86">
        <f t="shared" si="3"/>
        <v>1098</v>
      </c>
      <c r="E86">
        <f t="shared" si="4"/>
        <v>9.1074681238615671</v>
      </c>
      <c r="F86" s="3">
        <v>1.68E-7</v>
      </c>
      <c r="H86">
        <v>0.26200000000000001</v>
      </c>
      <c r="J86" t="s">
        <v>144</v>
      </c>
    </row>
    <row r="87" spans="1:18" x14ac:dyDescent="0.25">
      <c r="A87" s="6">
        <v>44315</v>
      </c>
      <c r="B87">
        <v>825</v>
      </c>
      <c r="C87">
        <v>975</v>
      </c>
      <c r="D87">
        <f t="shared" si="3"/>
        <v>1098</v>
      </c>
      <c r="E87">
        <f t="shared" si="4"/>
        <v>9.1074681238615671</v>
      </c>
      <c r="F87" s="3">
        <v>1.4000000000000001E-7</v>
      </c>
      <c r="H87">
        <v>0.24199999999999999</v>
      </c>
    </row>
    <row r="88" spans="1:18" x14ac:dyDescent="0.25">
      <c r="A88" s="6">
        <v>44354</v>
      </c>
      <c r="B88">
        <v>825</v>
      </c>
      <c r="C88">
        <v>975</v>
      </c>
      <c r="D88">
        <f t="shared" si="3"/>
        <v>1098</v>
      </c>
      <c r="E88">
        <f t="shared" si="4"/>
        <v>9.1074681238615671</v>
      </c>
      <c r="F88" s="3">
        <v>1.36E-7</v>
      </c>
      <c r="H88">
        <v>0.23599999999999999</v>
      </c>
      <c r="R88">
        <f>0.0000005*30</f>
        <v>1.4999999999999999E-5</v>
      </c>
    </row>
    <row r="89" spans="1:18" x14ac:dyDescent="0.25">
      <c r="A89" s="6">
        <v>44357</v>
      </c>
      <c r="B89">
        <v>825</v>
      </c>
      <c r="C89">
        <v>975</v>
      </c>
      <c r="D89">
        <f t="shared" si="3"/>
        <v>1098</v>
      </c>
      <c r="E89">
        <f t="shared" si="4"/>
        <v>9.1074681238615671</v>
      </c>
      <c r="F89" s="3">
        <v>1.35E-7</v>
      </c>
      <c r="H89">
        <v>0.24299999999999999</v>
      </c>
    </row>
    <row r="90" spans="1:18" x14ac:dyDescent="0.25">
      <c r="A90" s="6">
        <v>44358</v>
      </c>
      <c r="B90">
        <v>825</v>
      </c>
      <c r="C90">
        <v>975</v>
      </c>
      <c r="D90">
        <f t="shared" si="3"/>
        <v>1098</v>
      </c>
      <c r="E90">
        <f t="shared" si="4"/>
        <v>9.1074681238615671</v>
      </c>
      <c r="F90" s="3">
        <v>1.37E-7</v>
      </c>
    </row>
    <row r="91" spans="1:18" x14ac:dyDescent="0.25">
      <c r="A91" s="6">
        <v>44363</v>
      </c>
      <c r="B91">
        <v>825</v>
      </c>
      <c r="C91">
        <v>975</v>
      </c>
      <c r="D91">
        <f t="shared" si="3"/>
        <v>1098</v>
      </c>
      <c r="E91">
        <f t="shared" si="4"/>
        <v>9.1074681238615671</v>
      </c>
      <c r="F91" s="3">
        <v>1.35E-7</v>
      </c>
      <c r="H91">
        <v>0.24</v>
      </c>
    </row>
    <row r="92" spans="1:18" x14ac:dyDescent="0.25">
      <c r="A92" s="6">
        <v>44398</v>
      </c>
      <c r="B92">
        <v>825</v>
      </c>
      <c r="C92">
        <v>975</v>
      </c>
      <c r="D92">
        <f t="shared" si="3"/>
        <v>1098</v>
      </c>
      <c r="E92">
        <f t="shared" si="4"/>
        <v>9.1074681238615671</v>
      </c>
      <c r="F92" s="3">
        <v>1.35E-7</v>
      </c>
      <c r="H92">
        <v>0.245</v>
      </c>
    </row>
    <row r="93" spans="1:18" x14ac:dyDescent="0.25">
      <c r="A93" s="6">
        <v>44406</v>
      </c>
      <c r="B93">
        <v>825</v>
      </c>
      <c r="C93">
        <v>975</v>
      </c>
      <c r="D93">
        <f t="shared" si="3"/>
        <v>1098</v>
      </c>
      <c r="E93">
        <f t="shared" si="4"/>
        <v>9.1074681238615671</v>
      </c>
      <c r="F93" s="3">
        <v>1.35E-7</v>
      </c>
      <c r="H93">
        <v>0.23</v>
      </c>
    </row>
    <row r="94" spans="1:18" x14ac:dyDescent="0.25">
      <c r="A94" s="6">
        <v>44426</v>
      </c>
      <c r="B94">
        <v>825</v>
      </c>
      <c r="C94">
        <v>975</v>
      </c>
      <c r="D94">
        <f t="shared" si="3"/>
        <v>1098</v>
      </c>
      <c r="E94">
        <f t="shared" si="4"/>
        <v>9.1074681238615671</v>
      </c>
      <c r="F94" s="3">
        <v>1.3300000000000001E-7</v>
      </c>
      <c r="H94">
        <v>0.23</v>
      </c>
    </row>
    <row r="95" spans="1:18" x14ac:dyDescent="0.25">
      <c r="A95" s="6">
        <v>44428</v>
      </c>
      <c r="B95">
        <v>825</v>
      </c>
      <c r="C95">
        <v>975</v>
      </c>
      <c r="D95">
        <f t="shared" si="3"/>
        <v>1098</v>
      </c>
      <c r="E95">
        <f t="shared" si="4"/>
        <v>9.1074681238615671</v>
      </c>
      <c r="F95" s="3">
        <v>1.3E-7</v>
      </c>
      <c r="H95">
        <v>0.24</v>
      </c>
    </row>
    <row r="96" spans="1:18" x14ac:dyDescent="0.25">
      <c r="A96" s="6">
        <v>44511</v>
      </c>
      <c r="B96">
        <v>888</v>
      </c>
      <c r="C96">
        <v>1038</v>
      </c>
      <c r="D96">
        <f t="shared" si="3"/>
        <v>1161</v>
      </c>
      <c r="E96">
        <f t="shared" si="4"/>
        <v>8.6132644272179153</v>
      </c>
      <c r="F96" s="3">
        <v>5.0500000000000004E-7</v>
      </c>
    </row>
    <row r="97" spans="1:17" x14ac:dyDescent="0.25">
      <c r="B97">
        <v>865</v>
      </c>
      <c r="C97">
        <v>1015</v>
      </c>
      <c r="D97">
        <f t="shared" si="3"/>
        <v>1138</v>
      </c>
      <c r="E97">
        <f t="shared" si="4"/>
        <v>8.7873462214411244</v>
      </c>
      <c r="F97" s="3">
        <v>3.1300000000000001E-7</v>
      </c>
    </row>
    <row r="98" spans="1:17" x14ac:dyDescent="0.25">
      <c r="A98" s="6">
        <v>44515</v>
      </c>
      <c r="B98">
        <v>888</v>
      </c>
      <c r="C98">
        <v>1038</v>
      </c>
      <c r="D98">
        <f t="shared" si="3"/>
        <v>1161</v>
      </c>
      <c r="E98">
        <f t="shared" si="4"/>
        <v>8.6132644272179153</v>
      </c>
      <c r="F98" s="3">
        <v>4.9699999999999996E-7</v>
      </c>
    </row>
    <row r="99" spans="1:17" x14ac:dyDescent="0.25">
      <c r="B99">
        <v>865</v>
      </c>
      <c r="C99">
        <v>1015</v>
      </c>
      <c r="D99">
        <f t="shared" si="3"/>
        <v>1138</v>
      </c>
      <c r="E99">
        <f t="shared" si="4"/>
        <v>8.7873462214411244</v>
      </c>
      <c r="F99" s="3">
        <v>3.1E-7</v>
      </c>
    </row>
    <row r="100" spans="1:17" x14ac:dyDescent="0.25">
      <c r="A100" s="6">
        <v>44517</v>
      </c>
      <c r="B100">
        <v>888</v>
      </c>
      <c r="C100">
        <v>1038</v>
      </c>
      <c r="D100">
        <f t="shared" si="3"/>
        <v>1161</v>
      </c>
      <c r="E100">
        <f t="shared" si="4"/>
        <v>8.6132644272179153</v>
      </c>
      <c r="F100" s="3">
        <v>5.0699999999999997E-7</v>
      </c>
    </row>
    <row r="101" spans="1:17" x14ac:dyDescent="0.25">
      <c r="B101">
        <v>865</v>
      </c>
      <c r="C101">
        <v>1015</v>
      </c>
      <c r="D101">
        <f t="shared" si="3"/>
        <v>1138</v>
      </c>
      <c r="E101">
        <f t="shared" si="4"/>
        <v>8.7873462214411244</v>
      </c>
      <c r="F101" s="3">
        <v>3.03E-7</v>
      </c>
    </row>
    <row r="102" spans="1:17" x14ac:dyDescent="0.25">
      <c r="A102" s="6">
        <v>44533</v>
      </c>
      <c r="B102">
        <v>890</v>
      </c>
      <c r="C102">
        <v>1040</v>
      </c>
      <c r="D102">
        <f t="shared" si="3"/>
        <v>1163</v>
      </c>
      <c r="E102">
        <f t="shared" si="4"/>
        <v>8.5984522785898534</v>
      </c>
      <c r="F102" s="3">
        <v>5.2E-7</v>
      </c>
    </row>
    <row r="103" spans="1:17" x14ac:dyDescent="0.25">
      <c r="A103" s="6">
        <v>44630</v>
      </c>
      <c r="B103">
        <v>890</v>
      </c>
      <c r="C103">
        <v>1040</v>
      </c>
      <c r="D103">
        <f t="shared" si="3"/>
        <v>1163</v>
      </c>
      <c r="E103">
        <f t="shared" si="4"/>
        <v>8.5984522785898534</v>
      </c>
      <c r="F103" s="3">
        <v>5.1200000000000003E-7</v>
      </c>
      <c r="H103">
        <v>0.9</v>
      </c>
    </row>
    <row r="104" spans="1:17" x14ac:dyDescent="0.25">
      <c r="B104">
        <v>870</v>
      </c>
      <c r="C104">
        <v>1020</v>
      </c>
      <c r="D104">
        <f t="shared" si="3"/>
        <v>1143</v>
      </c>
      <c r="E104">
        <f t="shared" si="4"/>
        <v>8.7489063867016625</v>
      </c>
      <c r="F104" s="3">
        <v>3.3000000000000002E-7</v>
      </c>
      <c r="H104">
        <v>0.61499999999999999</v>
      </c>
    </row>
    <row r="105" spans="1:17" x14ac:dyDescent="0.25">
      <c r="B105">
        <v>850</v>
      </c>
      <c r="C105">
        <v>1000</v>
      </c>
      <c r="D105">
        <f t="shared" si="3"/>
        <v>1123</v>
      </c>
      <c r="E105">
        <f t="shared" si="4"/>
        <v>8.9047195013357072</v>
      </c>
      <c r="F105" s="3">
        <v>2.1799999999999999E-7</v>
      </c>
      <c r="H105">
        <v>0.42</v>
      </c>
    </row>
    <row r="106" spans="1:17" x14ac:dyDescent="0.25">
      <c r="A106" s="6">
        <v>44643</v>
      </c>
      <c r="B106">
        <v>850</v>
      </c>
      <c r="C106">
        <v>1000</v>
      </c>
      <c r="D106">
        <f t="shared" si="3"/>
        <v>1123</v>
      </c>
      <c r="E106">
        <f t="shared" si="4"/>
        <v>8.9047195013357072</v>
      </c>
      <c r="F106" s="3">
        <v>2.23E-7</v>
      </c>
      <c r="H106">
        <v>0.4</v>
      </c>
    </row>
    <row r="107" spans="1:17" x14ac:dyDescent="0.25">
      <c r="A107" s="6">
        <v>44649</v>
      </c>
      <c r="B107">
        <v>837</v>
      </c>
      <c r="C107">
        <v>987</v>
      </c>
      <c r="D107">
        <f t="shared" si="3"/>
        <v>1110</v>
      </c>
      <c r="E107">
        <f t="shared" si="4"/>
        <v>9.0090090090090094</v>
      </c>
      <c r="F107" s="3">
        <v>1.68E-7</v>
      </c>
      <c r="H107">
        <v>0.3</v>
      </c>
    </row>
    <row r="108" spans="1:17" x14ac:dyDescent="0.25">
      <c r="A108" s="6">
        <v>44651</v>
      </c>
      <c r="B108">
        <v>837</v>
      </c>
      <c r="C108">
        <v>987</v>
      </c>
      <c r="D108">
        <f t="shared" si="3"/>
        <v>1110</v>
      </c>
      <c r="E108">
        <f t="shared" si="4"/>
        <v>9.0090090090090094</v>
      </c>
      <c r="F108" s="3">
        <v>1.6899999999999999E-7</v>
      </c>
      <c r="L108" t="s">
        <v>174</v>
      </c>
      <c r="M108">
        <v>895</v>
      </c>
      <c r="O108" t="s">
        <v>12</v>
      </c>
      <c r="P108" s="3">
        <f>M109</f>
        <v>5.3796294277645754E-7</v>
      </c>
    </row>
    <row r="109" spans="1:17" x14ac:dyDescent="0.25">
      <c r="B109">
        <v>827</v>
      </c>
      <c r="C109">
        <v>977</v>
      </c>
      <c r="D109">
        <f t="shared" si="3"/>
        <v>1100</v>
      </c>
      <c r="E109">
        <f t="shared" si="4"/>
        <v>9.0909090909090917</v>
      </c>
      <c r="F109" s="3">
        <v>1.3300000000000001E-7</v>
      </c>
      <c r="L109" t="s">
        <v>12</v>
      </c>
      <c r="M109">
        <f>0.00000000000000633*EXP(0.0204*M108)</f>
        <v>5.3796294277645754E-7</v>
      </c>
      <c r="O109" t="s">
        <v>11</v>
      </c>
      <c r="P109" s="3">
        <f>1760000*P108+0.0016</f>
        <v>0.94841477928656537</v>
      </c>
    </row>
    <row r="110" spans="1:17" x14ac:dyDescent="0.25">
      <c r="A110" s="6">
        <v>44658</v>
      </c>
      <c r="B110">
        <v>837</v>
      </c>
      <c r="C110">
        <v>987</v>
      </c>
      <c r="D110">
        <f t="shared" si="3"/>
        <v>1110</v>
      </c>
      <c r="E110">
        <f t="shared" si="4"/>
        <v>9.0090090090090094</v>
      </c>
      <c r="F110" s="3">
        <v>1.6999999999999999E-7</v>
      </c>
      <c r="M110" t="s">
        <v>175</v>
      </c>
    </row>
    <row r="111" spans="1:17" x14ac:dyDescent="0.25">
      <c r="B111">
        <v>827</v>
      </c>
      <c r="C111">
        <v>977</v>
      </c>
      <c r="D111">
        <f t="shared" si="3"/>
        <v>1100</v>
      </c>
      <c r="E111">
        <f t="shared" si="4"/>
        <v>9.0909090909090917</v>
      </c>
      <c r="F111" s="3">
        <v>1.35E-7</v>
      </c>
      <c r="K111" t="s">
        <v>177</v>
      </c>
      <c r="L111" t="s">
        <v>178</v>
      </c>
      <c r="M111" t="s">
        <v>93</v>
      </c>
      <c r="N111" t="s">
        <v>94</v>
      </c>
      <c r="O111" t="s">
        <v>179</v>
      </c>
      <c r="P111" t="s">
        <v>95</v>
      </c>
      <c r="Q111" t="s">
        <v>96</v>
      </c>
    </row>
    <row r="112" spans="1:17" ht="16.5" thickBot="1" x14ac:dyDescent="0.3">
      <c r="A112" s="6">
        <v>44706</v>
      </c>
      <c r="B112">
        <v>870</v>
      </c>
      <c r="C112">
        <v>1020</v>
      </c>
      <c r="D112">
        <f t="shared" si="3"/>
        <v>1143</v>
      </c>
      <c r="E112">
        <f t="shared" si="4"/>
        <v>8.7489063867016625</v>
      </c>
      <c r="F112" s="3">
        <v>3.3299999999999998E-7</v>
      </c>
      <c r="H112">
        <v>0.60199999999999998</v>
      </c>
      <c r="K112" s="35">
        <v>6.0959300000000001</v>
      </c>
      <c r="L112" s="31">
        <f>$L$22/2/10</f>
        <v>0.30479650000000003</v>
      </c>
      <c r="M112" s="32">
        <v>0.4</v>
      </c>
      <c r="N112" s="31">
        <f>L112*M112</f>
        <v>0.12191860000000002</v>
      </c>
      <c r="O112" s="32">
        <v>50</v>
      </c>
      <c r="P112" s="33">
        <f>O112/N112</f>
        <v>410.1096961415239</v>
      </c>
      <c r="Q112" s="34">
        <f>P112/60</f>
        <v>6.835161602358732</v>
      </c>
    </row>
    <row r="113" spans="1:8" ht="16.5" thickTop="1" x14ac:dyDescent="0.25">
      <c r="B113">
        <v>850</v>
      </c>
      <c r="C113">
        <v>1000</v>
      </c>
      <c r="D113">
        <f t="shared" si="3"/>
        <v>1123</v>
      </c>
      <c r="E113">
        <f t="shared" si="4"/>
        <v>8.9047195013357072</v>
      </c>
      <c r="F113" s="3">
        <v>2.1500000000000001E-7</v>
      </c>
    </row>
    <row r="114" spans="1:8" x14ac:dyDescent="0.25">
      <c r="A114" s="6">
        <v>44707</v>
      </c>
      <c r="B114">
        <v>837</v>
      </c>
      <c r="C114">
        <v>987</v>
      </c>
      <c r="D114">
        <f t="shared" si="3"/>
        <v>1110</v>
      </c>
      <c r="E114">
        <f t="shared" si="4"/>
        <v>9.0090090090090094</v>
      </c>
      <c r="F114" s="3">
        <v>1.6999999999999999E-7</v>
      </c>
      <c r="H114">
        <v>0.30099999999999999</v>
      </c>
    </row>
    <row r="115" spans="1:8" x14ac:dyDescent="0.25">
      <c r="A115" s="6">
        <v>44715</v>
      </c>
      <c r="B115">
        <v>890</v>
      </c>
      <c r="C115">
        <v>1040</v>
      </c>
      <c r="D115">
        <f t="shared" si="3"/>
        <v>1163</v>
      </c>
      <c r="E115">
        <f t="shared" si="4"/>
        <v>8.5984522785898534</v>
      </c>
      <c r="F115" s="3">
        <v>5.0999999999999999E-7</v>
      </c>
      <c r="H115">
        <v>0.89800000000000002</v>
      </c>
    </row>
    <row r="116" spans="1:8" x14ac:dyDescent="0.25">
      <c r="B116">
        <v>837</v>
      </c>
      <c r="C116">
        <v>987</v>
      </c>
      <c r="D116">
        <f t="shared" si="3"/>
        <v>1110</v>
      </c>
      <c r="E116">
        <f t="shared" si="4"/>
        <v>9.0090090090090094</v>
      </c>
      <c r="F116" s="3">
        <v>1.68E-7</v>
      </c>
    </row>
    <row r="117" spans="1:8" x14ac:dyDescent="0.25">
      <c r="A117" s="6">
        <v>44718</v>
      </c>
      <c r="B117">
        <v>890</v>
      </c>
      <c r="C117">
        <v>1040</v>
      </c>
      <c r="D117">
        <f t="shared" si="3"/>
        <v>1163</v>
      </c>
      <c r="E117">
        <f t="shared" si="4"/>
        <v>8.5984522785898534</v>
      </c>
      <c r="F117" s="3">
        <v>5.0399999999999996E-7</v>
      </c>
      <c r="H117">
        <v>0.89</v>
      </c>
    </row>
    <row r="118" spans="1:8" x14ac:dyDescent="0.25">
      <c r="A118" s="6">
        <v>44719</v>
      </c>
      <c r="B118">
        <v>837</v>
      </c>
      <c r="C118">
        <v>987</v>
      </c>
      <c r="D118">
        <f t="shared" si="3"/>
        <v>1110</v>
      </c>
      <c r="E118">
        <f t="shared" si="4"/>
        <v>9.0090090090090094</v>
      </c>
      <c r="F118" s="3">
        <v>1.67E-7</v>
      </c>
    </row>
    <row r="119" spans="1:8" x14ac:dyDescent="0.25">
      <c r="A119" s="6">
        <v>44741</v>
      </c>
      <c r="B119">
        <v>837</v>
      </c>
      <c r="C119">
        <v>987</v>
      </c>
      <c r="D119">
        <f t="shared" si="3"/>
        <v>1110</v>
      </c>
      <c r="E119">
        <f t="shared" si="4"/>
        <v>9.0090090090090094</v>
      </c>
      <c r="F119" s="3">
        <v>1.6999999999999999E-7</v>
      </c>
    </row>
    <row r="120" spans="1:8" x14ac:dyDescent="0.25">
      <c r="A120" s="6">
        <v>44753</v>
      </c>
      <c r="B120">
        <v>890</v>
      </c>
      <c r="C120">
        <v>1040</v>
      </c>
      <c r="D120">
        <f t="shared" si="3"/>
        <v>1163</v>
      </c>
      <c r="E120">
        <f t="shared" si="4"/>
        <v>8.5984522785898534</v>
      </c>
      <c r="F120" s="3">
        <v>5.0999999999999999E-7</v>
      </c>
    </row>
    <row r="121" spans="1:8" x14ac:dyDescent="0.25">
      <c r="B121">
        <v>865</v>
      </c>
      <c r="C121">
        <v>1015</v>
      </c>
      <c r="D121">
        <f t="shared" si="3"/>
        <v>1138</v>
      </c>
      <c r="E121">
        <f t="shared" si="4"/>
        <v>8.7873462214411244</v>
      </c>
      <c r="F121" s="3">
        <v>2.9900000000000002E-7</v>
      </c>
    </row>
    <row r="122" spans="1:8" x14ac:dyDescent="0.25">
      <c r="B122">
        <v>837</v>
      </c>
      <c r="C122">
        <v>987</v>
      </c>
      <c r="D122">
        <f t="shared" si="3"/>
        <v>1110</v>
      </c>
      <c r="E122">
        <f t="shared" si="4"/>
        <v>9.0090090090090094</v>
      </c>
      <c r="F122" s="3">
        <v>1.6500000000000001E-7</v>
      </c>
    </row>
    <row r="123" spans="1:8" x14ac:dyDescent="0.25">
      <c r="A123" s="6">
        <v>44771</v>
      </c>
      <c r="B123">
        <v>890</v>
      </c>
      <c r="C123">
        <v>1040</v>
      </c>
      <c r="D123">
        <f t="shared" si="3"/>
        <v>1163</v>
      </c>
      <c r="E123">
        <f t="shared" si="4"/>
        <v>8.5984522785898534</v>
      </c>
      <c r="F123" s="3">
        <v>4.9900000000000001E-7</v>
      </c>
    </row>
    <row r="124" spans="1:8" x14ac:dyDescent="0.25">
      <c r="B124">
        <v>837</v>
      </c>
      <c r="C124">
        <v>987</v>
      </c>
      <c r="D124">
        <f t="shared" si="3"/>
        <v>1110</v>
      </c>
      <c r="E124">
        <f t="shared" si="4"/>
        <v>9.0090090090090094</v>
      </c>
      <c r="F124" s="3">
        <v>1.6199999999999999E-7</v>
      </c>
    </row>
    <row r="125" spans="1:8" x14ac:dyDescent="0.25">
      <c r="A125" s="6">
        <v>44775</v>
      </c>
      <c r="B125">
        <v>890</v>
      </c>
      <c r="C125">
        <v>1040</v>
      </c>
      <c r="D125">
        <f t="shared" si="3"/>
        <v>1163</v>
      </c>
      <c r="E125">
        <f t="shared" si="4"/>
        <v>8.5984522785898534</v>
      </c>
      <c r="F125" s="3">
        <v>4.8999999999999997E-7</v>
      </c>
    </row>
    <row r="126" spans="1:8" x14ac:dyDescent="0.25">
      <c r="B126">
        <v>892</v>
      </c>
      <c r="C126">
        <v>1042</v>
      </c>
      <c r="D126">
        <f t="shared" si="3"/>
        <v>1165</v>
      </c>
      <c r="E126">
        <f t="shared" si="4"/>
        <v>8.5836909871244629</v>
      </c>
      <c r="F126" s="3">
        <v>5.0399999999999996E-7</v>
      </c>
    </row>
    <row r="127" spans="1:8" x14ac:dyDescent="0.25">
      <c r="A127" s="6">
        <v>44776</v>
      </c>
      <c r="B127">
        <v>870</v>
      </c>
      <c r="C127">
        <v>1020</v>
      </c>
      <c r="D127">
        <f t="shared" si="3"/>
        <v>1143</v>
      </c>
      <c r="E127">
        <f t="shared" si="4"/>
        <v>8.7489063867016625</v>
      </c>
      <c r="F127" s="3">
        <v>3.2300000000000002E-7</v>
      </c>
    </row>
    <row r="128" spans="1:8" x14ac:dyDescent="0.25">
      <c r="B128">
        <v>872</v>
      </c>
      <c r="C128">
        <v>1022</v>
      </c>
      <c r="D128">
        <f t="shared" si="3"/>
        <v>1145</v>
      </c>
      <c r="E128">
        <f t="shared" si="4"/>
        <v>8.7336244541484724</v>
      </c>
      <c r="F128" s="3">
        <v>3.3299999999999998E-7</v>
      </c>
      <c r="H128">
        <v>0.64600000000000002</v>
      </c>
    </row>
    <row r="129" spans="1:15" x14ac:dyDescent="0.25">
      <c r="A129" s="6">
        <v>44778</v>
      </c>
      <c r="B129">
        <v>850</v>
      </c>
      <c r="C129">
        <v>1000</v>
      </c>
      <c r="D129">
        <f t="shared" si="3"/>
        <v>1123</v>
      </c>
      <c r="E129">
        <f t="shared" si="4"/>
        <v>8.9047195013357072</v>
      </c>
      <c r="F129" s="3">
        <v>2.22E-7</v>
      </c>
    </row>
    <row r="130" spans="1:15" x14ac:dyDescent="0.25">
      <c r="B130">
        <v>852</v>
      </c>
      <c r="C130">
        <v>1002</v>
      </c>
      <c r="D130">
        <f t="shared" si="3"/>
        <v>1125</v>
      </c>
      <c r="E130">
        <f t="shared" si="4"/>
        <v>8.8888888888888893</v>
      </c>
      <c r="F130" s="3">
        <v>2.28E-7</v>
      </c>
      <c r="H130">
        <v>0.39900000000000002</v>
      </c>
    </row>
    <row r="131" spans="1:15" x14ac:dyDescent="0.25">
      <c r="A131" s="6">
        <v>44784</v>
      </c>
    </row>
    <row r="132" spans="1:15" x14ac:dyDescent="0.25">
      <c r="A132" s="6">
        <v>44785</v>
      </c>
      <c r="B132">
        <v>852</v>
      </c>
      <c r="C132">
        <v>1002</v>
      </c>
      <c r="D132">
        <f t="shared" ref="D132:D174" si="5">B132+273</f>
        <v>1125</v>
      </c>
      <c r="E132">
        <f t="shared" ref="E132:E174" si="6">10000/D132</f>
        <v>8.8888888888888893</v>
      </c>
      <c r="F132" s="3">
        <v>2.2600000000000001E-7</v>
      </c>
      <c r="H132">
        <v>0.40600000000000003</v>
      </c>
    </row>
    <row r="133" spans="1:15" x14ac:dyDescent="0.25">
      <c r="A133" s="6">
        <v>44789</v>
      </c>
      <c r="B133">
        <v>893</v>
      </c>
      <c r="C133">
        <v>1043</v>
      </c>
      <c r="D133">
        <f t="shared" si="5"/>
        <v>1166</v>
      </c>
      <c r="E133">
        <f t="shared" si="6"/>
        <v>8.5763293310463116</v>
      </c>
      <c r="F133" s="3">
        <v>5.1500000000000005E-7</v>
      </c>
    </row>
    <row r="134" spans="1:15" x14ac:dyDescent="0.25">
      <c r="B134">
        <v>827</v>
      </c>
      <c r="C134">
        <v>977</v>
      </c>
      <c r="D134">
        <f t="shared" si="5"/>
        <v>1100</v>
      </c>
      <c r="E134">
        <f t="shared" si="6"/>
        <v>9.0909090909090917</v>
      </c>
      <c r="F134" s="3">
        <v>1.3199999999999999E-7</v>
      </c>
    </row>
    <row r="135" spans="1:15" x14ac:dyDescent="0.25">
      <c r="A135" s="6">
        <v>44797</v>
      </c>
      <c r="B135">
        <v>893</v>
      </c>
      <c r="C135">
        <v>1043</v>
      </c>
      <c r="D135">
        <f t="shared" si="5"/>
        <v>1166</v>
      </c>
      <c r="E135">
        <f t="shared" si="6"/>
        <v>8.5763293310463116</v>
      </c>
      <c r="F135" s="3">
        <v>5.2200000000000004E-7</v>
      </c>
    </row>
    <row r="136" spans="1:15" x14ac:dyDescent="0.25">
      <c r="B136">
        <v>892</v>
      </c>
      <c r="C136">
        <v>1042</v>
      </c>
      <c r="D136">
        <f t="shared" si="5"/>
        <v>1165</v>
      </c>
      <c r="E136">
        <f t="shared" si="6"/>
        <v>8.5836909871244629</v>
      </c>
      <c r="F136" s="3">
        <v>5.0500000000000004E-7</v>
      </c>
    </row>
    <row r="137" spans="1:15" x14ac:dyDescent="0.25">
      <c r="B137">
        <v>837</v>
      </c>
      <c r="C137">
        <v>987</v>
      </c>
      <c r="D137">
        <f t="shared" si="5"/>
        <v>1110</v>
      </c>
      <c r="E137">
        <f t="shared" si="6"/>
        <v>9.0090090090090094</v>
      </c>
      <c r="F137" s="3">
        <v>1.6299999999999999E-7</v>
      </c>
    </row>
    <row r="138" spans="1:15" x14ac:dyDescent="0.25">
      <c r="B138">
        <v>827</v>
      </c>
      <c r="C138">
        <v>977</v>
      </c>
      <c r="D138">
        <f t="shared" si="5"/>
        <v>1100</v>
      </c>
      <c r="E138">
        <f t="shared" si="6"/>
        <v>9.0909090909090917</v>
      </c>
      <c r="F138" s="3">
        <v>1.3E-7</v>
      </c>
    </row>
    <row r="139" spans="1:15" x14ac:dyDescent="0.25">
      <c r="A139" s="6">
        <v>44798</v>
      </c>
      <c r="B139">
        <v>851</v>
      </c>
      <c r="C139">
        <v>1001</v>
      </c>
      <c r="D139">
        <f t="shared" si="5"/>
        <v>1124</v>
      </c>
      <c r="E139">
        <f t="shared" si="6"/>
        <v>8.8967971530249113</v>
      </c>
      <c r="F139" s="3">
        <v>2.2700000000000001E-7</v>
      </c>
      <c r="H139">
        <v>0.39</v>
      </c>
    </row>
    <row r="140" spans="1:15" x14ac:dyDescent="0.25">
      <c r="M140" s="37"/>
    </row>
    <row r="141" spans="1:15" x14ac:dyDescent="0.25">
      <c r="A141" s="6">
        <v>44800</v>
      </c>
      <c r="B141">
        <v>827</v>
      </c>
      <c r="C141">
        <v>977</v>
      </c>
      <c r="D141">
        <f t="shared" si="5"/>
        <v>1100</v>
      </c>
      <c r="E141">
        <f t="shared" si="6"/>
        <v>9.0909090909090917</v>
      </c>
      <c r="F141" s="3">
        <v>1.31E-7</v>
      </c>
    </row>
    <row r="142" spans="1:15" x14ac:dyDescent="0.25">
      <c r="B142">
        <v>893</v>
      </c>
      <c r="C142">
        <v>1043</v>
      </c>
      <c r="D142">
        <f t="shared" si="5"/>
        <v>1166</v>
      </c>
      <c r="E142">
        <f t="shared" si="6"/>
        <v>8.5763293310463116</v>
      </c>
      <c r="F142" s="3">
        <v>5.1799999999999995E-7</v>
      </c>
      <c r="H142">
        <v>0.92</v>
      </c>
      <c r="K142" s="3"/>
      <c r="L142" s="3"/>
      <c r="M142" s="3"/>
      <c r="N142" s="3"/>
      <c r="O142" s="3"/>
    </row>
    <row r="143" spans="1:15" x14ac:dyDescent="0.25">
      <c r="A143" s="6">
        <v>44802</v>
      </c>
      <c r="B143">
        <v>893</v>
      </c>
      <c r="C143">
        <v>1043</v>
      </c>
      <c r="D143">
        <f t="shared" si="5"/>
        <v>1166</v>
      </c>
      <c r="E143">
        <f t="shared" si="6"/>
        <v>8.5763293310463116</v>
      </c>
      <c r="F143" s="3">
        <v>5.2E-7</v>
      </c>
    </row>
    <row r="144" spans="1:15" x14ac:dyDescent="0.25">
      <c r="B144">
        <v>870</v>
      </c>
      <c r="C144">
        <v>1020</v>
      </c>
      <c r="D144">
        <f t="shared" si="5"/>
        <v>1143</v>
      </c>
      <c r="E144">
        <f t="shared" si="6"/>
        <v>8.7489063867016625</v>
      </c>
      <c r="F144" s="3">
        <v>3.2000000000000001E-7</v>
      </c>
      <c r="N144" s="3"/>
    </row>
    <row r="145" spans="1:18" x14ac:dyDescent="0.25">
      <c r="A145" s="6">
        <v>44804</v>
      </c>
      <c r="B145">
        <v>827</v>
      </c>
      <c r="C145">
        <v>977</v>
      </c>
      <c r="D145">
        <f t="shared" si="5"/>
        <v>1100</v>
      </c>
      <c r="E145">
        <f t="shared" si="6"/>
        <v>9.0909090909090917</v>
      </c>
      <c r="F145" s="3">
        <v>1.3400000000000001E-7</v>
      </c>
      <c r="L145" s="3"/>
    </row>
    <row r="146" spans="1:18" x14ac:dyDescent="0.25">
      <c r="B146">
        <v>837</v>
      </c>
      <c r="C146">
        <v>987</v>
      </c>
      <c r="D146">
        <f t="shared" si="5"/>
        <v>1110</v>
      </c>
      <c r="E146">
        <f t="shared" si="6"/>
        <v>9.0090090090090094</v>
      </c>
      <c r="F146" s="3">
        <v>1.6999999999999999E-7</v>
      </c>
    </row>
    <row r="147" spans="1:18" x14ac:dyDescent="0.25">
      <c r="A147" s="6">
        <v>44812</v>
      </c>
      <c r="B147">
        <v>827</v>
      </c>
      <c r="C147">
        <v>977</v>
      </c>
      <c r="D147">
        <f t="shared" si="5"/>
        <v>1100</v>
      </c>
      <c r="E147">
        <f t="shared" si="6"/>
        <v>9.0909090909090917</v>
      </c>
      <c r="F147" s="3">
        <v>1.31E-7</v>
      </c>
      <c r="K147" s="63" t="s">
        <v>219</v>
      </c>
      <c r="L147" s="63"/>
      <c r="M147" s="63"/>
      <c r="N147" s="63"/>
      <c r="O147" s="71" t="s">
        <v>221</v>
      </c>
      <c r="P147" s="71"/>
      <c r="Q147" s="71"/>
      <c r="R147" s="71"/>
    </row>
    <row r="148" spans="1:18" x14ac:dyDescent="0.25">
      <c r="B148">
        <v>893</v>
      </c>
      <c r="C148">
        <v>1043</v>
      </c>
      <c r="D148">
        <f t="shared" si="5"/>
        <v>1166</v>
      </c>
      <c r="E148">
        <f t="shared" si="6"/>
        <v>8.5763293310463116</v>
      </c>
      <c r="F148" s="3">
        <v>4.9999999999999998E-7</v>
      </c>
      <c r="K148" s="63" t="s">
        <v>174</v>
      </c>
      <c r="L148" s="63" t="s">
        <v>191</v>
      </c>
      <c r="M148" s="63" t="s">
        <v>220</v>
      </c>
      <c r="N148" s="63" t="s">
        <v>218</v>
      </c>
      <c r="O148" s="71" t="s">
        <v>12</v>
      </c>
      <c r="P148" s="71" t="s">
        <v>38</v>
      </c>
      <c r="Q148" s="71" t="s">
        <v>39</v>
      </c>
      <c r="R148" s="71" t="s">
        <v>222</v>
      </c>
    </row>
    <row r="149" spans="1:18" x14ac:dyDescent="0.25">
      <c r="B149">
        <v>894</v>
      </c>
      <c r="C149">
        <v>1044</v>
      </c>
      <c r="D149">
        <f t="shared" si="5"/>
        <v>1167</v>
      </c>
      <c r="E149">
        <f t="shared" si="6"/>
        <v>8.5689802913453299</v>
      </c>
      <c r="F149" s="3">
        <v>4.9999999999999998E-7</v>
      </c>
      <c r="K149" s="62">
        <v>898</v>
      </c>
      <c r="L149" s="64">
        <v>5.8800000000000001E-15</v>
      </c>
      <c r="M149" s="64">
        <v>2.0500000000000001E-2</v>
      </c>
      <c r="N149" s="64">
        <f>L149*EXP(M149*K149)</f>
        <v>5.8117168012176661E-7</v>
      </c>
      <c r="O149" s="64">
        <v>2.2600000000000001E-7</v>
      </c>
      <c r="P149" s="64">
        <v>1860900</v>
      </c>
      <c r="Q149" s="64">
        <v>-8.8173999999999995E-3</v>
      </c>
      <c r="R149" s="72">
        <f>O149*P149+Q149</f>
        <v>0.41174600000000006</v>
      </c>
    </row>
    <row r="150" spans="1:18" x14ac:dyDescent="0.25">
      <c r="A150" s="6">
        <v>44814</v>
      </c>
      <c r="B150">
        <v>827</v>
      </c>
      <c r="C150">
        <v>977</v>
      </c>
      <c r="D150">
        <f t="shared" si="5"/>
        <v>1100</v>
      </c>
      <c r="E150">
        <f t="shared" si="6"/>
        <v>9.0909090909090917</v>
      </c>
      <c r="F150" s="3">
        <v>1.29E-7</v>
      </c>
    </row>
    <row r="151" spans="1:18" x14ac:dyDescent="0.25">
      <c r="A151" s="6">
        <v>44834</v>
      </c>
      <c r="B151">
        <v>854</v>
      </c>
      <c r="C151">
        <v>1004</v>
      </c>
      <c r="D151">
        <f t="shared" si="5"/>
        <v>1127</v>
      </c>
      <c r="E151">
        <f t="shared" si="6"/>
        <v>8.8731144631765755</v>
      </c>
      <c r="F151" s="3">
        <v>2.2600000000000001E-7</v>
      </c>
      <c r="K151" t="s">
        <v>177</v>
      </c>
      <c r="L151" t="s">
        <v>178</v>
      </c>
      <c r="M151" t="s">
        <v>93</v>
      </c>
      <c r="N151" t="s">
        <v>94</v>
      </c>
      <c r="O151" t="s">
        <v>179</v>
      </c>
      <c r="P151" t="s">
        <v>95</v>
      </c>
      <c r="Q151" t="s">
        <v>96</v>
      </c>
    </row>
    <row r="152" spans="1:18" ht="16.5" thickBot="1" x14ac:dyDescent="0.3">
      <c r="A152" s="6">
        <v>44840</v>
      </c>
      <c r="B152">
        <v>853</v>
      </c>
      <c r="C152">
        <v>1003</v>
      </c>
      <c r="D152">
        <f t="shared" si="5"/>
        <v>1126</v>
      </c>
      <c r="E152">
        <f t="shared" si="6"/>
        <v>8.8809946714031973</v>
      </c>
      <c r="F152" s="3">
        <v>2.2700000000000001E-7</v>
      </c>
      <c r="H152">
        <v>0.39</v>
      </c>
      <c r="K152" s="35">
        <v>6.0959300000000001</v>
      </c>
      <c r="L152" s="31">
        <f>$L$22/2/10</f>
        <v>0.30479650000000003</v>
      </c>
      <c r="M152" s="32">
        <v>0.36</v>
      </c>
      <c r="N152" s="31">
        <f>L152*M152</f>
        <v>0.10972674</v>
      </c>
      <c r="O152" s="32">
        <v>200</v>
      </c>
      <c r="P152" s="33">
        <f>O152/N152</f>
        <v>1822.7097606289951</v>
      </c>
      <c r="Q152" s="34">
        <f>P152/60</f>
        <v>30.378496010483254</v>
      </c>
    </row>
    <row r="153" spans="1:18" ht="16.5" thickTop="1" x14ac:dyDescent="0.25">
      <c r="A153" s="6">
        <v>44847</v>
      </c>
      <c r="B153">
        <v>853</v>
      </c>
      <c r="C153">
        <v>1003</v>
      </c>
      <c r="D153">
        <f t="shared" si="5"/>
        <v>1126</v>
      </c>
      <c r="E153">
        <f t="shared" si="6"/>
        <v>8.8809946714031973</v>
      </c>
      <c r="F153" s="3">
        <v>2.2399999999999999E-7</v>
      </c>
      <c r="H153">
        <v>0.38</v>
      </c>
    </row>
    <row r="154" spans="1:18" x14ac:dyDescent="0.25">
      <c r="A154" s="6">
        <v>44853</v>
      </c>
      <c r="B154">
        <v>854</v>
      </c>
      <c r="C154">
        <v>1004</v>
      </c>
      <c r="D154">
        <f t="shared" si="5"/>
        <v>1127</v>
      </c>
      <c r="E154">
        <f t="shared" si="6"/>
        <v>8.8731144631765755</v>
      </c>
      <c r="F154" s="3">
        <v>2.28E-7</v>
      </c>
      <c r="H154">
        <v>0.38</v>
      </c>
      <c r="J154" t="s">
        <v>199</v>
      </c>
      <c r="K154" t="s">
        <v>200</v>
      </c>
    </row>
    <row r="155" spans="1:18" ht="30" customHeight="1" x14ac:dyDescent="0.25">
      <c r="A155" s="6">
        <v>44862</v>
      </c>
      <c r="B155">
        <v>872</v>
      </c>
      <c r="C155">
        <v>1022</v>
      </c>
      <c r="D155">
        <f t="shared" si="5"/>
        <v>1145</v>
      </c>
      <c r="E155">
        <f t="shared" si="6"/>
        <v>8.7336244541484724</v>
      </c>
      <c r="F155" s="3">
        <v>3.3200000000000001E-7</v>
      </c>
      <c r="H155" s="70">
        <v>0.72</v>
      </c>
      <c r="I155" s="70" t="s">
        <v>198</v>
      </c>
      <c r="J155">
        <v>0.26900000000000002</v>
      </c>
      <c r="K155">
        <f>J155/(J155+H155)</f>
        <v>0.2719919110212336</v>
      </c>
    </row>
    <row r="156" spans="1:18" x14ac:dyDescent="0.25">
      <c r="A156" s="6">
        <v>44868</v>
      </c>
      <c r="B156">
        <v>855</v>
      </c>
      <c r="C156">
        <v>1005</v>
      </c>
      <c r="D156">
        <f t="shared" si="5"/>
        <v>1128</v>
      </c>
      <c r="E156">
        <f t="shared" si="6"/>
        <v>8.8652482269503547</v>
      </c>
      <c r="F156" s="3">
        <v>2.2999999999999999E-7</v>
      </c>
    </row>
    <row r="157" spans="1:18" x14ac:dyDescent="0.25">
      <c r="B157">
        <v>893</v>
      </c>
      <c r="C157">
        <v>1043</v>
      </c>
      <c r="D157">
        <f t="shared" si="5"/>
        <v>1166</v>
      </c>
      <c r="E157">
        <f t="shared" si="6"/>
        <v>8.5763293310463116</v>
      </c>
      <c r="F157" s="3">
        <v>5.0100000000000005E-7</v>
      </c>
    </row>
    <row r="158" spans="1:18" x14ac:dyDescent="0.25">
      <c r="A158" s="6">
        <v>44887</v>
      </c>
      <c r="B158">
        <v>870</v>
      </c>
      <c r="C158">
        <v>1020</v>
      </c>
      <c r="D158">
        <f t="shared" si="5"/>
        <v>1143</v>
      </c>
      <c r="E158">
        <f t="shared" si="6"/>
        <v>8.7489063867016625</v>
      </c>
      <c r="F158" s="3">
        <v>3.4799999999999999E-7</v>
      </c>
      <c r="H158">
        <v>0.66500000000000004</v>
      </c>
      <c r="J158" t="s">
        <v>213</v>
      </c>
    </row>
    <row r="159" spans="1:18" x14ac:dyDescent="0.25">
      <c r="A159" s="6">
        <v>44896</v>
      </c>
      <c r="B159">
        <v>855</v>
      </c>
      <c r="C159">
        <v>1005</v>
      </c>
      <c r="D159">
        <f t="shared" si="5"/>
        <v>1128</v>
      </c>
      <c r="E159">
        <f t="shared" si="6"/>
        <v>8.8652482269503547</v>
      </c>
      <c r="F159" s="3">
        <v>2.28E-7</v>
      </c>
      <c r="H159">
        <v>0.41</v>
      </c>
    </row>
    <row r="160" spans="1:18" x14ac:dyDescent="0.25">
      <c r="A160" s="6">
        <v>44901</v>
      </c>
      <c r="B160">
        <v>870</v>
      </c>
      <c r="C160">
        <v>1020</v>
      </c>
      <c r="D160">
        <f t="shared" si="5"/>
        <v>1143</v>
      </c>
      <c r="E160">
        <f t="shared" si="6"/>
        <v>8.7489063867016625</v>
      </c>
      <c r="F160" s="3">
        <v>3.3000000000000002E-7</v>
      </c>
      <c r="H160">
        <v>0.61199999999999999</v>
      </c>
    </row>
    <row r="161" spans="1:9" x14ac:dyDescent="0.25">
      <c r="A161" s="6">
        <v>44903</v>
      </c>
      <c r="B161">
        <v>855</v>
      </c>
      <c r="C161">
        <v>1005</v>
      </c>
      <c r="D161">
        <f t="shared" si="5"/>
        <v>1128</v>
      </c>
      <c r="E161">
        <f t="shared" si="6"/>
        <v>8.8652482269503547</v>
      </c>
      <c r="F161" s="3">
        <v>2.2600000000000001E-7</v>
      </c>
      <c r="H161">
        <v>0.438</v>
      </c>
    </row>
    <row r="162" spans="1:9" x14ac:dyDescent="0.25">
      <c r="A162" s="6">
        <v>44909</v>
      </c>
      <c r="B162">
        <v>850</v>
      </c>
      <c r="C162">
        <v>1000</v>
      </c>
      <c r="D162">
        <f t="shared" si="5"/>
        <v>1123</v>
      </c>
      <c r="E162">
        <f t="shared" si="6"/>
        <v>8.9047195013357072</v>
      </c>
      <c r="F162" s="3">
        <v>2.2399999999999999E-7</v>
      </c>
    </row>
    <row r="163" spans="1:9" x14ac:dyDescent="0.25">
      <c r="A163" s="6">
        <v>44914</v>
      </c>
      <c r="B163">
        <v>850</v>
      </c>
      <c r="C163">
        <v>1000</v>
      </c>
      <c r="D163">
        <f t="shared" si="5"/>
        <v>1123</v>
      </c>
      <c r="E163">
        <f t="shared" si="6"/>
        <v>8.9047195013357072</v>
      </c>
      <c r="F163" s="3">
        <v>2.05E-7</v>
      </c>
    </row>
    <row r="164" spans="1:9" x14ac:dyDescent="0.25">
      <c r="A164" s="6">
        <v>44931</v>
      </c>
      <c r="B164">
        <v>850</v>
      </c>
      <c r="C164">
        <v>1000</v>
      </c>
      <c r="D164">
        <f t="shared" si="5"/>
        <v>1123</v>
      </c>
      <c r="E164">
        <f t="shared" si="6"/>
        <v>8.9047195013357072</v>
      </c>
      <c r="F164" s="3">
        <v>2.1E-7</v>
      </c>
    </row>
    <row r="165" spans="1:9" x14ac:dyDescent="0.25">
      <c r="A165" s="6">
        <v>44938</v>
      </c>
      <c r="B165">
        <v>893</v>
      </c>
      <c r="C165">
        <v>1043</v>
      </c>
      <c r="D165">
        <f t="shared" si="5"/>
        <v>1166</v>
      </c>
      <c r="E165">
        <f t="shared" si="6"/>
        <v>8.5763293310463116</v>
      </c>
      <c r="F165" s="3">
        <v>5.0500000000000004E-7</v>
      </c>
    </row>
    <row r="166" spans="1:9" x14ac:dyDescent="0.25">
      <c r="B166">
        <v>894</v>
      </c>
      <c r="C166">
        <v>1044</v>
      </c>
      <c r="D166">
        <f t="shared" si="5"/>
        <v>1167</v>
      </c>
      <c r="E166">
        <f t="shared" si="6"/>
        <v>8.5689802913453299</v>
      </c>
      <c r="F166" s="3">
        <v>5.0299999999999999E-7</v>
      </c>
      <c r="H166">
        <v>0.94</v>
      </c>
      <c r="I166" t="s">
        <v>235</v>
      </c>
    </row>
    <row r="167" spans="1:9" x14ac:dyDescent="0.25">
      <c r="A167" s="6">
        <v>44945</v>
      </c>
      <c r="B167">
        <v>894</v>
      </c>
      <c r="C167">
        <v>1044</v>
      </c>
      <c r="D167">
        <f t="shared" si="5"/>
        <v>1167</v>
      </c>
      <c r="E167">
        <f t="shared" si="6"/>
        <v>8.5689802913453299</v>
      </c>
      <c r="F167" s="3">
        <v>5.2E-7</v>
      </c>
      <c r="H167">
        <v>0.96</v>
      </c>
    </row>
    <row r="168" spans="1:9" x14ac:dyDescent="0.25">
      <c r="A168" s="6">
        <v>44959</v>
      </c>
      <c r="B168">
        <v>894</v>
      </c>
      <c r="C168">
        <v>1044</v>
      </c>
      <c r="D168">
        <f t="shared" si="5"/>
        <v>1167</v>
      </c>
      <c r="E168">
        <f t="shared" si="6"/>
        <v>8.5689802913453299</v>
      </c>
      <c r="F168" s="3">
        <v>5.3499999999999996E-7</v>
      </c>
      <c r="H168">
        <v>0.98</v>
      </c>
    </row>
    <row r="169" spans="1:9" x14ac:dyDescent="0.25">
      <c r="A169" s="6">
        <v>44986</v>
      </c>
      <c r="B169">
        <v>894</v>
      </c>
      <c r="C169">
        <v>1044</v>
      </c>
      <c r="D169">
        <f t="shared" si="5"/>
        <v>1167</v>
      </c>
      <c r="E169">
        <f t="shared" si="6"/>
        <v>8.5689802913453299</v>
      </c>
      <c r="F169" s="3">
        <v>4.5999999999999999E-7</v>
      </c>
      <c r="H169">
        <v>1.06</v>
      </c>
      <c r="I169" t="s">
        <v>238</v>
      </c>
    </row>
    <row r="170" spans="1:9" x14ac:dyDescent="0.25">
      <c r="B170">
        <v>898</v>
      </c>
      <c r="C170">
        <v>1048</v>
      </c>
      <c r="D170">
        <f t="shared" si="5"/>
        <v>1171</v>
      </c>
      <c r="E170">
        <f t="shared" si="6"/>
        <v>8.5397096498719041</v>
      </c>
      <c r="F170" s="3">
        <v>5.2E-7</v>
      </c>
      <c r="H170">
        <v>1.17</v>
      </c>
    </row>
    <row r="171" spans="1:9" x14ac:dyDescent="0.25">
      <c r="A171" s="6">
        <v>44991</v>
      </c>
      <c r="B171">
        <v>894</v>
      </c>
      <c r="C171">
        <v>1044</v>
      </c>
      <c r="D171">
        <f t="shared" si="5"/>
        <v>1167</v>
      </c>
      <c r="E171">
        <f t="shared" si="6"/>
        <v>8.5689802913453299</v>
      </c>
      <c r="F171" s="3">
        <v>4.2599999999999998E-7</v>
      </c>
      <c r="H171">
        <v>0.95</v>
      </c>
    </row>
    <row r="172" spans="1:9" x14ac:dyDescent="0.25">
      <c r="B172">
        <v>827</v>
      </c>
      <c r="C172">
        <v>977</v>
      </c>
      <c r="D172">
        <f t="shared" si="5"/>
        <v>1100</v>
      </c>
      <c r="E172">
        <f t="shared" si="6"/>
        <v>9.0909090909090917</v>
      </c>
      <c r="F172" s="3">
        <v>1.06E-7</v>
      </c>
      <c r="H172">
        <v>0.23</v>
      </c>
    </row>
    <row r="173" spans="1:9" x14ac:dyDescent="0.25">
      <c r="A173" s="6">
        <v>45000</v>
      </c>
      <c r="B173">
        <v>894</v>
      </c>
      <c r="C173">
        <v>1044</v>
      </c>
      <c r="D173">
        <f t="shared" si="5"/>
        <v>1167</v>
      </c>
      <c r="E173">
        <f t="shared" si="6"/>
        <v>8.5689802913453299</v>
      </c>
      <c r="F173" s="3">
        <v>4.1300000000000001E-7</v>
      </c>
      <c r="H173">
        <v>0.96</v>
      </c>
    </row>
    <row r="174" spans="1:9" x14ac:dyDescent="0.25">
      <c r="B174">
        <v>830</v>
      </c>
      <c r="C174">
        <v>980</v>
      </c>
      <c r="D174">
        <f t="shared" si="5"/>
        <v>1103</v>
      </c>
      <c r="E174">
        <f t="shared" si="6"/>
        <v>9.0661831368993653</v>
      </c>
      <c r="F174" s="3">
        <v>1.11E-7</v>
      </c>
      <c r="H174">
        <v>0.23</v>
      </c>
    </row>
    <row r="175" spans="1:9" x14ac:dyDescent="0.25">
      <c r="A175" s="6">
        <v>45006</v>
      </c>
      <c r="B175">
        <v>894</v>
      </c>
      <c r="C175">
        <v>1044</v>
      </c>
      <c r="F175" s="3">
        <v>4.1300000000000001E-7</v>
      </c>
      <c r="H175">
        <v>0.96</v>
      </c>
    </row>
    <row r="176" spans="1:9" x14ac:dyDescent="0.25">
      <c r="B176">
        <v>830</v>
      </c>
      <c r="C176">
        <v>980</v>
      </c>
      <c r="F176" s="3">
        <v>1.08E-7</v>
      </c>
      <c r="H176">
        <v>0.23</v>
      </c>
    </row>
    <row r="177" spans="1:13" x14ac:dyDescent="0.25">
      <c r="A177" s="49" t="s">
        <v>245</v>
      </c>
      <c r="B177" s="49"/>
      <c r="C177" s="49"/>
      <c r="D177" s="49"/>
      <c r="E177" s="49"/>
      <c r="F177" s="49"/>
      <c r="G177" s="49"/>
      <c r="H177" s="49"/>
      <c r="I177" s="49"/>
      <c r="J177" s="49" t="s">
        <v>245</v>
      </c>
    </row>
    <row r="178" spans="1:13" x14ac:dyDescent="0.25">
      <c r="A178" s="6">
        <v>45047</v>
      </c>
      <c r="B178">
        <v>890</v>
      </c>
      <c r="C178">
        <v>1040</v>
      </c>
      <c r="D178">
        <f>B178+273</f>
        <v>1163</v>
      </c>
      <c r="E178">
        <f>10000/D178</f>
        <v>8.5984522785898534</v>
      </c>
      <c r="F178" s="3">
        <v>5.5799999999999999E-7</v>
      </c>
      <c r="H178">
        <v>1.05</v>
      </c>
    </row>
    <row r="179" spans="1:13" x14ac:dyDescent="0.25">
      <c r="B179">
        <v>850</v>
      </c>
      <c r="C179">
        <v>1000</v>
      </c>
      <c r="D179">
        <f t="shared" ref="D179:D205" si="7">B179+273</f>
        <v>1123</v>
      </c>
      <c r="E179">
        <f t="shared" ref="E179:E205" si="8">10000/D179</f>
        <v>8.9047195013357072</v>
      </c>
      <c r="F179" s="3">
        <v>2.6899999999999999E-7</v>
      </c>
      <c r="H179">
        <v>0.47499999999999998</v>
      </c>
    </row>
    <row r="180" spans="1:13" x14ac:dyDescent="0.25">
      <c r="B180">
        <v>825</v>
      </c>
      <c r="C180">
        <v>975</v>
      </c>
      <c r="D180">
        <f t="shared" si="7"/>
        <v>1098</v>
      </c>
      <c r="E180">
        <f t="shared" si="8"/>
        <v>9.1074681238615671</v>
      </c>
      <c r="F180" s="3">
        <v>1.3199999999999999E-7</v>
      </c>
      <c r="H180">
        <v>0.254</v>
      </c>
    </row>
    <row r="181" spans="1:13" x14ac:dyDescent="0.25">
      <c r="A181" s="6">
        <v>45062</v>
      </c>
      <c r="B181">
        <v>890</v>
      </c>
      <c r="C181">
        <v>1040</v>
      </c>
      <c r="D181">
        <f t="shared" si="7"/>
        <v>1163</v>
      </c>
      <c r="E181">
        <f t="shared" si="8"/>
        <v>8.5984522785898534</v>
      </c>
      <c r="F181" s="3">
        <v>5.5799999999999999E-7</v>
      </c>
      <c r="H181">
        <v>1</v>
      </c>
    </row>
    <row r="182" spans="1:13" x14ac:dyDescent="0.25">
      <c r="B182">
        <v>850</v>
      </c>
      <c r="C182">
        <v>1000</v>
      </c>
      <c r="D182">
        <f t="shared" si="7"/>
        <v>1123</v>
      </c>
      <c r="E182">
        <f t="shared" si="8"/>
        <v>8.9047195013357072</v>
      </c>
      <c r="F182" s="3">
        <v>2.6899999999999999E-7</v>
      </c>
      <c r="H182">
        <v>0.45</v>
      </c>
    </row>
    <row r="183" spans="1:13" x14ac:dyDescent="0.25">
      <c r="B183">
        <v>825</v>
      </c>
      <c r="C183">
        <v>975</v>
      </c>
      <c r="D183">
        <f t="shared" si="7"/>
        <v>1098</v>
      </c>
      <c r="E183">
        <f t="shared" si="8"/>
        <v>9.1074681238615671</v>
      </c>
      <c r="F183" s="3">
        <v>1.3199999999999999E-7</v>
      </c>
      <c r="H183">
        <v>0.25900000000000001</v>
      </c>
      <c r="L183" t="s">
        <v>137</v>
      </c>
      <c r="M183" t="s">
        <v>12</v>
      </c>
    </row>
    <row r="184" spans="1:13" x14ac:dyDescent="0.25">
      <c r="A184" s="6">
        <v>45069</v>
      </c>
      <c r="B184">
        <v>890</v>
      </c>
      <c r="C184">
        <v>1040</v>
      </c>
      <c r="D184">
        <f t="shared" si="7"/>
        <v>1163</v>
      </c>
      <c r="E184">
        <f t="shared" si="8"/>
        <v>8.5984522785898534</v>
      </c>
      <c r="F184" s="3">
        <v>5.3099999999999998E-7</v>
      </c>
      <c r="J184" s="3">
        <v>2.7500000000000001E-15</v>
      </c>
      <c r="K184" s="3">
        <v>2.1499999999999998E-2</v>
      </c>
      <c r="L184" s="49">
        <v>850</v>
      </c>
      <c r="M184" s="3">
        <f>J184*EXP(K184*L184)</f>
        <v>2.3771924957043128E-7</v>
      </c>
    </row>
    <row r="185" spans="1:13" x14ac:dyDescent="0.25">
      <c r="A185" s="6">
        <v>45089</v>
      </c>
      <c r="B185">
        <v>890</v>
      </c>
      <c r="C185">
        <v>1040</v>
      </c>
      <c r="D185">
        <f t="shared" si="7"/>
        <v>1163</v>
      </c>
      <c r="E185">
        <f t="shared" si="8"/>
        <v>8.5984522785898534</v>
      </c>
      <c r="F185" s="3">
        <v>5.3200000000000005E-7</v>
      </c>
    </row>
    <row r="186" spans="1:13" x14ac:dyDescent="0.25">
      <c r="B186">
        <v>850</v>
      </c>
      <c r="C186">
        <v>1000</v>
      </c>
      <c r="D186">
        <f t="shared" si="7"/>
        <v>1123</v>
      </c>
      <c r="E186">
        <f t="shared" si="8"/>
        <v>8.9047195013357072</v>
      </c>
      <c r="F186" s="3">
        <v>2.28E-7</v>
      </c>
      <c r="H186">
        <v>0.45900000000000002</v>
      </c>
      <c r="L186" t="s">
        <v>12</v>
      </c>
      <c r="M186" t="s">
        <v>11</v>
      </c>
    </row>
    <row r="187" spans="1:13" x14ac:dyDescent="0.25">
      <c r="A187" s="6">
        <v>45090</v>
      </c>
      <c r="B187">
        <v>850</v>
      </c>
      <c r="C187">
        <v>1000</v>
      </c>
      <c r="D187">
        <f t="shared" si="7"/>
        <v>1123</v>
      </c>
      <c r="E187">
        <f t="shared" si="8"/>
        <v>8.9047195013357072</v>
      </c>
      <c r="F187" s="3">
        <v>2.1400000000000001E-7</v>
      </c>
      <c r="J187" s="3">
        <v>1810000</v>
      </c>
      <c r="K187" s="3">
        <v>-9.5700000000000004E-3</v>
      </c>
      <c r="L187" s="61">
        <v>2.1299999999999999E-7</v>
      </c>
      <c r="M187" s="3">
        <f>J187*L187+K187</f>
        <v>0.37595999999999996</v>
      </c>
    </row>
    <row r="188" spans="1:13" x14ac:dyDescent="0.25">
      <c r="A188" s="6">
        <v>45092</v>
      </c>
      <c r="B188">
        <v>850</v>
      </c>
      <c r="C188">
        <v>1000</v>
      </c>
      <c r="D188">
        <f t="shared" si="7"/>
        <v>1123</v>
      </c>
      <c r="E188">
        <f t="shared" si="8"/>
        <v>8.9047195013357072</v>
      </c>
      <c r="F188" s="3">
        <v>2.3099999999999999E-7</v>
      </c>
    </row>
    <row r="189" spans="1:13" x14ac:dyDescent="0.25">
      <c r="A189" s="6">
        <v>45118</v>
      </c>
      <c r="B189">
        <v>890</v>
      </c>
      <c r="C189">
        <v>1040</v>
      </c>
      <c r="D189">
        <f t="shared" si="7"/>
        <v>1163</v>
      </c>
      <c r="E189">
        <f t="shared" si="8"/>
        <v>8.5984522785898534</v>
      </c>
      <c r="F189" s="3">
        <v>5.6599999999999996E-7</v>
      </c>
    </row>
    <row r="190" spans="1:13" x14ac:dyDescent="0.25">
      <c r="A190" s="6">
        <v>45120</v>
      </c>
      <c r="B190">
        <v>890</v>
      </c>
      <c r="C190">
        <v>1040</v>
      </c>
      <c r="D190">
        <f t="shared" si="7"/>
        <v>1163</v>
      </c>
      <c r="E190">
        <f t="shared" si="8"/>
        <v>8.5984522785898534</v>
      </c>
      <c r="F190" s="3">
        <v>5.5899999999999996E-7</v>
      </c>
    </row>
    <row r="191" spans="1:13" x14ac:dyDescent="0.25">
      <c r="A191" s="6">
        <v>45166</v>
      </c>
      <c r="B191">
        <v>850</v>
      </c>
      <c r="C191">
        <v>1000</v>
      </c>
      <c r="D191">
        <f t="shared" si="7"/>
        <v>1123</v>
      </c>
      <c r="E191">
        <f t="shared" si="8"/>
        <v>8.9047195013357072</v>
      </c>
      <c r="F191" s="3">
        <v>2.2600000000000001E-7</v>
      </c>
    </row>
    <row r="192" spans="1:13" x14ac:dyDescent="0.25">
      <c r="A192" s="6">
        <v>45177</v>
      </c>
      <c r="B192">
        <v>850</v>
      </c>
      <c r="C192">
        <v>1000</v>
      </c>
      <c r="D192">
        <f t="shared" si="7"/>
        <v>1123</v>
      </c>
      <c r="E192">
        <f t="shared" si="8"/>
        <v>8.9047195013357072</v>
      </c>
      <c r="F192" s="3">
        <v>2.2399999999999999E-7</v>
      </c>
    </row>
    <row r="193" spans="1:8" x14ac:dyDescent="0.25">
      <c r="A193" s="6"/>
    </row>
    <row r="194" spans="1:8" x14ac:dyDescent="0.25">
      <c r="A194" s="6">
        <v>45197</v>
      </c>
      <c r="B194">
        <v>850</v>
      </c>
      <c r="C194">
        <v>1000</v>
      </c>
      <c r="D194">
        <f t="shared" si="7"/>
        <v>1123</v>
      </c>
      <c r="E194">
        <f t="shared" si="8"/>
        <v>8.9047195013357072</v>
      </c>
      <c r="F194" s="3">
        <v>2.2999999999999999E-7</v>
      </c>
    </row>
    <row r="195" spans="1:8" x14ac:dyDescent="0.25">
      <c r="A195" s="6">
        <v>45199</v>
      </c>
      <c r="B195">
        <v>850</v>
      </c>
      <c r="C195">
        <v>1000</v>
      </c>
      <c r="D195">
        <f t="shared" si="7"/>
        <v>1123</v>
      </c>
      <c r="E195">
        <f t="shared" si="8"/>
        <v>8.9047195013357072</v>
      </c>
      <c r="F195" s="3">
        <v>2.2999999999999999E-7</v>
      </c>
    </row>
    <row r="196" spans="1:8" x14ac:dyDescent="0.25">
      <c r="A196" s="6">
        <v>45201</v>
      </c>
      <c r="B196">
        <v>850</v>
      </c>
      <c r="C196">
        <v>1000</v>
      </c>
      <c r="D196">
        <f t="shared" si="7"/>
        <v>1123</v>
      </c>
      <c r="E196">
        <f t="shared" si="8"/>
        <v>8.9047195013357072</v>
      </c>
      <c r="F196" s="3">
        <v>2.2399999999999999E-7</v>
      </c>
    </row>
    <row r="197" spans="1:8" x14ac:dyDescent="0.25">
      <c r="A197" s="6">
        <v>45203</v>
      </c>
      <c r="B197">
        <v>850</v>
      </c>
      <c r="C197">
        <v>1000</v>
      </c>
      <c r="D197">
        <f t="shared" si="7"/>
        <v>1123</v>
      </c>
      <c r="E197">
        <f t="shared" si="8"/>
        <v>8.9047195013357072</v>
      </c>
      <c r="F197" s="3">
        <v>2.2699999999999999E-10</v>
      </c>
    </row>
    <row r="198" spans="1:8" x14ac:dyDescent="0.25">
      <c r="A198" s="6">
        <v>45204</v>
      </c>
      <c r="B198">
        <v>850</v>
      </c>
      <c r="C198">
        <v>1000</v>
      </c>
      <c r="D198">
        <f t="shared" si="7"/>
        <v>1123</v>
      </c>
      <c r="E198">
        <f t="shared" si="8"/>
        <v>8.9047195013357072</v>
      </c>
      <c r="F198" s="3">
        <v>2.2999999999999999E-7</v>
      </c>
    </row>
    <row r="199" spans="1:8" x14ac:dyDescent="0.25">
      <c r="A199" s="6">
        <v>45205</v>
      </c>
      <c r="B199">
        <v>850</v>
      </c>
      <c r="C199">
        <v>1000</v>
      </c>
      <c r="D199">
        <f t="shared" si="7"/>
        <v>1123</v>
      </c>
      <c r="E199">
        <f t="shared" si="8"/>
        <v>8.9047195013357072</v>
      </c>
      <c r="F199" s="3">
        <v>2.34E-7</v>
      </c>
    </row>
    <row r="200" spans="1:8" x14ac:dyDescent="0.25">
      <c r="A200" s="6">
        <v>45211</v>
      </c>
      <c r="B200">
        <v>850</v>
      </c>
      <c r="C200">
        <v>1000</v>
      </c>
      <c r="D200">
        <f t="shared" si="7"/>
        <v>1123</v>
      </c>
      <c r="E200">
        <f t="shared" si="8"/>
        <v>8.9047195013357072</v>
      </c>
      <c r="F200" s="3">
        <v>2.3099999999999999E-7</v>
      </c>
    </row>
    <row r="201" spans="1:8" x14ac:dyDescent="0.25">
      <c r="A201" s="6">
        <v>45223</v>
      </c>
      <c r="B201">
        <v>890</v>
      </c>
      <c r="C201">
        <v>1040</v>
      </c>
      <c r="D201">
        <f t="shared" si="7"/>
        <v>1163</v>
      </c>
      <c r="E201">
        <f t="shared" si="8"/>
        <v>8.5984522785898534</v>
      </c>
      <c r="F201" s="3">
        <v>5.3099999999999998E-7</v>
      </c>
    </row>
    <row r="202" spans="1:8" x14ac:dyDescent="0.25">
      <c r="A202" s="6">
        <v>45226</v>
      </c>
      <c r="B202">
        <v>850</v>
      </c>
      <c r="C202">
        <v>1000</v>
      </c>
      <c r="D202">
        <f t="shared" si="7"/>
        <v>1123</v>
      </c>
      <c r="E202">
        <f t="shared" si="8"/>
        <v>8.9047195013357072</v>
      </c>
      <c r="F202" s="3">
        <v>1.9999999999999999E-7</v>
      </c>
    </row>
    <row r="203" spans="1:8" x14ac:dyDescent="0.25">
      <c r="B203">
        <v>852</v>
      </c>
      <c r="C203">
        <v>1002</v>
      </c>
      <c r="D203">
        <f t="shared" si="7"/>
        <v>1125</v>
      </c>
      <c r="E203">
        <f t="shared" si="8"/>
        <v>8.8888888888888893</v>
      </c>
    </row>
    <row r="204" spans="1:8" x14ac:dyDescent="0.25">
      <c r="A204" s="6">
        <v>45229</v>
      </c>
      <c r="B204">
        <v>850</v>
      </c>
      <c r="C204">
        <v>1000</v>
      </c>
      <c r="D204">
        <f t="shared" si="7"/>
        <v>1123</v>
      </c>
      <c r="E204">
        <f t="shared" si="8"/>
        <v>8.9047195013357072</v>
      </c>
      <c r="F204" s="3">
        <v>1.9999999999999999E-7</v>
      </c>
    </row>
    <row r="205" spans="1:8" x14ac:dyDescent="0.25">
      <c r="B205">
        <v>852</v>
      </c>
      <c r="C205">
        <v>1002</v>
      </c>
      <c r="D205">
        <f t="shared" si="7"/>
        <v>1125</v>
      </c>
      <c r="E205">
        <f t="shared" si="8"/>
        <v>8.8888888888888893</v>
      </c>
      <c r="F205" s="3">
        <v>2.1400000000000001E-7</v>
      </c>
      <c r="H205">
        <v>0.52</v>
      </c>
    </row>
    <row r="206" spans="1:8" x14ac:dyDescent="0.25">
      <c r="A206" s="6">
        <v>45251</v>
      </c>
      <c r="B206">
        <v>893</v>
      </c>
      <c r="C206">
        <v>1043</v>
      </c>
      <c r="F206" s="3">
        <v>5.4799999999999998E-7</v>
      </c>
    </row>
    <row r="1048576" spans="2:3" x14ac:dyDescent="0.25">
      <c r="B1048576">
        <v>850</v>
      </c>
      <c r="C1048576">
        <v>1000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7"/>
  <sheetViews>
    <sheetView zoomScale="78" zoomScaleNormal="78" workbookViewId="0">
      <pane ySplit="1" topLeftCell="A126" activePane="bottomLeft" state="frozen"/>
      <selection pane="bottomLeft" activeCell="A165" sqref="A165:H167"/>
    </sheetView>
  </sheetViews>
  <sheetFormatPr defaultRowHeight="15.75" x14ac:dyDescent="0.25"/>
  <cols>
    <col min="1" max="1" width="12" customWidth="1"/>
    <col min="7" max="8" width="11.875" bestFit="1" customWidth="1"/>
    <col min="9" max="9" width="9.375" bestFit="1" customWidth="1"/>
    <col min="11" max="11" width="11.375" customWidth="1"/>
    <col min="15" max="15" width="11.875" bestFit="1" customWidth="1"/>
    <col min="18" max="18" width="13" customWidth="1"/>
    <col min="19" max="19" width="12" bestFit="1" customWidth="1"/>
    <col min="20" max="20" width="13.25" customWidth="1"/>
  </cols>
  <sheetData>
    <row r="1" spans="1:10" ht="15.75" customHeight="1" x14ac:dyDescent="0.25">
      <c r="A1" s="1" t="s">
        <v>14</v>
      </c>
      <c r="B1" s="1" t="s">
        <v>2</v>
      </c>
      <c r="C1" s="1" t="s">
        <v>32</v>
      </c>
      <c r="D1" s="1" t="s">
        <v>3</v>
      </c>
      <c r="E1" s="1" t="s">
        <v>4</v>
      </c>
      <c r="F1" s="1" t="s">
        <v>15</v>
      </c>
      <c r="G1" s="1" t="s">
        <v>8</v>
      </c>
      <c r="H1" s="1" t="s">
        <v>16</v>
      </c>
      <c r="I1" s="1" t="s">
        <v>43</v>
      </c>
      <c r="J1" s="1" t="s">
        <v>20</v>
      </c>
    </row>
    <row r="2" spans="1:10" ht="15.75" customHeight="1" x14ac:dyDescent="0.25">
      <c r="A2" s="7">
        <v>42822</v>
      </c>
      <c r="B2">
        <v>800</v>
      </c>
      <c r="C2">
        <v>900</v>
      </c>
      <c r="D2">
        <f t="shared" ref="D2:D56" si="0">B2+273</f>
        <v>1073</v>
      </c>
      <c r="E2">
        <f t="shared" ref="E2:E56" si="1">10000/D2</f>
        <v>9.3196644920782852</v>
      </c>
      <c r="F2">
        <v>1.0369999999999999</v>
      </c>
      <c r="G2" s="3">
        <v>1.2899999999999999E-6</v>
      </c>
      <c r="H2">
        <f t="shared" ref="H2:H35" si="2">LN(G2)</f>
        <v>-13.560868339590693</v>
      </c>
      <c r="I2" t="s">
        <v>44</v>
      </c>
    </row>
    <row r="3" spans="1:10" ht="15.75" customHeight="1" x14ac:dyDescent="0.25">
      <c r="B3">
        <v>790</v>
      </c>
      <c r="C3">
        <v>890</v>
      </c>
      <c r="D3">
        <f t="shared" si="0"/>
        <v>1063</v>
      </c>
      <c r="E3">
        <f t="shared" si="1"/>
        <v>9.4073377234242717</v>
      </c>
      <c r="F3">
        <v>0.90069999999999995</v>
      </c>
      <c r="G3" s="3">
        <v>1.0100000000000001E-6</v>
      </c>
      <c r="H3">
        <f t="shared" si="2"/>
        <v>-13.805560227111107</v>
      </c>
      <c r="I3" t="s">
        <v>44</v>
      </c>
    </row>
    <row r="4" spans="1:10" ht="15.75" customHeight="1" x14ac:dyDescent="0.25">
      <c r="B4">
        <v>780</v>
      </c>
      <c r="C4">
        <v>880</v>
      </c>
      <c r="D4">
        <f t="shared" si="0"/>
        <v>1053</v>
      </c>
      <c r="E4">
        <f t="shared" si="1"/>
        <v>9.4966761633428298</v>
      </c>
      <c r="F4">
        <v>0.70799999999999996</v>
      </c>
      <c r="G4" s="3">
        <v>8.1500000000000003E-7</v>
      </c>
      <c r="H4">
        <f t="shared" si="2"/>
        <v>-14.020077723705548</v>
      </c>
      <c r="I4" t="s">
        <v>44</v>
      </c>
    </row>
    <row r="5" spans="1:10" ht="15.75" customHeight="1" x14ac:dyDescent="0.25">
      <c r="A5" s="7">
        <v>42836</v>
      </c>
      <c r="B5">
        <v>767</v>
      </c>
      <c r="C5">
        <v>867</v>
      </c>
      <c r="D5">
        <f t="shared" si="0"/>
        <v>1040</v>
      </c>
      <c r="E5">
        <f t="shared" si="1"/>
        <v>9.615384615384615</v>
      </c>
      <c r="F5">
        <f>(0.578+0.571)/2</f>
        <v>0.57450000000000001</v>
      </c>
      <c r="G5" s="3">
        <v>6.6400000000000002E-7</v>
      </c>
      <c r="H5">
        <f t="shared" si="2"/>
        <v>-14.224983687469978</v>
      </c>
      <c r="I5" t="s">
        <v>44</v>
      </c>
    </row>
    <row r="6" spans="1:10" ht="15.75" customHeight="1" x14ac:dyDescent="0.25">
      <c r="B6">
        <v>763</v>
      </c>
      <c r="C6">
        <v>863</v>
      </c>
      <c r="D6">
        <f t="shared" si="0"/>
        <v>1036</v>
      </c>
      <c r="E6">
        <f t="shared" si="1"/>
        <v>9.6525096525096519</v>
      </c>
      <c r="F6">
        <v>0.51</v>
      </c>
      <c r="G6" s="3">
        <v>6.0299999999999999E-7</v>
      </c>
      <c r="H6">
        <f t="shared" si="2"/>
        <v>-14.321348640219226</v>
      </c>
      <c r="I6" t="s">
        <v>44</v>
      </c>
    </row>
    <row r="7" spans="1:10" ht="15.75" customHeight="1" x14ac:dyDescent="0.25">
      <c r="A7" s="7">
        <v>42865</v>
      </c>
      <c r="B7">
        <v>760</v>
      </c>
      <c r="C7">
        <v>860</v>
      </c>
      <c r="D7">
        <f t="shared" si="0"/>
        <v>1033</v>
      </c>
      <c r="E7">
        <f t="shared" si="1"/>
        <v>9.6805421103581804</v>
      </c>
      <c r="G7" s="3">
        <v>5.2600000000000002E-7</v>
      </c>
      <c r="H7">
        <f t="shared" si="2"/>
        <v>-14.457964624208701</v>
      </c>
      <c r="J7" s="10" t="s">
        <v>26</v>
      </c>
    </row>
    <row r="8" spans="1:10" ht="15.75" customHeight="1" x14ac:dyDescent="0.25">
      <c r="B8">
        <v>765</v>
      </c>
      <c r="C8">
        <v>865</v>
      </c>
      <c r="D8">
        <f t="shared" si="0"/>
        <v>1038</v>
      </c>
      <c r="E8">
        <f t="shared" si="1"/>
        <v>9.6339113680154149</v>
      </c>
      <c r="G8" s="3">
        <v>5.7899999999999998E-7</v>
      </c>
      <c r="H8">
        <f t="shared" si="2"/>
        <v>-14.361963359373416</v>
      </c>
      <c r="J8" s="10" t="s">
        <v>26</v>
      </c>
    </row>
    <row r="9" spans="1:10" ht="15.75" customHeight="1" x14ac:dyDescent="0.25">
      <c r="B9">
        <v>770</v>
      </c>
      <c r="C9">
        <v>870</v>
      </c>
      <c r="D9">
        <f t="shared" si="0"/>
        <v>1043</v>
      </c>
      <c r="E9">
        <f t="shared" si="1"/>
        <v>9.5877277085330785</v>
      </c>
      <c r="G9" s="3">
        <v>6.4499999999999997E-7</v>
      </c>
      <c r="H9">
        <f t="shared" si="2"/>
        <v>-14.254015520150638</v>
      </c>
      <c r="J9" s="10" t="s">
        <v>26</v>
      </c>
    </row>
    <row r="10" spans="1:10" ht="15.75" customHeight="1" x14ac:dyDescent="0.25">
      <c r="A10" s="7">
        <v>42866</v>
      </c>
      <c r="B10">
        <v>770</v>
      </c>
      <c r="C10">
        <v>870</v>
      </c>
      <c r="D10">
        <f t="shared" si="0"/>
        <v>1043</v>
      </c>
      <c r="E10">
        <f t="shared" si="1"/>
        <v>9.5877277085330785</v>
      </c>
      <c r="G10" s="3">
        <v>6.4700000000000001E-7</v>
      </c>
      <c r="H10">
        <f t="shared" si="2"/>
        <v>-14.25091954244551</v>
      </c>
      <c r="I10" t="s">
        <v>44</v>
      </c>
    </row>
    <row r="11" spans="1:10" ht="15.75" customHeight="1" x14ac:dyDescent="0.25">
      <c r="A11" s="7">
        <v>42874</v>
      </c>
      <c r="B11">
        <v>769</v>
      </c>
      <c r="C11">
        <v>869</v>
      </c>
      <c r="D11">
        <f t="shared" si="0"/>
        <v>1042</v>
      </c>
      <c r="E11">
        <f t="shared" si="1"/>
        <v>9.5969289827255277</v>
      </c>
      <c r="G11" s="3">
        <v>6.3300000000000002E-7</v>
      </c>
      <c r="H11">
        <f t="shared" si="2"/>
        <v>-14.272795414802236</v>
      </c>
      <c r="I11" t="s">
        <v>44</v>
      </c>
    </row>
    <row r="12" spans="1:10" ht="15.75" customHeight="1" x14ac:dyDescent="0.25">
      <c r="A12" s="7">
        <v>42877</v>
      </c>
      <c r="B12">
        <v>740</v>
      </c>
      <c r="C12">
        <v>840</v>
      </c>
      <c r="D12">
        <f t="shared" si="0"/>
        <v>1013</v>
      </c>
      <c r="E12">
        <f t="shared" si="1"/>
        <v>9.8716683119447186</v>
      </c>
      <c r="G12" s="3">
        <v>3.8599999999999999E-7</v>
      </c>
      <c r="H12">
        <f t="shared" si="2"/>
        <v>-14.767428467481579</v>
      </c>
      <c r="I12" t="s">
        <v>44</v>
      </c>
    </row>
    <row r="13" spans="1:10" ht="15.75" customHeight="1" x14ac:dyDescent="0.25">
      <c r="B13">
        <v>660</v>
      </c>
      <c r="C13">
        <v>760</v>
      </c>
      <c r="D13">
        <f t="shared" si="0"/>
        <v>933</v>
      </c>
      <c r="E13">
        <f t="shared" si="1"/>
        <v>10.718113612004288</v>
      </c>
      <c r="G13" s="3">
        <v>4.7699999999999997E-8</v>
      </c>
      <c r="H13">
        <f t="shared" si="2"/>
        <v>-16.858334439052115</v>
      </c>
      <c r="I13" t="s">
        <v>44</v>
      </c>
    </row>
    <row r="14" spans="1:10" ht="15.75" customHeight="1" x14ac:dyDescent="0.25">
      <c r="B14">
        <v>760</v>
      </c>
      <c r="C14">
        <v>863</v>
      </c>
      <c r="D14">
        <f t="shared" si="0"/>
        <v>1033</v>
      </c>
      <c r="E14">
        <f t="shared" si="1"/>
        <v>9.6805421103581804</v>
      </c>
      <c r="F14">
        <v>0.51700000000000002</v>
      </c>
      <c r="G14" s="3">
        <v>5.9100000000000004E-7</v>
      </c>
      <c r="H14">
        <f t="shared" si="2"/>
        <v>-14.341449819540314</v>
      </c>
      <c r="I14" t="s">
        <v>44</v>
      </c>
    </row>
    <row r="15" spans="1:10" ht="15.75" customHeight="1" x14ac:dyDescent="0.25">
      <c r="B15">
        <v>790</v>
      </c>
      <c r="C15">
        <v>890</v>
      </c>
      <c r="D15">
        <f t="shared" si="0"/>
        <v>1063</v>
      </c>
      <c r="E15">
        <f t="shared" si="1"/>
        <v>9.4073377234242717</v>
      </c>
      <c r="F15">
        <v>1.044</v>
      </c>
      <c r="G15" s="3">
        <v>1.0499999999999999E-6</v>
      </c>
      <c r="H15">
        <f t="shared" si="2"/>
        <v>-13.766720393794841</v>
      </c>
      <c r="I15" t="s">
        <v>44</v>
      </c>
    </row>
    <row r="16" spans="1:10" ht="15.75" customHeight="1" x14ac:dyDescent="0.25">
      <c r="A16" s="7">
        <v>42879</v>
      </c>
      <c r="B16">
        <v>670</v>
      </c>
      <c r="C16">
        <v>770</v>
      </c>
      <c r="D16">
        <f t="shared" si="0"/>
        <v>943</v>
      </c>
      <c r="E16">
        <f t="shared" si="1"/>
        <v>10.604453870625663</v>
      </c>
      <c r="G16" s="3">
        <v>6.5E-8</v>
      </c>
      <c r="H16">
        <f t="shared" si="2"/>
        <v>-16.548878567050775</v>
      </c>
      <c r="I16" t="s">
        <v>44</v>
      </c>
    </row>
    <row r="17" spans="1:11" ht="15.75" customHeight="1" x14ac:dyDescent="0.25">
      <c r="B17">
        <v>655</v>
      </c>
      <c r="C17">
        <v>755</v>
      </c>
      <c r="D17">
        <f t="shared" si="0"/>
        <v>928</v>
      </c>
      <c r="E17">
        <f t="shared" si="1"/>
        <v>10.775862068965518</v>
      </c>
      <c r="F17">
        <v>3.5999999999999997E-2</v>
      </c>
      <c r="G17" s="3">
        <v>4.1700000000000003E-8</v>
      </c>
      <c r="H17">
        <f t="shared" si="2"/>
        <v>-16.992764708141657</v>
      </c>
      <c r="I17" t="s">
        <v>44</v>
      </c>
    </row>
    <row r="18" spans="1:11" ht="15.75" customHeight="1" x14ac:dyDescent="0.25">
      <c r="B18">
        <v>785</v>
      </c>
      <c r="C18">
        <v>885</v>
      </c>
      <c r="D18">
        <f t="shared" si="0"/>
        <v>1058</v>
      </c>
      <c r="E18">
        <f t="shared" si="1"/>
        <v>9.4517958412098295</v>
      </c>
      <c r="F18">
        <v>0.90900000000000003</v>
      </c>
      <c r="G18" s="3">
        <v>9.7100000000000011E-7</v>
      </c>
      <c r="H18">
        <f t="shared" si="2"/>
        <v>-13.844939368655087</v>
      </c>
      <c r="I18" t="s">
        <v>44</v>
      </c>
    </row>
    <row r="19" spans="1:11" ht="15.75" customHeight="1" x14ac:dyDescent="0.25">
      <c r="A19" s="7">
        <v>42881</v>
      </c>
      <c r="B19">
        <v>768</v>
      </c>
      <c r="C19">
        <v>868</v>
      </c>
      <c r="D19">
        <f t="shared" si="0"/>
        <v>1041</v>
      </c>
      <c r="E19">
        <f t="shared" si="1"/>
        <v>9.6061479346781944</v>
      </c>
      <c r="G19" s="3">
        <v>6.3399999999999999E-7</v>
      </c>
      <c r="H19">
        <f t="shared" si="2"/>
        <v>-14.271216882509185</v>
      </c>
      <c r="I19" t="s">
        <v>44</v>
      </c>
    </row>
    <row r="20" spans="1:11" ht="15.75" customHeight="1" x14ac:dyDescent="0.25">
      <c r="A20" s="7">
        <v>43004</v>
      </c>
      <c r="B20">
        <v>760</v>
      </c>
      <c r="C20">
        <v>860</v>
      </c>
      <c r="D20">
        <f t="shared" si="0"/>
        <v>1033</v>
      </c>
      <c r="E20">
        <f t="shared" si="1"/>
        <v>9.6805421103581804</v>
      </c>
      <c r="G20" s="3">
        <f>(0.00000058+0.000000576)/2</f>
        <v>5.7800000000000001E-7</v>
      </c>
      <c r="H20">
        <f t="shared" si="2"/>
        <v>-14.363691968274034</v>
      </c>
    </row>
    <row r="21" spans="1:11" ht="15.75" customHeight="1" x14ac:dyDescent="0.25">
      <c r="B21">
        <v>765</v>
      </c>
      <c r="C21">
        <v>865</v>
      </c>
      <c r="D21">
        <f t="shared" si="0"/>
        <v>1038</v>
      </c>
      <c r="E21">
        <f t="shared" si="1"/>
        <v>9.6339113680154149</v>
      </c>
      <c r="F21">
        <v>0.57099999999999995</v>
      </c>
      <c r="G21" s="3">
        <f>(0.000000609+0.000000613)/2</f>
        <v>6.1099999999999995E-7</v>
      </c>
      <c r="H21">
        <f t="shared" si="2"/>
        <v>-14.308168877774817</v>
      </c>
      <c r="I21">
        <v>4</v>
      </c>
    </row>
    <row r="22" spans="1:11" ht="15.75" customHeight="1" x14ac:dyDescent="0.25">
      <c r="B22">
        <v>770</v>
      </c>
      <c r="C22">
        <v>870</v>
      </c>
      <c r="D22">
        <f t="shared" si="0"/>
        <v>1043</v>
      </c>
      <c r="E22">
        <f t="shared" si="1"/>
        <v>9.5877277085330785</v>
      </c>
      <c r="F22">
        <v>0.66700000000000004</v>
      </c>
      <c r="G22" s="3">
        <v>6.7700000000000004E-7</v>
      </c>
      <c r="H22">
        <f t="shared" si="2"/>
        <v>-14.205594564034136</v>
      </c>
      <c r="I22">
        <v>4</v>
      </c>
    </row>
    <row r="23" spans="1:11" ht="15.75" customHeight="1" x14ac:dyDescent="0.25">
      <c r="B23">
        <v>764</v>
      </c>
      <c r="C23">
        <v>864</v>
      </c>
      <c r="D23">
        <f t="shared" si="0"/>
        <v>1037</v>
      </c>
      <c r="E23">
        <f t="shared" si="1"/>
        <v>9.6432015429122462</v>
      </c>
      <c r="F23">
        <v>0.55500000000000005</v>
      </c>
      <c r="I23">
        <v>4</v>
      </c>
    </row>
    <row r="24" spans="1:11" ht="15.75" customHeight="1" x14ac:dyDescent="0.25">
      <c r="A24" s="7">
        <v>43011</v>
      </c>
      <c r="B24">
        <v>769.7</v>
      </c>
      <c r="C24">
        <v>869.7</v>
      </c>
      <c r="D24">
        <f t="shared" si="0"/>
        <v>1042.7</v>
      </c>
      <c r="E24">
        <f t="shared" si="1"/>
        <v>9.5904862376522484</v>
      </c>
      <c r="F24">
        <v>0.622</v>
      </c>
      <c r="G24" s="3">
        <v>6.7700000000000004E-7</v>
      </c>
      <c r="H24">
        <f t="shared" si="2"/>
        <v>-14.205594564034136</v>
      </c>
      <c r="I24">
        <v>4</v>
      </c>
    </row>
    <row r="25" spans="1:11" ht="15.75" customHeight="1" x14ac:dyDescent="0.25">
      <c r="A25" s="7">
        <v>43018</v>
      </c>
      <c r="B25">
        <v>680</v>
      </c>
      <c r="C25">
        <v>780</v>
      </c>
      <c r="D25">
        <f t="shared" si="0"/>
        <v>953</v>
      </c>
      <c r="E25">
        <f t="shared" si="1"/>
        <v>10.49317943336831</v>
      </c>
      <c r="G25" s="3">
        <v>1.02E-7</v>
      </c>
      <c r="H25">
        <f t="shared" si="2"/>
        <v>-16.098293023662141</v>
      </c>
    </row>
    <row r="26" spans="1:11" ht="15.75" customHeight="1" x14ac:dyDescent="0.25">
      <c r="B26">
        <v>695</v>
      </c>
      <c r="C26">
        <v>795</v>
      </c>
      <c r="D26">
        <f t="shared" si="0"/>
        <v>968</v>
      </c>
      <c r="E26">
        <f t="shared" si="1"/>
        <v>10.330578512396695</v>
      </c>
      <c r="G26" s="3">
        <v>1.29E-7</v>
      </c>
      <c r="H26">
        <f t="shared" si="2"/>
        <v>-15.863453432584739</v>
      </c>
    </row>
    <row r="27" spans="1:11" ht="15.75" customHeight="1" x14ac:dyDescent="0.25">
      <c r="B27">
        <v>700</v>
      </c>
      <c r="C27">
        <v>800</v>
      </c>
      <c r="D27">
        <f t="shared" si="0"/>
        <v>973</v>
      </c>
      <c r="E27">
        <f t="shared" si="1"/>
        <v>10.277492291880781</v>
      </c>
      <c r="F27">
        <v>0.12</v>
      </c>
      <c r="G27" s="3">
        <v>1.43E-7</v>
      </c>
      <c r="H27">
        <f t="shared" si="2"/>
        <v>-15.760421206686503</v>
      </c>
      <c r="I27">
        <v>4</v>
      </c>
    </row>
    <row r="28" spans="1:11" ht="15.75" customHeight="1" x14ac:dyDescent="0.25">
      <c r="B28">
        <v>703</v>
      </c>
      <c r="C28">
        <v>803</v>
      </c>
      <c r="D28">
        <f t="shared" si="0"/>
        <v>976</v>
      </c>
      <c r="E28">
        <f t="shared" si="1"/>
        <v>10.245901639344263</v>
      </c>
      <c r="F28">
        <v>0.13</v>
      </c>
      <c r="G28" s="20">
        <v>1.6199999999999999E-7</v>
      </c>
      <c r="H28" s="19">
        <f t="shared" si="2"/>
        <v>-15.635669501714027</v>
      </c>
      <c r="I28">
        <v>4</v>
      </c>
      <c r="J28" t="s">
        <v>52</v>
      </c>
    </row>
    <row r="29" spans="1:11" ht="15.75" customHeight="1" x14ac:dyDescent="0.25">
      <c r="B29">
        <v>710</v>
      </c>
      <c r="C29">
        <v>810</v>
      </c>
      <c r="D29">
        <f t="shared" si="0"/>
        <v>983</v>
      </c>
      <c r="E29">
        <f t="shared" si="1"/>
        <v>10.172939979654121</v>
      </c>
      <c r="F29">
        <v>0.16</v>
      </c>
      <c r="G29" s="20">
        <v>1.9009E-7</v>
      </c>
      <c r="H29" s="19">
        <f t="shared" si="2"/>
        <v>-15.475768192728349</v>
      </c>
      <c r="I29">
        <v>4</v>
      </c>
      <c r="K29" s="11"/>
    </row>
    <row r="30" spans="1:11" ht="15.75" customHeight="1" x14ac:dyDescent="0.25">
      <c r="B30">
        <v>720</v>
      </c>
      <c r="C30">
        <v>820</v>
      </c>
      <c r="D30">
        <f t="shared" si="0"/>
        <v>993</v>
      </c>
      <c r="E30">
        <f t="shared" si="1"/>
        <v>10.070493454179255</v>
      </c>
      <c r="F30">
        <v>0.20499999999999999</v>
      </c>
      <c r="G30" s="20">
        <v>2.3999999999999998E-7</v>
      </c>
      <c r="H30" s="19">
        <f t="shared" si="2"/>
        <v>-15.24262691360442</v>
      </c>
      <c r="I30">
        <v>4</v>
      </c>
      <c r="K30" s="11"/>
    </row>
    <row r="31" spans="1:11" ht="15.75" customHeight="1" x14ac:dyDescent="0.25">
      <c r="B31">
        <v>730</v>
      </c>
      <c r="C31">
        <v>830</v>
      </c>
      <c r="D31">
        <f t="shared" si="0"/>
        <v>1003</v>
      </c>
      <c r="E31">
        <f t="shared" si="1"/>
        <v>9.9700897308075778</v>
      </c>
      <c r="F31">
        <v>0.26100000000000001</v>
      </c>
      <c r="G31" s="20">
        <v>2.9499999999999998E-7</v>
      </c>
      <c r="H31" s="19">
        <f t="shared" si="2"/>
        <v>-15.036290480606592</v>
      </c>
    </row>
    <row r="32" spans="1:11" ht="15.75" customHeight="1" x14ac:dyDescent="0.25">
      <c r="B32">
        <v>733</v>
      </c>
      <c r="C32">
        <v>833</v>
      </c>
      <c r="D32">
        <f t="shared" si="0"/>
        <v>1006</v>
      </c>
      <c r="E32">
        <f t="shared" si="1"/>
        <v>9.9403578528827037</v>
      </c>
      <c r="F32">
        <v>0.27900000000000003</v>
      </c>
      <c r="G32" s="20">
        <v>3.1600000000000002E-7</v>
      </c>
      <c r="H32" s="19">
        <f t="shared" si="2"/>
        <v>-14.967523623359499</v>
      </c>
    </row>
    <row r="33" spans="1:24" ht="15.75" customHeight="1" x14ac:dyDescent="0.25">
      <c r="B33">
        <v>732</v>
      </c>
      <c r="C33">
        <v>832</v>
      </c>
      <c r="D33">
        <f t="shared" si="0"/>
        <v>1005</v>
      </c>
      <c r="E33">
        <f t="shared" si="1"/>
        <v>9.9502487562189046</v>
      </c>
      <c r="F33">
        <v>0.26900000000000002</v>
      </c>
      <c r="G33" s="20">
        <v>3.0899999999999997E-7</v>
      </c>
      <c r="H33" s="20">
        <f t="shared" si="2"/>
        <v>-14.989924560048665</v>
      </c>
      <c r="L33" s="100" t="s">
        <v>9</v>
      </c>
      <c r="M33" s="100"/>
      <c r="N33" s="100"/>
      <c r="O33" s="100"/>
      <c r="P33" s="100"/>
    </row>
    <row r="34" spans="1:24" ht="15.75" customHeight="1" x14ac:dyDescent="0.25">
      <c r="A34" s="7">
        <v>43038</v>
      </c>
      <c r="B34">
        <v>680</v>
      </c>
      <c r="C34">
        <v>780</v>
      </c>
      <c r="D34">
        <f t="shared" si="0"/>
        <v>953</v>
      </c>
      <c r="E34">
        <f t="shared" si="1"/>
        <v>10.49317943336831</v>
      </c>
      <c r="G34" s="3">
        <v>8.6900000000000004E-8</v>
      </c>
      <c r="H34" s="14">
        <f t="shared" si="2"/>
        <v>-16.258507804675066</v>
      </c>
      <c r="I34" s="13"/>
      <c r="L34" s="1" t="s">
        <v>11</v>
      </c>
      <c r="M34" s="1" t="s">
        <v>7</v>
      </c>
      <c r="N34" s="1" t="s">
        <v>12</v>
      </c>
      <c r="Q34" s="1" t="s">
        <v>0</v>
      </c>
      <c r="R34" s="1" t="s">
        <v>1</v>
      </c>
      <c r="T34" s="1" t="s">
        <v>37</v>
      </c>
      <c r="U34" s="1" t="s">
        <v>35</v>
      </c>
      <c r="V34" s="1" t="s">
        <v>36</v>
      </c>
      <c r="X34" s="1" t="s">
        <v>49</v>
      </c>
    </row>
    <row r="35" spans="1:24" ht="15.75" customHeight="1" x14ac:dyDescent="0.25">
      <c r="B35">
        <v>690</v>
      </c>
      <c r="C35">
        <v>790</v>
      </c>
      <c r="D35">
        <f t="shared" si="0"/>
        <v>963</v>
      </c>
      <c r="E35">
        <f t="shared" si="1"/>
        <v>10.384215991692628</v>
      </c>
      <c r="G35" s="3">
        <v>1.1000000000000001E-7</v>
      </c>
      <c r="H35" s="14">
        <f t="shared" si="2"/>
        <v>-16.022785471153995</v>
      </c>
      <c r="K35" t="s">
        <v>50</v>
      </c>
      <c r="L35" s="2">
        <v>0.65</v>
      </c>
      <c r="M35" s="13">
        <f>SLOPE(H18:H25,F18:F25)*L35+INTERCEPT(H18:H25,F18:F25)</f>
        <v>-14.197995773726394</v>
      </c>
      <c r="N35" s="11">
        <f>EXP(M35)</f>
        <v>6.821639761763982E-7</v>
      </c>
      <c r="Q35">
        <v>0.90900000000000003</v>
      </c>
      <c r="R35">
        <f>Q35*(6.0583/2)/10000*60*60</f>
        <v>0.99125904599999981</v>
      </c>
      <c r="T35">
        <v>0.54</v>
      </c>
      <c r="U35">
        <f>T35*(5.867^2)/(6.0583^2)</f>
        <v>0.50643578514409504</v>
      </c>
      <c r="V35">
        <f>U35*(5.867)/2/10000*60*60</f>
        <v>0.53482657525927302</v>
      </c>
      <c r="X35">
        <f>0.532/2</f>
        <v>0.26600000000000001</v>
      </c>
    </row>
    <row r="36" spans="1:24" ht="15.75" customHeight="1" x14ac:dyDescent="0.25">
      <c r="B36">
        <v>700</v>
      </c>
      <c r="C36">
        <v>800</v>
      </c>
      <c r="D36">
        <f t="shared" si="0"/>
        <v>973</v>
      </c>
      <c r="E36">
        <f t="shared" si="1"/>
        <v>10.277492291880781</v>
      </c>
      <c r="G36" s="3">
        <v>1.4100000000000001E-7</v>
      </c>
      <c r="H36" s="14">
        <f>LN(G36)</f>
        <v>-15.774505946568242</v>
      </c>
      <c r="K36" t="s">
        <v>51</v>
      </c>
      <c r="L36" s="2">
        <v>0.04</v>
      </c>
      <c r="M36" s="13">
        <f>SLOPE(H43:H48,F43:F48)*L36+INTERCEPT(H43:H48,F43:F48)</f>
        <v>-16.272870043879379</v>
      </c>
      <c r="N36" s="11">
        <f>EXP(M36)</f>
        <v>8.5660841260695202E-8</v>
      </c>
      <c r="Q36">
        <v>0.51</v>
      </c>
      <c r="R36">
        <f>Q36*(6.0583/2)/10000*60*60</f>
        <v>0.55615194000000001</v>
      </c>
      <c r="T36">
        <v>0.28999999999999998</v>
      </c>
      <c r="U36">
        <f>T36*(5.867^2)/(6.0583^2)</f>
        <v>0.27197477350331029</v>
      </c>
      <c r="V36">
        <f>U36*(5.867)/2/10000*60*60</f>
        <v>0.28722167930590586</v>
      </c>
    </row>
    <row r="37" spans="1:24" ht="15.75" customHeight="1" x14ac:dyDescent="0.25">
      <c r="B37">
        <v>720</v>
      </c>
      <c r="C37">
        <v>820</v>
      </c>
      <c r="D37">
        <f t="shared" si="0"/>
        <v>993</v>
      </c>
      <c r="E37">
        <f t="shared" si="1"/>
        <v>10.070493454179255</v>
      </c>
      <c r="F37">
        <v>0.1973</v>
      </c>
      <c r="G37" s="21">
        <v>2.28E-7</v>
      </c>
      <c r="H37" s="14">
        <f>LN(G37)</f>
        <v>-15.29392020799197</v>
      </c>
      <c r="I37">
        <v>4</v>
      </c>
      <c r="K37" t="s">
        <v>64</v>
      </c>
      <c r="L37">
        <v>0.115</v>
      </c>
      <c r="M37" s="13">
        <f>SLOPE(H54:H57,F54:F57)*L37+INTERCEPT(H54:H57,F54:F57)</f>
        <v>-15.828548396192677</v>
      </c>
      <c r="N37" s="17">
        <f>EXP(M37)</f>
        <v>1.335822563797819E-7</v>
      </c>
      <c r="Q37">
        <v>0.54500000000000004</v>
      </c>
      <c r="R37">
        <f>Q37*(6.0583/2)/10000*60*60</f>
        <v>0.59431922999999998</v>
      </c>
      <c r="T37">
        <v>0.27</v>
      </c>
      <c r="U37">
        <f>T37*(5.867^2)/(6.0583^2)</f>
        <v>0.25321789257204752</v>
      </c>
      <c r="V37">
        <f>U37*(5.867)/2/10000*60*60</f>
        <v>0.26741328762963651</v>
      </c>
    </row>
    <row r="38" spans="1:24" ht="15.75" customHeight="1" x14ac:dyDescent="0.25">
      <c r="B38">
        <v>710</v>
      </c>
      <c r="C38">
        <v>810</v>
      </c>
      <c r="D38">
        <f t="shared" si="0"/>
        <v>983</v>
      </c>
      <c r="E38">
        <f t="shared" si="1"/>
        <v>10.172939979654121</v>
      </c>
      <c r="F38">
        <v>0.1462</v>
      </c>
      <c r="G38" s="20">
        <v>1.8330000000000001E-7</v>
      </c>
      <c r="H38" s="19">
        <f>LN(G38)</f>
        <v>-15.512141682100753</v>
      </c>
      <c r="I38">
        <v>4</v>
      </c>
      <c r="K38" s="1" t="s">
        <v>10</v>
      </c>
      <c r="L38" s="1" t="s">
        <v>66</v>
      </c>
      <c r="M38" s="1" t="s">
        <v>7</v>
      </c>
      <c r="N38" s="1" t="s">
        <v>12</v>
      </c>
    </row>
    <row r="39" spans="1:24" ht="15.75" customHeight="1" x14ac:dyDescent="0.25">
      <c r="B39">
        <v>760</v>
      </c>
      <c r="C39">
        <v>860</v>
      </c>
      <c r="D39">
        <f t="shared" si="0"/>
        <v>1033</v>
      </c>
      <c r="E39">
        <f t="shared" si="1"/>
        <v>9.6805421103581804</v>
      </c>
      <c r="F39">
        <v>0.52610000000000001</v>
      </c>
      <c r="I39">
        <v>4</v>
      </c>
      <c r="K39" s="11">
        <v>700</v>
      </c>
      <c r="L39">
        <f>10000/(K39+273)</f>
        <v>10.277492291880781</v>
      </c>
      <c r="M39" s="3">
        <f>-2.4486*L39+ 9.3568</f>
        <v>-15.808667625899279</v>
      </c>
      <c r="N39" s="3">
        <f>EXP(M39)</f>
        <v>1.362645492116403E-7</v>
      </c>
    </row>
    <row r="40" spans="1:24" ht="15.75" customHeight="1" x14ac:dyDescent="0.25">
      <c r="A40" s="7">
        <v>43041</v>
      </c>
      <c r="B40">
        <v>655</v>
      </c>
      <c r="C40">
        <v>755</v>
      </c>
      <c r="D40">
        <f t="shared" si="0"/>
        <v>928</v>
      </c>
      <c r="E40">
        <f t="shared" si="1"/>
        <v>10.775862068965518</v>
      </c>
      <c r="G40" s="3">
        <v>4.4799999999999997E-8</v>
      </c>
      <c r="H40" s="14">
        <f>LN(G40)</f>
        <v>-16.921057697525473</v>
      </c>
      <c r="K40" s="11"/>
      <c r="M40" s="3"/>
    </row>
    <row r="41" spans="1:24" ht="15.75" customHeight="1" x14ac:dyDescent="0.25">
      <c r="B41">
        <v>683</v>
      </c>
      <c r="C41">
        <v>783</v>
      </c>
      <c r="D41">
        <f t="shared" si="0"/>
        <v>956</v>
      </c>
      <c r="E41">
        <f t="shared" si="1"/>
        <v>10.460251046025105</v>
      </c>
      <c r="G41" s="3">
        <v>9.3200000000000001E-8</v>
      </c>
      <c r="H41" s="14">
        <f>LN(G41)</f>
        <v>-16.188518115254865</v>
      </c>
    </row>
    <row r="42" spans="1:24" ht="15.75" customHeight="1" x14ac:dyDescent="0.25">
      <c r="A42" s="7">
        <v>43048</v>
      </c>
      <c r="B42">
        <v>734</v>
      </c>
      <c r="C42">
        <v>834</v>
      </c>
      <c r="D42">
        <f t="shared" si="0"/>
        <v>1007</v>
      </c>
      <c r="E42">
        <f t="shared" si="1"/>
        <v>9.9304865938430975</v>
      </c>
      <c r="G42" s="3">
        <v>3.2399999999999999E-7</v>
      </c>
      <c r="H42" s="14">
        <f>LN(G42)</f>
        <v>-14.942522321154081</v>
      </c>
      <c r="Q42" t="s">
        <v>10</v>
      </c>
      <c r="R42" t="s">
        <v>4</v>
      </c>
      <c r="S42" t="s">
        <v>53</v>
      </c>
    </row>
    <row r="43" spans="1:24" ht="15.75" customHeight="1" x14ac:dyDescent="0.25">
      <c r="A43" s="7">
        <v>43115</v>
      </c>
      <c r="B43">
        <v>700</v>
      </c>
      <c r="C43">
        <v>800</v>
      </c>
      <c r="D43">
        <f t="shared" si="0"/>
        <v>973</v>
      </c>
      <c r="E43">
        <f t="shared" si="1"/>
        <v>10.277492291880781</v>
      </c>
      <c r="F43">
        <v>0.11600000000000001</v>
      </c>
      <c r="G43" s="3">
        <v>1.4499999999999999E-7</v>
      </c>
      <c r="H43" s="14">
        <f t="shared" ref="H43:H126" si="3">LN(G43)</f>
        <v>-15.746532094525836</v>
      </c>
      <c r="I43">
        <v>4</v>
      </c>
      <c r="Q43">
        <v>655</v>
      </c>
      <c r="R43">
        <f>10000/(Q43+273)</f>
        <v>10.775862068965518</v>
      </c>
      <c r="S43" s="22">
        <f>36036000000*EXP(-2.5769*R43)</f>
        <v>3.1412961337753474E-2</v>
      </c>
    </row>
    <row r="44" spans="1:24" ht="15.75" customHeight="1" x14ac:dyDescent="0.25">
      <c r="B44">
        <v>710</v>
      </c>
      <c r="C44">
        <v>810</v>
      </c>
      <c r="D44">
        <f t="shared" si="0"/>
        <v>983</v>
      </c>
      <c r="E44">
        <f t="shared" si="1"/>
        <v>10.172939979654121</v>
      </c>
      <c r="F44">
        <v>0.1535</v>
      </c>
      <c r="G44" s="3">
        <v>1.7800000000000001E-7</v>
      </c>
      <c r="H44" s="14">
        <f t="shared" si="3"/>
        <v>-15.541482286654325</v>
      </c>
      <c r="I44">
        <v>4</v>
      </c>
      <c r="Q44">
        <v>683</v>
      </c>
      <c r="R44">
        <f>10000/(Q44+273)</f>
        <v>10.460251046025105</v>
      </c>
      <c r="S44" s="22">
        <f>36036000000*EXP(-2.5769*R44)</f>
        <v>7.0846717459438033E-2</v>
      </c>
    </row>
    <row r="45" spans="1:24" ht="15.75" customHeight="1" x14ac:dyDescent="0.25">
      <c r="B45">
        <v>720</v>
      </c>
      <c r="C45">
        <v>820</v>
      </c>
      <c r="D45">
        <f t="shared" si="0"/>
        <v>993</v>
      </c>
      <c r="E45">
        <f t="shared" si="1"/>
        <v>10.070493454179255</v>
      </c>
      <c r="F45">
        <v>0.191</v>
      </c>
      <c r="G45" s="20">
        <v>2.3309999999999999E-7</v>
      </c>
      <c r="H45" s="14">
        <f t="shared" si="3"/>
        <v>-15.2717982909047</v>
      </c>
      <c r="I45">
        <v>4</v>
      </c>
    </row>
    <row r="46" spans="1:24" ht="15.75" customHeight="1" x14ac:dyDescent="0.25">
      <c r="B46">
        <v>715</v>
      </c>
      <c r="C46">
        <v>815</v>
      </c>
      <c r="D46">
        <f t="shared" si="0"/>
        <v>988</v>
      </c>
      <c r="E46">
        <f t="shared" si="1"/>
        <v>10.121457489878543</v>
      </c>
      <c r="F46">
        <v>0.17100000000000001</v>
      </c>
      <c r="G46" s="20">
        <v>2.068E-7</v>
      </c>
      <c r="H46" s="14">
        <f t="shared" si="3"/>
        <v>-15.391513694312136</v>
      </c>
      <c r="I46">
        <v>4</v>
      </c>
    </row>
    <row r="47" spans="1:24" ht="15.75" customHeight="1" x14ac:dyDescent="0.25">
      <c r="B47">
        <v>705</v>
      </c>
      <c r="C47">
        <v>805</v>
      </c>
      <c r="D47">
        <f t="shared" si="0"/>
        <v>978</v>
      </c>
      <c r="E47">
        <f t="shared" si="1"/>
        <v>10.224948875255624</v>
      </c>
      <c r="F47">
        <v>0.13250000000000001</v>
      </c>
      <c r="G47" s="20">
        <v>1.6220000000000001E-7</v>
      </c>
      <c r="H47" s="14">
        <f t="shared" si="3"/>
        <v>-15.634435695265099</v>
      </c>
      <c r="I47">
        <v>4</v>
      </c>
    </row>
    <row r="48" spans="1:24" ht="15.75" customHeight="1" x14ac:dyDescent="0.25">
      <c r="B48">
        <v>695</v>
      </c>
      <c r="C48">
        <v>795</v>
      </c>
      <c r="D48">
        <f t="shared" si="0"/>
        <v>968</v>
      </c>
      <c r="E48">
        <f t="shared" si="1"/>
        <v>10.330578512396695</v>
      </c>
      <c r="F48">
        <v>0.1023</v>
      </c>
      <c r="G48" s="20">
        <v>1.2660000000000001E-7</v>
      </c>
      <c r="H48" s="14">
        <f t="shared" si="3"/>
        <v>-15.882233327236335</v>
      </c>
      <c r="I48">
        <v>4</v>
      </c>
    </row>
    <row r="49" spans="1:20" ht="15.75" customHeight="1" x14ac:dyDescent="0.25">
      <c r="A49" s="7">
        <v>43117</v>
      </c>
      <c r="B49">
        <v>700</v>
      </c>
      <c r="C49">
        <v>800</v>
      </c>
      <c r="D49">
        <f t="shared" si="0"/>
        <v>973</v>
      </c>
      <c r="E49">
        <f t="shared" si="1"/>
        <v>10.277492291880781</v>
      </c>
      <c r="G49" s="20">
        <v>1.4600000000000001E-7</v>
      </c>
      <c r="H49" s="14">
        <f t="shared" si="3"/>
        <v>-15.739659215238074</v>
      </c>
    </row>
    <row r="50" spans="1:20" ht="15.75" customHeight="1" x14ac:dyDescent="0.25">
      <c r="A50" s="7">
        <v>43123</v>
      </c>
      <c r="B50">
        <v>687</v>
      </c>
      <c r="C50">
        <v>787</v>
      </c>
      <c r="D50">
        <f t="shared" si="0"/>
        <v>960</v>
      </c>
      <c r="E50">
        <f t="shared" si="1"/>
        <v>10.416666666666666</v>
      </c>
      <c r="G50" s="3">
        <v>1.01E-7</v>
      </c>
      <c r="H50" s="14">
        <f t="shared" si="3"/>
        <v>-16.108145320105152</v>
      </c>
      <c r="Q50">
        <v>0.54400000000000004</v>
      </c>
      <c r="R50">
        <v>0.56994999999999996</v>
      </c>
      <c r="S50">
        <f>Q50*R50/2</f>
        <v>0.15502640000000001</v>
      </c>
      <c r="T50">
        <f>250/S50/60</f>
        <v>26.877142645811723</v>
      </c>
    </row>
    <row r="51" spans="1:20" ht="15.75" customHeight="1" x14ac:dyDescent="0.25">
      <c r="A51" s="7">
        <v>43124</v>
      </c>
      <c r="B51">
        <v>693</v>
      </c>
      <c r="C51">
        <v>793</v>
      </c>
      <c r="D51">
        <f t="shared" si="0"/>
        <v>966</v>
      </c>
      <c r="E51">
        <f t="shared" si="1"/>
        <v>10.351966873706004</v>
      </c>
      <c r="G51" s="3">
        <v>1.2200000000000001E-7</v>
      </c>
      <c r="H51" s="14">
        <f t="shared" si="3"/>
        <v>-15.919244792213155</v>
      </c>
    </row>
    <row r="52" spans="1:20" ht="15.75" customHeight="1" x14ac:dyDescent="0.25">
      <c r="A52" s="7">
        <v>43126</v>
      </c>
      <c r="B52">
        <v>693</v>
      </c>
      <c r="C52">
        <v>793</v>
      </c>
      <c r="D52">
        <f t="shared" si="0"/>
        <v>966</v>
      </c>
      <c r="E52">
        <f t="shared" si="1"/>
        <v>10.351966873706004</v>
      </c>
      <c r="G52" s="3">
        <v>1.18E-7</v>
      </c>
      <c r="H52" s="14">
        <f t="shared" si="3"/>
        <v>-15.952581212480746</v>
      </c>
    </row>
    <row r="53" spans="1:20" ht="15.75" customHeight="1" x14ac:dyDescent="0.25">
      <c r="A53" s="7">
        <v>43161</v>
      </c>
      <c r="B53">
        <v>681</v>
      </c>
      <c r="C53">
        <v>781</v>
      </c>
      <c r="D53">
        <f t="shared" si="0"/>
        <v>954</v>
      </c>
      <c r="E53">
        <f t="shared" si="1"/>
        <v>10.482180293501049</v>
      </c>
      <c r="G53" s="3">
        <v>8.4999999999999994E-8</v>
      </c>
      <c r="H53" s="14">
        <f t="shared" si="3"/>
        <v>-16.280614580456096</v>
      </c>
    </row>
    <row r="54" spans="1:20" ht="15.75" customHeight="1" x14ac:dyDescent="0.25">
      <c r="A54" s="7">
        <v>43167</v>
      </c>
      <c r="B54">
        <v>681</v>
      </c>
      <c r="C54">
        <v>781</v>
      </c>
      <c r="D54">
        <f t="shared" si="0"/>
        <v>954</v>
      </c>
      <c r="E54" s="14">
        <f t="shared" si="1"/>
        <v>10.482180293501049</v>
      </c>
      <c r="F54" s="14">
        <v>6.9919999999999996E-2</v>
      </c>
      <c r="G54" s="26">
        <v>8.5199999999999995E-8</v>
      </c>
      <c r="H54" s="14">
        <f t="shared" si="3"/>
        <v>-16.278264403111141</v>
      </c>
      <c r="I54">
        <v>4</v>
      </c>
    </row>
    <row r="55" spans="1:20" ht="15.75" customHeight="1" x14ac:dyDescent="0.25">
      <c r="B55">
        <v>687</v>
      </c>
      <c r="C55">
        <f>B55+100</f>
        <v>787</v>
      </c>
      <c r="D55">
        <f t="shared" si="0"/>
        <v>960</v>
      </c>
      <c r="E55" s="14">
        <f t="shared" si="1"/>
        <v>10.416666666666666</v>
      </c>
      <c r="F55" s="14">
        <v>8.6514999999999995E-2</v>
      </c>
      <c r="G55" s="26">
        <v>9.8099999999999998E-8</v>
      </c>
      <c r="H55" s="14">
        <f t="shared" si="3"/>
        <v>-16.137278470375094</v>
      </c>
      <c r="I55">
        <v>4</v>
      </c>
    </row>
    <row r="56" spans="1:20" ht="15.75" customHeight="1" x14ac:dyDescent="0.25">
      <c r="B56">
        <v>693</v>
      </c>
      <c r="C56">
        <f>B56+100</f>
        <v>793</v>
      </c>
      <c r="D56">
        <f t="shared" si="0"/>
        <v>966</v>
      </c>
      <c r="E56" s="14">
        <f t="shared" si="1"/>
        <v>10.351966873706004</v>
      </c>
      <c r="F56" s="14">
        <v>9.5755000000000007E-2</v>
      </c>
      <c r="G56" s="26">
        <v>1.1300000000000001E-7</v>
      </c>
      <c r="H56" s="14">
        <f t="shared" si="3"/>
        <v>-15.995878018234071</v>
      </c>
      <c r="I56">
        <v>4</v>
      </c>
    </row>
    <row r="57" spans="1:20" ht="15.75" customHeight="1" x14ac:dyDescent="0.25">
      <c r="B57">
        <v>700</v>
      </c>
      <c r="C57">
        <f>B57+100</f>
        <v>800</v>
      </c>
      <c r="D57">
        <f t="shared" ref="D57:D126" si="4">B57+273</f>
        <v>973</v>
      </c>
      <c r="E57" s="14">
        <f t="shared" ref="E57:E126" si="5">10000/D57</f>
        <v>10.277492291880781</v>
      </c>
      <c r="F57" s="14">
        <v>0.11595</v>
      </c>
      <c r="G57" s="26">
        <v>1.3400000000000001E-7</v>
      </c>
      <c r="H57" s="14">
        <f t="shared" si="3"/>
        <v>-15.8254260369955</v>
      </c>
      <c r="I57">
        <v>4</v>
      </c>
    </row>
    <row r="58" spans="1:20" ht="15.75" customHeight="1" x14ac:dyDescent="0.25">
      <c r="A58" s="7">
        <v>43173</v>
      </c>
      <c r="B58">
        <v>673</v>
      </c>
      <c r="C58">
        <v>773</v>
      </c>
      <c r="D58">
        <f t="shared" si="4"/>
        <v>946</v>
      </c>
      <c r="E58" s="14">
        <f t="shared" si="5"/>
        <v>10.570824524312897</v>
      </c>
      <c r="G58" s="3">
        <v>6.8E-8</v>
      </c>
      <c r="H58" s="14">
        <f t="shared" si="3"/>
        <v>-16.503758131770304</v>
      </c>
    </row>
    <row r="59" spans="1:20" ht="15.75" customHeight="1" x14ac:dyDescent="0.25">
      <c r="A59" s="7">
        <v>43178</v>
      </c>
      <c r="B59">
        <v>700</v>
      </c>
      <c r="C59">
        <v>800</v>
      </c>
      <c r="D59">
        <f t="shared" si="4"/>
        <v>973</v>
      </c>
      <c r="E59" s="14">
        <f t="shared" si="5"/>
        <v>10.277492291880781</v>
      </c>
      <c r="G59" s="3">
        <v>1.4399999999999999E-7</v>
      </c>
      <c r="H59" s="14">
        <f t="shared" si="3"/>
        <v>-15.753452537370411</v>
      </c>
    </row>
    <row r="60" spans="1:20" ht="15.75" customHeight="1" x14ac:dyDescent="0.25">
      <c r="A60" s="7">
        <v>43182</v>
      </c>
      <c r="B60">
        <v>700</v>
      </c>
      <c r="C60">
        <v>800</v>
      </c>
      <c r="D60">
        <f t="shared" si="4"/>
        <v>973</v>
      </c>
      <c r="E60" s="14">
        <f t="shared" si="5"/>
        <v>10.277492291880781</v>
      </c>
      <c r="G60" s="3">
        <v>1.37E-7</v>
      </c>
      <c r="H60" s="14">
        <f t="shared" si="3"/>
        <v>-15.803284911118286</v>
      </c>
    </row>
    <row r="61" spans="1:20" ht="15.75" customHeight="1" x14ac:dyDescent="0.25">
      <c r="A61" s="7">
        <v>43189</v>
      </c>
      <c r="B61">
        <v>693</v>
      </c>
      <c r="C61">
        <v>793</v>
      </c>
      <c r="D61">
        <f t="shared" si="4"/>
        <v>966</v>
      </c>
      <c r="E61" s="14">
        <f t="shared" si="5"/>
        <v>10.351966873706004</v>
      </c>
      <c r="G61" s="3">
        <v>1.1600000000000001E-7</v>
      </c>
      <c r="H61" s="14">
        <f t="shared" si="3"/>
        <v>-15.969675645840047</v>
      </c>
    </row>
    <row r="62" spans="1:20" ht="15.75" customHeight="1" x14ac:dyDescent="0.25">
      <c r="B62">
        <v>673</v>
      </c>
      <c r="C62">
        <v>773</v>
      </c>
      <c r="D62">
        <f t="shared" si="4"/>
        <v>946</v>
      </c>
      <c r="E62" s="14">
        <f t="shared" si="5"/>
        <v>10.570824524312897</v>
      </c>
      <c r="G62" s="3">
        <v>6.73E-8</v>
      </c>
      <c r="H62" s="14">
        <f t="shared" si="3"/>
        <v>-16.514105600295728</v>
      </c>
    </row>
    <row r="63" spans="1:20" ht="15.75" customHeight="1" x14ac:dyDescent="0.25">
      <c r="A63" s="7">
        <v>43194</v>
      </c>
      <c r="B63">
        <v>697</v>
      </c>
      <c r="C63">
        <v>797</v>
      </c>
      <c r="D63">
        <f t="shared" si="4"/>
        <v>970</v>
      </c>
      <c r="E63" s="14">
        <f t="shared" si="5"/>
        <v>10.309278350515465</v>
      </c>
      <c r="G63" s="3">
        <v>1.1899999999999999E-7</v>
      </c>
      <c r="H63" s="14">
        <f t="shared" si="3"/>
        <v>-15.944142343834882</v>
      </c>
    </row>
    <row r="64" spans="1:20" ht="15.75" customHeight="1" x14ac:dyDescent="0.25">
      <c r="A64" s="7">
        <v>43217</v>
      </c>
      <c r="B64">
        <v>665</v>
      </c>
      <c r="C64">
        <v>765</v>
      </c>
      <c r="D64">
        <f t="shared" si="4"/>
        <v>938</v>
      </c>
      <c r="E64" s="14">
        <f t="shared" si="5"/>
        <v>10.660980810234541</v>
      </c>
      <c r="G64" s="3">
        <v>5.5099999999999997E-8</v>
      </c>
      <c r="H64" s="14">
        <f t="shared" si="3"/>
        <v>-16.714116120787544</v>
      </c>
    </row>
    <row r="65" spans="1:14" ht="15.75" customHeight="1" x14ac:dyDescent="0.25">
      <c r="A65" s="7">
        <v>43223</v>
      </c>
      <c r="B65">
        <v>673</v>
      </c>
      <c r="C65">
        <v>773</v>
      </c>
      <c r="D65">
        <f t="shared" si="4"/>
        <v>946</v>
      </c>
      <c r="E65" s="14">
        <f t="shared" si="5"/>
        <v>10.570824524312897</v>
      </c>
      <c r="G65" s="3">
        <v>6.4799999999999998E-8</v>
      </c>
      <c r="H65" s="14">
        <f t="shared" si="3"/>
        <v>-16.551960233588183</v>
      </c>
    </row>
    <row r="66" spans="1:14" ht="15.75" customHeight="1" x14ac:dyDescent="0.25">
      <c r="B66">
        <v>693</v>
      </c>
      <c r="C66">
        <v>793</v>
      </c>
      <c r="D66">
        <f t="shared" si="4"/>
        <v>966</v>
      </c>
      <c r="E66" s="14">
        <f t="shared" si="5"/>
        <v>10.351966873706004</v>
      </c>
      <c r="G66" s="3">
        <v>1.09E-7</v>
      </c>
      <c r="H66" s="14">
        <f t="shared" si="3"/>
        <v>-16.031917954717269</v>
      </c>
    </row>
    <row r="67" spans="1:14" ht="15.75" customHeight="1" x14ac:dyDescent="0.25">
      <c r="A67" s="7">
        <v>43230</v>
      </c>
      <c r="B67">
        <v>660</v>
      </c>
      <c r="C67">
        <v>760</v>
      </c>
      <c r="D67">
        <f t="shared" si="4"/>
        <v>933</v>
      </c>
      <c r="E67" s="14">
        <f t="shared" si="5"/>
        <v>10.718113612004288</v>
      </c>
      <c r="G67" s="3">
        <v>4.43E-8</v>
      </c>
      <c r="H67" s="14">
        <f t="shared" si="3"/>
        <v>-16.932281159895322</v>
      </c>
    </row>
    <row r="68" spans="1:14" ht="15.75" customHeight="1" x14ac:dyDescent="0.25">
      <c r="A68" s="7">
        <v>43351</v>
      </c>
      <c r="B68">
        <v>720</v>
      </c>
      <c r="C68">
        <v>820</v>
      </c>
      <c r="D68">
        <f t="shared" si="4"/>
        <v>993</v>
      </c>
      <c r="E68" s="14">
        <f t="shared" si="5"/>
        <v>10.070493454179255</v>
      </c>
      <c r="G68" s="3">
        <v>3.4200000000000002E-7</v>
      </c>
      <c r="H68" s="14">
        <f t="shared" si="3"/>
        <v>-14.888455099883807</v>
      </c>
      <c r="I68">
        <v>4</v>
      </c>
      <c r="J68" s="10" t="s">
        <v>81</v>
      </c>
    </row>
    <row r="69" spans="1:14" ht="15.75" customHeight="1" x14ac:dyDescent="0.25">
      <c r="B69">
        <v>700</v>
      </c>
      <c r="C69">
        <v>800</v>
      </c>
      <c r="D69">
        <f t="shared" si="4"/>
        <v>973</v>
      </c>
      <c r="E69" s="14">
        <f t="shared" si="5"/>
        <v>10.277492291880781</v>
      </c>
      <c r="G69" s="3">
        <v>2.1E-7</v>
      </c>
      <c r="H69" s="14">
        <f t="shared" si="3"/>
        <v>-15.376158306228943</v>
      </c>
      <c r="I69">
        <v>4</v>
      </c>
    </row>
    <row r="70" spans="1:14" ht="15.75" customHeight="1" x14ac:dyDescent="0.25">
      <c r="B70">
        <v>680</v>
      </c>
      <c r="C70">
        <v>780</v>
      </c>
      <c r="D70">
        <f t="shared" si="4"/>
        <v>953</v>
      </c>
      <c r="E70" s="14">
        <f t="shared" si="5"/>
        <v>10.49317943336831</v>
      </c>
      <c r="G70" s="3">
        <v>1.2700000000000001E-7</v>
      </c>
      <c r="H70" s="14">
        <f t="shared" si="3"/>
        <v>-15.879078750487819</v>
      </c>
      <c r="I70">
        <v>4</v>
      </c>
    </row>
    <row r="71" spans="1:14" ht="15.75" customHeight="1" x14ac:dyDescent="0.25">
      <c r="A71" s="7">
        <v>43360</v>
      </c>
      <c r="B71">
        <v>690</v>
      </c>
      <c r="C71">
        <v>790</v>
      </c>
      <c r="D71">
        <f t="shared" si="4"/>
        <v>963</v>
      </c>
      <c r="E71" s="14">
        <f t="shared" si="5"/>
        <v>10.384215991692628</v>
      </c>
      <c r="G71" s="3">
        <v>1.73E-7</v>
      </c>
      <c r="H71" s="14">
        <f t="shared" si="3"/>
        <v>-15.569974242448632</v>
      </c>
      <c r="I71">
        <v>4</v>
      </c>
    </row>
    <row r="72" spans="1:14" ht="15.75" customHeight="1" x14ac:dyDescent="0.25">
      <c r="B72">
        <v>680</v>
      </c>
      <c r="C72">
        <v>780</v>
      </c>
      <c r="D72">
        <f t="shared" si="4"/>
        <v>953</v>
      </c>
      <c r="E72" s="14">
        <f t="shared" si="5"/>
        <v>10.49317943336831</v>
      </c>
      <c r="G72" s="3">
        <v>1.3E-7</v>
      </c>
      <c r="H72" s="14">
        <f t="shared" si="3"/>
        <v>-15.855731386490829</v>
      </c>
      <c r="I72">
        <v>4</v>
      </c>
    </row>
    <row r="73" spans="1:14" ht="15.75" customHeight="1" x14ac:dyDescent="0.25">
      <c r="B73">
        <v>670</v>
      </c>
      <c r="C73">
        <v>770</v>
      </c>
      <c r="D73">
        <f t="shared" si="4"/>
        <v>943</v>
      </c>
      <c r="E73" s="14">
        <f t="shared" si="5"/>
        <v>10.604453870625663</v>
      </c>
      <c r="G73" s="3">
        <v>9.9999999999999995E-8</v>
      </c>
      <c r="H73" s="14">
        <f t="shared" si="3"/>
        <v>-16.11809565095832</v>
      </c>
      <c r="I73">
        <v>4</v>
      </c>
    </row>
    <row r="74" spans="1:14" ht="15.75" customHeight="1" x14ac:dyDescent="0.25">
      <c r="A74" s="7">
        <v>43361</v>
      </c>
      <c r="B74">
        <v>683</v>
      </c>
      <c r="C74">
        <v>783</v>
      </c>
      <c r="D74">
        <f t="shared" si="4"/>
        <v>956</v>
      </c>
      <c r="E74" s="14">
        <f t="shared" si="5"/>
        <v>10.460251046025105</v>
      </c>
      <c r="F74" s="14"/>
      <c r="G74" s="3">
        <v>1.4499999999999999E-7</v>
      </c>
      <c r="H74" s="14">
        <f t="shared" si="3"/>
        <v>-15.746532094525836</v>
      </c>
      <c r="I74">
        <v>4</v>
      </c>
    </row>
    <row r="75" spans="1:14" ht="15.75" customHeight="1" x14ac:dyDescent="0.25">
      <c r="A75" s="7">
        <v>43362</v>
      </c>
      <c r="B75">
        <v>693</v>
      </c>
      <c r="C75">
        <v>793</v>
      </c>
      <c r="D75">
        <f t="shared" si="4"/>
        <v>966</v>
      </c>
      <c r="E75" s="14">
        <f t="shared" si="5"/>
        <v>10.351966873706004</v>
      </c>
      <c r="G75" s="3">
        <v>1.8699999999999999E-7</v>
      </c>
      <c r="H75" s="14">
        <f t="shared" si="3"/>
        <v>-15.492157220091824</v>
      </c>
      <c r="I75">
        <v>4</v>
      </c>
    </row>
    <row r="76" spans="1:14" ht="15.75" customHeight="1" x14ac:dyDescent="0.25">
      <c r="B76">
        <v>683</v>
      </c>
      <c r="C76">
        <v>783</v>
      </c>
      <c r="D76">
        <f t="shared" si="4"/>
        <v>956</v>
      </c>
      <c r="E76" s="14">
        <f t="shared" si="5"/>
        <v>10.460251046025105</v>
      </c>
      <c r="G76" s="3">
        <v>1.4100000000000001E-7</v>
      </c>
      <c r="H76" s="14">
        <f t="shared" si="3"/>
        <v>-15.774505946568242</v>
      </c>
      <c r="I76">
        <v>4</v>
      </c>
    </row>
    <row r="77" spans="1:14" ht="15.75" customHeight="1" x14ac:dyDescent="0.25">
      <c r="B77">
        <v>673</v>
      </c>
      <c r="C77">
        <v>773</v>
      </c>
      <c r="D77">
        <f t="shared" si="4"/>
        <v>946</v>
      </c>
      <c r="E77" s="14">
        <f t="shared" si="5"/>
        <v>10.570824524312897</v>
      </c>
      <c r="G77" s="3">
        <v>1.09E-7</v>
      </c>
      <c r="H77" s="14">
        <f t="shared" si="3"/>
        <v>-16.031917954717269</v>
      </c>
      <c r="I77">
        <v>4</v>
      </c>
    </row>
    <row r="78" spans="1:14" ht="15.75" customHeight="1" x14ac:dyDescent="0.25">
      <c r="B78">
        <v>663</v>
      </c>
      <c r="C78">
        <v>763</v>
      </c>
      <c r="D78">
        <f t="shared" si="4"/>
        <v>936</v>
      </c>
      <c r="E78" s="14">
        <f t="shared" si="5"/>
        <v>10.683760683760683</v>
      </c>
      <c r="F78" s="19"/>
      <c r="G78" s="3">
        <v>8.2500000000000004E-8</v>
      </c>
      <c r="H78" s="14">
        <f t="shared" si="3"/>
        <v>-16.310467543605775</v>
      </c>
      <c r="I78">
        <v>4</v>
      </c>
    </row>
    <row r="79" spans="1:14" ht="16.5" customHeight="1" x14ac:dyDescent="0.25">
      <c r="A79" s="7">
        <v>43367</v>
      </c>
      <c r="B79">
        <v>703</v>
      </c>
      <c r="C79">
        <v>803</v>
      </c>
      <c r="D79">
        <f t="shared" si="4"/>
        <v>976</v>
      </c>
      <c r="E79" s="14">
        <f t="shared" si="5"/>
        <v>10.245901639344263</v>
      </c>
      <c r="F79" s="14">
        <v>0.109</v>
      </c>
      <c r="G79" s="3">
        <v>2.28E-7</v>
      </c>
      <c r="H79" s="14">
        <f t="shared" si="3"/>
        <v>-15.29392020799197</v>
      </c>
      <c r="I79">
        <v>4</v>
      </c>
      <c r="L79" s="1" t="s">
        <v>11</v>
      </c>
      <c r="M79" s="1" t="s">
        <v>7</v>
      </c>
      <c r="N79" s="1" t="s">
        <v>12</v>
      </c>
    </row>
    <row r="80" spans="1:14" x14ac:dyDescent="0.25">
      <c r="B80">
        <v>683</v>
      </c>
      <c r="C80">
        <v>783</v>
      </c>
      <c r="D80">
        <f t="shared" si="4"/>
        <v>956</v>
      </c>
      <c r="E80" s="14">
        <f t="shared" si="5"/>
        <v>10.460251046025105</v>
      </c>
      <c r="F80">
        <v>6.4799999999999996E-2</v>
      </c>
      <c r="G80" s="3">
        <v>1.37E-7</v>
      </c>
      <c r="H80" s="14">
        <f t="shared" si="3"/>
        <v>-15.803284911118286</v>
      </c>
      <c r="I80">
        <v>4</v>
      </c>
      <c r="L80" s="29">
        <v>0.3</v>
      </c>
      <c r="M80" s="13">
        <f>0.9948*LN(L80)-13.141</f>
        <v>-14.338712145743441</v>
      </c>
      <c r="N80" s="17">
        <f>EXP(M80)</f>
        <v>5.9262018196689022E-7</v>
      </c>
    </row>
    <row r="81" spans="1:15" x14ac:dyDescent="0.25">
      <c r="B81">
        <v>663</v>
      </c>
      <c r="C81">
        <v>763</v>
      </c>
      <c r="D81">
        <f t="shared" si="4"/>
        <v>936</v>
      </c>
      <c r="E81" s="14">
        <f t="shared" si="5"/>
        <v>10.683760683760683</v>
      </c>
      <c r="F81">
        <v>3.73E-2</v>
      </c>
      <c r="G81" s="20">
        <v>8.3599999999999994E-8</v>
      </c>
      <c r="H81" s="19">
        <f t="shared" si="3"/>
        <v>-16.297222316855756</v>
      </c>
      <c r="I81">
        <v>4</v>
      </c>
      <c r="K81" s="10"/>
      <c r="L81" s="29"/>
      <c r="M81" s="13"/>
      <c r="N81" s="17"/>
    </row>
    <row r="82" spans="1:15" x14ac:dyDescent="0.25">
      <c r="B82">
        <v>706</v>
      </c>
      <c r="C82">
        <v>806</v>
      </c>
      <c r="D82">
        <f t="shared" si="4"/>
        <v>979</v>
      </c>
      <c r="E82" s="14">
        <f t="shared" si="5"/>
        <v>10.214504596527069</v>
      </c>
      <c r="F82">
        <v>0.11600000000000001</v>
      </c>
      <c r="G82" s="20">
        <v>2.48E-7</v>
      </c>
      <c r="H82" s="19">
        <f t="shared" si="3"/>
        <v>-15.209837090781429</v>
      </c>
      <c r="I82">
        <v>4</v>
      </c>
      <c r="L82" s="30" t="s">
        <v>10</v>
      </c>
      <c r="M82" s="1" t="s">
        <v>80</v>
      </c>
      <c r="N82" s="1" t="s">
        <v>7</v>
      </c>
      <c r="O82" s="1" t="s">
        <v>12</v>
      </c>
    </row>
    <row r="83" spans="1:15" x14ac:dyDescent="0.25">
      <c r="A83" s="7">
        <v>43388</v>
      </c>
      <c r="B83">
        <v>680</v>
      </c>
      <c r="C83">
        <v>780</v>
      </c>
      <c r="D83">
        <f t="shared" si="4"/>
        <v>953</v>
      </c>
      <c r="E83" s="14">
        <f t="shared" si="5"/>
        <v>10.49317943336831</v>
      </c>
      <c r="G83" s="3">
        <v>1.29E-7</v>
      </c>
      <c r="H83" s="14">
        <f t="shared" si="3"/>
        <v>-15.863453432584739</v>
      </c>
      <c r="I83">
        <v>4</v>
      </c>
      <c r="L83" s="11">
        <v>676</v>
      </c>
      <c r="M83">
        <f>10000/(L83+273)</f>
        <v>10.537407797681769</v>
      </c>
      <c r="N83" s="3">
        <f>-2.2499*M83+ 8.0373</f>
        <v>-15.67081380400421</v>
      </c>
      <c r="O83" s="3">
        <f>EXP(N83)</f>
        <v>1.5640550613248761E-7</v>
      </c>
    </row>
    <row r="84" spans="1:15" x14ac:dyDescent="0.25">
      <c r="A84" s="7">
        <v>43396</v>
      </c>
      <c r="B84">
        <v>680</v>
      </c>
      <c r="C84">
        <v>780</v>
      </c>
      <c r="D84">
        <f t="shared" si="4"/>
        <v>953</v>
      </c>
      <c r="E84" s="14">
        <f t="shared" si="5"/>
        <v>10.49317943336831</v>
      </c>
      <c r="G84" s="3">
        <v>1.2700000000000001E-7</v>
      </c>
      <c r="H84" s="14">
        <f t="shared" si="3"/>
        <v>-15.879078750487819</v>
      </c>
      <c r="K84" s="10"/>
      <c r="L84" s="11"/>
      <c r="O84" s="3"/>
    </row>
    <row r="85" spans="1:15" x14ac:dyDescent="0.25">
      <c r="A85" s="7">
        <v>43402</v>
      </c>
      <c r="B85">
        <v>696</v>
      </c>
      <c r="C85">
        <v>796</v>
      </c>
      <c r="D85">
        <f t="shared" si="4"/>
        <v>969</v>
      </c>
      <c r="E85" s="14">
        <f t="shared" si="5"/>
        <v>10.319917440660475</v>
      </c>
      <c r="G85" s="3">
        <v>1.92E-7</v>
      </c>
      <c r="H85" s="14">
        <f t="shared" si="3"/>
        <v>-15.465770464918629</v>
      </c>
    </row>
    <row r="86" spans="1:15" x14ac:dyDescent="0.25">
      <c r="A86" s="7">
        <v>43415</v>
      </c>
      <c r="B86">
        <v>704</v>
      </c>
      <c r="C86">
        <v>804</v>
      </c>
      <c r="D86">
        <f t="shared" si="4"/>
        <v>977</v>
      </c>
      <c r="E86" s="14">
        <f t="shared" si="5"/>
        <v>10.235414534288639</v>
      </c>
      <c r="G86" s="3">
        <v>2.34E-7</v>
      </c>
      <c r="H86" s="14">
        <f t="shared" si="3"/>
        <v>-15.267944721588711</v>
      </c>
      <c r="L86" s="1" t="s">
        <v>37</v>
      </c>
      <c r="M86" s="1" t="s">
        <v>34</v>
      </c>
      <c r="N86" s="1" t="s">
        <v>83</v>
      </c>
      <c r="O86" s="1" t="s">
        <v>84</v>
      </c>
    </row>
    <row r="87" spans="1:15" x14ac:dyDescent="0.25">
      <c r="A87" s="7">
        <v>43418</v>
      </c>
      <c r="B87">
        <v>713</v>
      </c>
      <c r="C87">
        <v>813</v>
      </c>
      <c r="D87">
        <f t="shared" si="4"/>
        <v>986</v>
      </c>
      <c r="E87" s="14">
        <f t="shared" si="5"/>
        <v>10.141987829614605</v>
      </c>
      <c r="G87" s="3">
        <v>2.9499999999999998E-7</v>
      </c>
      <c r="H87" s="14">
        <f t="shared" si="3"/>
        <v>-15.036290480606592</v>
      </c>
      <c r="L87">
        <v>0.18</v>
      </c>
      <c r="M87">
        <f>L87*(5.653^2)/(6.0583^2)</f>
        <v>0.15672162477075449</v>
      </c>
      <c r="N87">
        <f>M87*(5.653)/2/10000*60*60</f>
        <v>0.15947052206923354</v>
      </c>
      <c r="O87">
        <f>L87*(6.0583)/2/10000*60*60</f>
        <v>0.19628891999999995</v>
      </c>
    </row>
    <row r="88" spans="1:15" x14ac:dyDescent="0.25">
      <c r="A88" s="7">
        <v>43431</v>
      </c>
      <c r="B88">
        <v>704</v>
      </c>
      <c r="C88">
        <v>804</v>
      </c>
      <c r="D88">
        <f t="shared" si="4"/>
        <v>977</v>
      </c>
      <c r="E88" s="14">
        <f t="shared" si="5"/>
        <v>10.235414534288639</v>
      </c>
      <c r="G88" s="3">
        <v>2.4200000000000002E-7</v>
      </c>
      <c r="H88" s="14">
        <f t="shared" si="3"/>
        <v>-15.234328110789725</v>
      </c>
      <c r="L88" s="36" t="s">
        <v>97</v>
      </c>
    </row>
    <row r="89" spans="1:15" x14ac:dyDescent="0.25">
      <c r="A89" s="7">
        <v>43433</v>
      </c>
      <c r="B89">
        <v>704</v>
      </c>
      <c r="C89">
        <v>804</v>
      </c>
      <c r="D89">
        <f t="shared" si="4"/>
        <v>977</v>
      </c>
      <c r="E89" s="14">
        <f t="shared" si="5"/>
        <v>10.235414534288639</v>
      </c>
      <c r="G89" s="3">
        <v>2.4200000000000002E-7</v>
      </c>
      <c r="H89" s="14">
        <f t="shared" si="3"/>
        <v>-15.234328110789725</v>
      </c>
    </row>
    <row r="90" spans="1:15" x14ac:dyDescent="0.25">
      <c r="A90" s="7">
        <v>43448</v>
      </c>
      <c r="B90">
        <v>721</v>
      </c>
      <c r="C90">
        <v>821</v>
      </c>
      <c r="D90">
        <f t="shared" si="4"/>
        <v>994</v>
      </c>
      <c r="E90" s="14">
        <f t="shared" si="5"/>
        <v>10.060362173038229</v>
      </c>
      <c r="G90" s="3">
        <v>4.7599999999999997E-7</v>
      </c>
      <c r="H90" s="14">
        <f t="shared" si="3"/>
        <v>-14.557847982714991</v>
      </c>
    </row>
    <row r="91" spans="1:15" x14ac:dyDescent="0.25">
      <c r="A91" s="7">
        <v>43539</v>
      </c>
      <c r="B91">
        <v>721</v>
      </c>
      <c r="C91">
        <v>821</v>
      </c>
      <c r="D91">
        <f t="shared" si="4"/>
        <v>994</v>
      </c>
      <c r="E91" s="14">
        <f t="shared" si="5"/>
        <v>10.060362173038229</v>
      </c>
      <c r="G91" s="3">
        <v>3.4700000000000002E-7</v>
      </c>
      <c r="H91" s="14">
        <f t="shared" si="3"/>
        <v>-14.873941056999552</v>
      </c>
      <c r="I91">
        <v>4</v>
      </c>
    </row>
    <row r="92" spans="1:15" x14ac:dyDescent="0.25">
      <c r="B92">
        <v>713</v>
      </c>
      <c r="C92">
        <v>813</v>
      </c>
      <c r="D92">
        <f t="shared" si="4"/>
        <v>986</v>
      </c>
      <c r="E92" s="14">
        <f t="shared" si="5"/>
        <v>10.141987829614605</v>
      </c>
      <c r="G92" s="3">
        <v>2.8500000000000002E-7</v>
      </c>
      <c r="H92" s="14">
        <f t="shared" si="3"/>
        <v>-15.07077665667776</v>
      </c>
      <c r="I92">
        <v>4</v>
      </c>
    </row>
    <row r="93" spans="1:15" x14ac:dyDescent="0.25">
      <c r="B93">
        <v>704</v>
      </c>
      <c r="C93">
        <v>804</v>
      </c>
      <c r="D93">
        <f t="shared" si="4"/>
        <v>977</v>
      </c>
      <c r="E93" s="14">
        <f t="shared" si="5"/>
        <v>10.235414534288639</v>
      </c>
      <c r="G93" s="3">
        <v>2.34E-7</v>
      </c>
      <c r="H93" s="14">
        <f t="shared" si="3"/>
        <v>-15.267944721588711</v>
      </c>
      <c r="I93">
        <v>4</v>
      </c>
      <c r="L93" t="s">
        <v>102</v>
      </c>
    </row>
    <row r="94" spans="1:15" x14ac:dyDescent="0.25">
      <c r="B94">
        <v>680</v>
      </c>
      <c r="C94">
        <v>780</v>
      </c>
      <c r="D94">
        <f t="shared" si="4"/>
        <v>953</v>
      </c>
      <c r="E94" s="14">
        <f t="shared" si="5"/>
        <v>10.49317943336831</v>
      </c>
      <c r="G94" s="3">
        <v>1.2800000000000001E-7</v>
      </c>
      <c r="H94" s="14">
        <f t="shared" si="3"/>
        <v>-15.871235573026794</v>
      </c>
      <c r="I94">
        <v>4</v>
      </c>
      <c r="L94" t="s">
        <v>101</v>
      </c>
    </row>
    <row r="95" spans="1:15" x14ac:dyDescent="0.25">
      <c r="A95" s="7">
        <v>43550</v>
      </c>
      <c r="B95">
        <v>770</v>
      </c>
      <c r="C95">
        <v>870</v>
      </c>
      <c r="D95">
        <f t="shared" si="4"/>
        <v>1043</v>
      </c>
      <c r="E95" s="14">
        <f t="shared" si="5"/>
        <v>9.5877277085330785</v>
      </c>
      <c r="F95" s="14">
        <v>0.56000000000000005</v>
      </c>
      <c r="G95" s="3">
        <v>1.1000000000000001E-6</v>
      </c>
      <c r="H95" s="14">
        <f t="shared" si="3"/>
        <v>-13.72020037815995</v>
      </c>
      <c r="I95">
        <v>4</v>
      </c>
    </row>
    <row r="96" spans="1:15" x14ac:dyDescent="0.25">
      <c r="B96">
        <v>721</v>
      </c>
      <c r="C96">
        <v>821</v>
      </c>
      <c r="D96">
        <f t="shared" si="4"/>
        <v>994</v>
      </c>
      <c r="E96" s="14">
        <f t="shared" si="5"/>
        <v>10.060362173038229</v>
      </c>
      <c r="F96">
        <v>0.17749999999999999</v>
      </c>
      <c r="G96" s="3">
        <v>3.3599999999999999E-7</v>
      </c>
      <c r="H96" s="14">
        <f t="shared" si="3"/>
        <v>-14.906154676983206</v>
      </c>
      <c r="I96">
        <v>4</v>
      </c>
    </row>
    <row r="97" spans="1:15" x14ac:dyDescent="0.25">
      <c r="B97">
        <v>713</v>
      </c>
      <c r="C97">
        <v>813</v>
      </c>
      <c r="D97">
        <f t="shared" si="4"/>
        <v>986</v>
      </c>
      <c r="E97" s="14">
        <f t="shared" si="5"/>
        <v>10.141987829614605</v>
      </c>
      <c r="F97">
        <v>0.15</v>
      </c>
      <c r="G97" s="3">
        <v>2.9400000000000001E-7</v>
      </c>
      <c r="H97" s="14">
        <f t="shared" si="3"/>
        <v>-15.039686069607729</v>
      </c>
      <c r="I97">
        <v>4</v>
      </c>
    </row>
    <row r="98" spans="1:15" x14ac:dyDescent="0.25">
      <c r="B98">
        <v>706</v>
      </c>
      <c r="C98">
        <v>806</v>
      </c>
      <c r="D98">
        <f t="shared" si="4"/>
        <v>979</v>
      </c>
      <c r="E98" s="14">
        <f t="shared" si="5"/>
        <v>10.214504596527069</v>
      </c>
      <c r="F98">
        <v>0.1285</v>
      </c>
      <c r="G98" s="3">
        <v>2.4900000000000002E-7</v>
      </c>
      <c r="H98" s="14">
        <f t="shared" si="3"/>
        <v>-15.205812940481703</v>
      </c>
      <c r="I98">
        <v>4</v>
      </c>
    </row>
    <row r="99" spans="1:15" x14ac:dyDescent="0.25">
      <c r="B99">
        <v>680</v>
      </c>
      <c r="C99">
        <v>780</v>
      </c>
      <c r="D99">
        <f t="shared" si="4"/>
        <v>953</v>
      </c>
      <c r="E99" s="14">
        <f t="shared" si="5"/>
        <v>10.49317943336831</v>
      </c>
      <c r="F99">
        <v>6.3500000000000001E-2</v>
      </c>
      <c r="G99" s="3">
        <v>1.2800000000000001E-7</v>
      </c>
      <c r="H99" s="14">
        <f t="shared" si="3"/>
        <v>-15.871235573026794</v>
      </c>
      <c r="I99">
        <v>4</v>
      </c>
    </row>
    <row r="100" spans="1:15" x14ac:dyDescent="0.25">
      <c r="A100" s="7">
        <v>43571</v>
      </c>
      <c r="B100">
        <v>680</v>
      </c>
      <c r="C100">
        <v>780</v>
      </c>
      <c r="D100">
        <f t="shared" si="4"/>
        <v>953</v>
      </c>
      <c r="E100" s="14">
        <f t="shared" si="5"/>
        <v>10.49317943336831</v>
      </c>
      <c r="G100" s="3">
        <v>1.31E-7</v>
      </c>
      <c r="H100" s="14">
        <f t="shared" si="3"/>
        <v>-15.848068513745259</v>
      </c>
    </row>
    <row r="101" spans="1:15" x14ac:dyDescent="0.25">
      <c r="B101">
        <v>675</v>
      </c>
      <c r="C101">
        <v>775</v>
      </c>
      <c r="D101">
        <f t="shared" si="4"/>
        <v>948</v>
      </c>
      <c r="E101" s="14">
        <f t="shared" si="5"/>
        <v>10.548523206751055</v>
      </c>
      <c r="G101" s="3">
        <v>1.14E-7</v>
      </c>
      <c r="H101" s="14">
        <f t="shared" si="3"/>
        <v>-15.987067388551916</v>
      </c>
    </row>
    <row r="102" spans="1:15" x14ac:dyDescent="0.25">
      <c r="A102" s="7">
        <v>43579</v>
      </c>
      <c r="B102">
        <v>680</v>
      </c>
      <c r="C102">
        <v>780</v>
      </c>
      <c r="D102">
        <f t="shared" si="4"/>
        <v>953</v>
      </c>
      <c r="E102" s="14">
        <f t="shared" si="5"/>
        <v>10.49317943336831</v>
      </c>
      <c r="G102" s="3">
        <v>1.24E-7</v>
      </c>
      <c r="H102" s="14">
        <f t="shared" si="3"/>
        <v>-15.902984271341374</v>
      </c>
    </row>
    <row r="103" spans="1:15" x14ac:dyDescent="0.25">
      <c r="A103" s="7">
        <v>43613</v>
      </c>
      <c r="B103">
        <v>710</v>
      </c>
      <c r="C103">
        <v>810</v>
      </c>
      <c r="D103">
        <f t="shared" si="4"/>
        <v>983</v>
      </c>
      <c r="E103" s="14">
        <f t="shared" si="5"/>
        <v>10.172939979654121</v>
      </c>
      <c r="G103" s="3">
        <v>2.8000000000000002E-7</v>
      </c>
      <c r="H103" s="14">
        <f t="shared" si="3"/>
        <v>-15.088476233777161</v>
      </c>
    </row>
    <row r="104" spans="1:15" x14ac:dyDescent="0.25">
      <c r="A104" s="7">
        <v>43663</v>
      </c>
      <c r="B104">
        <v>710</v>
      </c>
      <c r="C104">
        <v>810</v>
      </c>
      <c r="D104">
        <f t="shared" si="4"/>
        <v>983</v>
      </c>
      <c r="E104" s="14">
        <f t="shared" si="5"/>
        <v>10.172939979654121</v>
      </c>
      <c r="G104" s="3">
        <v>2.65E-7</v>
      </c>
      <c r="H104" s="14">
        <f t="shared" si="3"/>
        <v>-15.143536010960188</v>
      </c>
    </row>
    <row r="105" spans="1:15" x14ac:dyDescent="0.25">
      <c r="A105" s="7">
        <v>43670</v>
      </c>
      <c r="B105">
        <v>710</v>
      </c>
      <c r="C105">
        <v>810</v>
      </c>
      <c r="D105">
        <f t="shared" si="4"/>
        <v>983</v>
      </c>
      <c r="E105" s="14">
        <f t="shared" si="5"/>
        <v>10.172939979654121</v>
      </c>
      <c r="G105" s="3">
        <v>2.7000000000000001E-7</v>
      </c>
      <c r="H105" s="14">
        <f t="shared" si="3"/>
        <v>-15.124843877948036</v>
      </c>
    </row>
    <row r="106" spans="1:15" x14ac:dyDescent="0.25">
      <c r="A106" s="7">
        <v>43691</v>
      </c>
      <c r="B106">
        <v>721</v>
      </c>
      <c r="C106">
        <v>821</v>
      </c>
      <c r="D106">
        <f t="shared" si="4"/>
        <v>994</v>
      </c>
      <c r="E106" s="14">
        <f t="shared" si="5"/>
        <v>10.060362173038229</v>
      </c>
      <c r="G106" s="3">
        <v>3.4700000000000002E-7</v>
      </c>
      <c r="H106" s="14">
        <f t="shared" si="3"/>
        <v>-14.873941056999552</v>
      </c>
    </row>
    <row r="107" spans="1:15" x14ac:dyDescent="0.25">
      <c r="A107" s="6">
        <v>43802</v>
      </c>
      <c r="B107">
        <v>750</v>
      </c>
      <c r="C107">
        <v>900</v>
      </c>
      <c r="D107">
        <f t="shared" si="4"/>
        <v>1023</v>
      </c>
      <c r="E107" s="14">
        <f t="shared" si="5"/>
        <v>9.7751710654936463</v>
      </c>
      <c r="F107" s="14">
        <v>0.44</v>
      </c>
      <c r="G107" s="3">
        <v>8.6099999999999999E-7</v>
      </c>
      <c r="H107" s="14">
        <f t="shared" si="3"/>
        <v>-13.965171332518681</v>
      </c>
      <c r="I107">
        <v>4</v>
      </c>
      <c r="J107" t="s">
        <v>123</v>
      </c>
    </row>
    <row r="108" spans="1:15" x14ac:dyDescent="0.25">
      <c r="B108">
        <v>710</v>
      </c>
      <c r="C108">
        <v>860</v>
      </c>
      <c r="D108">
        <f t="shared" si="4"/>
        <v>983</v>
      </c>
      <c r="E108" s="14">
        <f t="shared" si="5"/>
        <v>10.172939979654121</v>
      </c>
      <c r="F108">
        <v>0.17799999999999999</v>
      </c>
      <c r="G108" s="3">
        <v>3.4999999999999998E-7</v>
      </c>
      <c r="H108" s="14">
        <f t="shared" si="3"/>
        <v>-14.865332682462952</v>
      </c>
      <c r="I108">
        <v>4</v>
      </c>
      <c r="J108" t="s">
        <v>125</v>
      </c>
    </row>
    <row r="109" spans="1:15" x14ac:dyDescent="0.25">
      <c r="B109">
        <v>730</v>
      </c>
      <c r="C109">
        <v>880</v>
      </c>
      <c r="D109">
        <f t="shared" si="4"/>
        <v>1003</v>
      </c>
      <c r="E109" s="14">
        <f t="shared" si="5"/>
        <v>9.9700897308075778</v>
      </c>
      <c r="F109">
        <v>0.28100000000000003</v>
      </c>
      <c r="G109" s="3">
        <v>5.6300000000000005E-7</v>
      </c>
      <c r="H109" s="14">
        <f t="shared" si="3"/>
        <v>-14.38998620880672</v>
      </c>
      <c r="I109">
        <v>4</v>
      </c>
      <c r="J109" t="s">
        <v>124</v>
      </c>
    </row>
    <row r="110" spans="1:15" x14ac:dyDescent="0.25">
      <c r="A110" s="7">
        <v>43812</v>
      </c>
      <c r="B110">
        <v>675</v>
      </c>
      <c r="C110">
        <v>825</v>
      </c>
      <c r="D110">
        <f t="shared" si="4"/>
        <v>948</v>
      </c>
      <c r="E110" s="14">
        <f t="shared" si="5"/>
        <v>10.548523206751055</v>
      </c>
      <c r="G110" s="3">
        <v>1.49E-7</v>
      </c>
      <c r="H110" s="14">
        <f t="shared" si="3"/>
        <v>-15.719319531000952</v>
      </c>
      <c r="L110" t="s">
        <v>156</v>
      </c>
    </row>
    <row r="111" spans="1:15" x14ac:dyDescent="0.25">
      <c r="A111" s="7">
        <v>43817</v>
      </c>
      <c r="B111">
        <v>675</v>
      </c>
      <c r="C111">
        <v>825</v>
      </c>
      <c r="D111">
        <f t="shared" si="4"/>
        <v>948</v>
      </c>
      <c r="E111" s="14">
        <f t="shared" si="5"/>
        <v>10.548523206751055</v>
      </c>
      <c r="G111" s="3">
        <v>1.48E-7</v>
      </c>
      <c r="H111" s="14">
        <f t="shared" si="3"/>
        <v>-15.726053563182296</v>
      </c>
      <c r="L111" s="1" t="s">
        <v>12</v>
      </c>
      <c r="M111" s="1" t="s">
        <v>153</v>
      </c>
      <c r="N111" s="1" t="s">
        <v>154</v>
      </c>
      <c r="O111" s="1" t="s">
        <v>155</v>
      </c>
    </row>
    <row r="112" spans="1:15" hidden="1" x14ac:dyDescent="0.25">
      <c r="A112" s="7">
        <v>43844</v>
      </c>
      <c r="B112">
        <v>689</v>
      </c>
      <c r="C112">
        <v>789</v>
      </c>
      <c r="D112">
        <f t="shared" si="4"/>
        <v>962</v>
      </c>
      <c r="E112" s="14">
        <f t="shared" si="5"/>
        <v>10.395010395010395</v>
      </c>
      <c r="G112" s="3">
        <v>1.8099999999999999E-7</v>
      </c>
      <c r="H112" s="14">
        <f t="shared" si="3"/>
        <v>-15.524768805680585</v>
      </c>
    </row>
    <row r="113" spans="1:15" hidden="1" x14ac:dyDescent="0.25">
      <c r="B113">
        <v>683</v>
      </c>
      <c r="C113">
        <v>783</v>
      </c>
      <c r="D113">
        <f t="shared" si="4"/>
        <v>956</v>
      </c>
      <c r="E113" s="14">
        <f t="shared" si="5"/>
        <v>10.460251046025105</v>
      </c>
      <c r="G113" s="3">
        <v>1.54E-7</v>
      </c>
      <c r="H113" s="14">
        <f t="shared" si="3"/>
        <v>-15.686313234532783</v>
      </c>
    </row>
    <row r="114" spans="1:15" x14ac:dyDescent="0.25">
      <c r="A114" s="6">
        <v>43844</v>
      </c>
      <c r="B114">
        <v>683</v>
      </c>
      <c r="C114">
        <f>B114+150</f>
        <v>833</v>
      </c>
      <c r="D114">
        <f t="shared" si="4"/>
        <v>956</v>
      </c>
      <c r="E114" s="14">
        <f t="shared" si="5"/>
        <v>10.460251046025105</v>
      </c>
      <c r="G114" s="3">
        <v>1.9299999999999999E-7</v>
      </c>
      <c r="H114" s="14">
        <f t="shared" si="3"/>
        <v>-15.460575648041525</v>
      </c>
      <c r="L114" s="3">
        <v>8.6099999999999999E-7</v>
      </c>
      <c r="M114">
        <v>522053</v>
      </c>
      <c r="N114">
        <v>-1.17E-2</v>
      </c>
      <c r="O114" s="2">
        <f>L114*M114+N114</f>
        <v>0.43778763300000001</v>
      </c>
    </row>
    <row r="115" spans="1:15" x14ac:dyDescent="0.25">
      <c r="B115">
        <v>678</v>
      </c>
      <c r="C115">
        <v>978</v>
      </c>
      <c r="D115">
        <f t="shared" si="4"/>
        <v>951</v>
      </c>
      <c r="E115" s="14">
        <f t="shared" si="5"/>
        <v>10.515247108307046</v>
      </c>
      <c r="G115" s="3">
        <v>1.6899999999999999E-7</v>
      </c>
      <c r="H115" s="14">
        <f t="shared" si="3"/>
        <v>-15.593367122023338</v>
      </c>
    </row>
    <row r="116" spans="1:15" x14ac:dyDescent="0.25">
      <c r="A116" s="7">
        <v>43847</v>
      </c>
      <c r="B116">
        <v>660</v>
      </c>
      <c r="C116">
        <f>B116+150</f>
        <v>810</v>
      </c>
      <c r="D116">
        <f t="shared" si="4"/>
        <v>933</v>
      </c>
      <c r="E116" s="14">
        <f t="shared" si="5"/>
        <v>10.718113612004288</v>
      </c>
      <c r="G116" s="3">
        <v>1.01E-7</v>
      </c>
      <c r="H116" s="14">
        <f t="shared" si="3"/>
        <v>-16.108145320105152</v>
      </c>
    </row>
    <row r="117" spans="1:15" x14ac:dyDescent="0.25">
      <c r="A117" s="6">
        <v>43865</v>
      </c>
      <c r="B117">
        <v>677</v>
      </c>
      <c r="C117">
        <v>827</v>
      </c>
      <c r="D117">
        <f t="shared" si="4"/>
        <v>950</v>
      </c>
      <c r="E117" s="14">
        <f t="shared" si="5"/>
        <v>10.526315789473685</v>
      </c>
      <c r="G117" s="3">
        <v>1.67E-7</v>
      </c>
      <c r="H117" s="14">
        <f t="shared" si="3"/>
        <v>-15.605272024529656</v>
      </c>
    </row>
    <row r="118" spans="1:15" x14ac:dyDescent="0.25">
      <c r="B118">
        <v>675</v>
      </c>
      <c r="C118">
        <v>825</v>
      </c>
      <c r="D118">
        <f t="shared" si="4"/>
        <v>948</v>
      </c>
      <c r="E118" s="14">
        <f t="shared" si="5"/>
        <v>10.548523206751055</v>
      </c>
      <c r="G118" s="3">
        <v>1.4499999999999999E-7</v>
      </c>
      <c r="H118" s="14">
        <f t="shared" si="3"/>
        <v>-15.746532094525836</v>
      </c>
      <c r="K118" s="65"/>
      <c r="L118" s="65"/>
      <c r="M118" s="65"/>
      <c r="N118" s="65"/>
    </row>
    <row r="119" spans="1:15" x14ac:dyDescent="0.25">
      <c r="A119" s="7">
        <v>43875</v>
      </c>
      <c r="B119">
        <v>677</v>
      </c>
      <c r="C119">
        <v>827</v>
      </c>
      <c r="D119">
        <f t="shared" si="4"/>
        <v>950</v>
      </c>
      <c r="E119" s="14">
        <f t="shared" si="5"/>
        <v>10.526315789473685</v>
      </c>
      <c r="G119" s="3">
        <v>1.5900000000000001E-7</v>
      </c>
      <c r="H119" s="14">
        <f t="shared" si="3"/>
        <v>-15.654361634726179</v>
      </c>
      <c r="L119" s="3"/>
      <c r="N119" s="16"/>
    </row>
    <row r="120" spans="1:15" x14ac:dyDescent="0.25">
      <c r="A120" s="7">
        <v>43879</v>
      </c>
      <c r="B120">
        <v>677</v>
      </c>
      <c r="C120">
        <v>827</v>
      </c>
      <c r="D120">
        <f t="shared" si="4"/>
        <v>950</v>
      </c>
      <c r="E120" s="14">
        <f t="shared" si="5"/>
        <v>10.526315789473685</v>
      </c>
      <c r="G120" s="3">
        <v>1.6199999999999999E-7</v>
      </c>
      <c r="H120" s="14">
        <f t="shared" si="3"/>
        <v>-15.635669501714027</v>
      </c>
    </row>
    <row r="121" spans="1:15" x14ac:dyDescent="0.25">
      <c r="A121" s="7">
        <v>43881</v>
      </c>
      <c r="B121">
        <v>677</v>
      </c>
      <c r="C121">
        <v>827</v>
      </c>
      <c r="D121">
        <f t="shared" si="4"/>
        <v>950</v>
      </c>
      <c r="E121" s="14">
        <f t="shared" si="5"/>
        <v>10.526315789473685</v>
      </c>
      <c r="G121" s="3">
        <v>1.5800000000000001E-7</v>
      </c>
      <c r="H121" s="14">
        <f t="shared" si="3"/>
        <v>-15.660670803919444</v>
      </c>
    </row>
    <row r="122" spans="1:15" x14ac:dyDescent="0.25">
      <c r="A122" s="7">
        <v>43888</v>
      </c>
      <c r="B122">
        <v>677</v>
      </c>
      <c r="C122">
        <v>827</v>
      </c>
      <c r="D122">
        <f t="shared" si="4"/>
        <v>950</v>
      </c>
      <c r="E122" s="14">
        <f t="shared" si="5"/>
        <v>10.526315789473685</v>
      </c>
      <c r="G122" s="3">
        <v>1.5900000000000001E-7</v>
      </c>
      <c r="H122" s="14">
        <f t="shared" si="3"/>
        <v>-15.654361634726179</v>
      </c>
    </row>
    <row r="123" spans="1:15" x14ac:dyDescent="0.25">
      <c r="A123" s="6">
        <v>44186</v>
      </c>
      <c r="B123">
        <v>750</v>
      </c>
      <c r="C123">
        <v>900</v>
      </c>
      <c r="D123">
        <f t="shared" si="4"/>
        <v>1023</v>
      </c>
      <c r="E123" s="14">
        <f t="shared" si="5"/>
        <v>9.7751710654936463</v>
      </c>
      <c r="G123" s="3">
        <v>9.2500000000000004E-7</v>
      </c>
      <c r="H123" s="14">
        <f t="shared" si="3"/>
        <v>-13.893472099433986</v>
      </c>
    </row>
    <row r="124" spans="1:15" x14ac:dyDescent="0.25">
      <c r="B124">
        <v>730</v>
      </c>
      <c r="C124">
        <v>880</v>
      </c>
      <c r="D124">
        <f t="shared" si="4"/>
        <v>1003</v>
      </c>
      <c r="E124" s="14">
        <f t="shared" si="5"/>
        <v>9.9700897308075778</v>
      </c>
      <c r="G124" s="3">
        <v>5.8500000000000001E-7</v>
      </c>
      <c r="H124" s="14">
        <f t="shared" si="3"/>
        <v>-14.351653989714555</v>
      </c>
    </row>
    <row r="125" spans="1:15" x14ac:dyDescent="0.25">
      <c r="A125" s="6">
        <v>44482</v>
      </c>
      <c r="B125">
        <v>730</v>
      </c>
      <c r="C125">
        <v>880</v>
      </c>
      <c r="D125">
        <f t="shared" si="4"/>
        <v>1003</v>
      </c>
      <c r="E125" s="14">
        <f t="shared" si="5"/>
        <v>9.9700897308075778</v>
      </c>
      <c r="G125" s="3">
        <v>5.9999999999999997E-7</v>
      </c>
      <c r="H125" s="14">
        <f t="shared" si="3"/>
        <v>-14.326336181730264</v>
      </c>
    </row>
    <row r="126" spans="1:15" x14ac:dyDescent="0.25">
      <c r="B126">
        <v>720</v>
      </c>
      <c r="C126">
        <v>870</v>
      </c>
      <c r="D126">
        <f t="shared" si="4"/>
        <v>993</v>
      </c>
      <c r="E126" s="14">
        <f t="shared" si="5"/>
        <v>10.070493454179255</v>
      </c>
      <c r="G126" s="3">
        <v>4.7E-7</v>
      </c>
      <c r="H126" s="14">
        <f t="shared" si="3"/>
        <v>-14.570533142242306</v>
      </c>
    </row>
    <row r="127" spans="1:15" x14ac:dyDescent="0.25">
      <c r="A127" t="s">
        <v>180</v>
      </c>
      <c r="E127" s="14"/>
      <c r="G127" s="3"/>
      <c r="H127" s="14"/>
      <c r="K127" t="s">
        <v>223</v>
      </c>
    </row>
    <row r="128" spans="1:15" x14ac:dyDescent="0.25">
      <c r="A128" s="6">
        <v>44776</v>
      </c>
      <c r="B128">
        <v>750</v>
      </c>
      <c r="C128">
        <v>900</v>
      </c>
      <c r="D128">
        <f t="shared" ref="D128:D138" si="6">B128+273</f>
        <v>1023</v>
      </c>
      <c r="E128" s="14">
        <f t="shared" ref="E128:E167" si="7">10000/D128</f>
        <v>9.7751710654936463</v>
      </c>
      <c r="G128" s="61">
        <v>9.4499999999999995E-7</v>
      </c>
      <c r="H128" s="14">
        <f t="shared" ref="H128:H155" si="8">LN(G128)</f>
        <v>-13.872080909452668</v>
      </c>
      <c r="J128" t="s">
        <v>181</v>
      </c>
      <c r="K128" s="61">
        <v>9.4499999999999995E-7</v>
      </c>
    </row>
    <row r="129" spans="1:20" x14ac:dyDescent="0.25">
      <c r="B129">
        <v>730</v>
      </c>
      <c r="C129">
        <v>880</v>
      </c>
      <c r="D129">
        <f t="shared" si="6"/>
        <v>1003</v>
      </c>
      <c r="E129" s="14">
        <f t="shared" si="7"/>
        <v>9.9700897308075778</v>
      </c>
      <c r="G129" s="3">
        <v>5.8299999999999997E-7</v>
      </c>
      <c r="H129" s="14">
        <f t="shared" si="8"/>
        <v>-14.355078650595919</v>
      </c>
      <c r="J129" t="s">
        <v>182</v>
      </c>
      <c r="K129" s="3">
        <v>5.8299999999999997E-7</v>
      </c>
    </row>
    <row r="130" spans="1:20" x14ac:dyDescent="0.25">
      <c r="A130" s="6">
        <v>44777</v>
      </c>
      <c r="B130">
        <v>750</v>
      </c>
      <c r="C130">
        <v>900</v>
      </c>
      <c r="D130">
        <f t="shared" si="6"/>
        <v>1023</v>
      </c>
      <c r="E130" s="14">
        <f t="shared" si="7"/>
        <v>9.7751710654936463</v>
      </c>
      <c r="G130" s="61">
        <v>9.4399999999999998E-7</v>
      </c>
      <c r="H130" s="14">
        <f t="shared" si="8"/>
        <v>-13.87313967080091</v>
      </c>
      <c r="J130" t="s">
        <v>183</v>
      </c>
      <c r="K130" s="61">
        <v>9.4399999999999998E-7</v>
      </c>
    </row>
    <row r="131" spans="1:20" x14ac:dyDescent="0.25">
      <c r="B131">
        <v>730</v>
      </c>
      <c r="C131">
        <v>880</v>
      </c>
      <c r="D131">
        <f t="shared" si="6"/>
        <v>1003</v>
      </c>
      <c r="E131" s="14">
        <f t="shared" si="7"/>
        <v>9.9700897308075778</v>
      </c>
      <c r="F131">
        <v>0.28199999999999997</v>
      </c>
      <c r="G131" s="3">
        <v>5.6899999999999997E-7</v>
      </c>
      <c r="H131" s="14">
        <f t="shared" si="8"/>
        <v>-14.37938540282008</v>
      </c>
      <c r="I131" t="s">
        <v>197</v>
      </c>
      <c r="J131" t="s">
        <v>185</v>
      </c>
      <c r="K131" s="3">
        <v>5.6899999999999997E-7</v>
      </c>
    </row>
    <row r="132" spans="1:20" x14ac:dyDescent="0.25">
      <c r="B132">
        <v>710</v>
      </c>
      <c r="C132">
        <v>860</v>
      </c>
      <c r="D132">
        <f t="shared" si="6"/>
        <v>983</v>
      </c>
      <c r="E132" s="14">
        <f t="shared" si="7"/>
        <v>10.172939979654121</v>
      </c>
      <c r="F132">
        <v>0.16700000000000001</v>
      </c>
      <c r="G132" s="3">
        <v>3.5400000000000002E-7</v>
      </c>
      <c r="H132" s="14">
        <f t="shared" si="8"/>
        <v>-14.853968923812637</v>
      </c>
      <c r="I132" t="s">
        <v>197</v>
      </c>
      <c r="J132" t="s">
        <v>184</v>
      </c>
      <c r="K132" s="3">
        <v>3.5400000000000002E-7</v>
      </c>
    </row>
    <row r="133" spans="1:20" x14ac:dyDescent="0.25">
      <c r="B133">
        <v>700</v>
      </c>
      <c r="C133">
        <v>850</v>
      </c>
      <c r="D133">
        <f t="shared" si="6"/>
        <v>973</v>
      </c>
      <c r="E133" s="14">
        <f t="shared" si="7"/>
        <v>10.277492291880781</v>
      </c>
      <c r="F133">
        <v>0.13600000000000001</v>
      </c>
      <c r="G133" s="3">
        <v>2.8000000000000002E-7</v>
      </c>
      <c r="H133" s="14">
        <f t="shared" si="8"/>
        <v>-15.088476233777161</v>
      </c>
      <c r="I133" t="s">
        <v>197</v>
      </c>
      <c r="K133" s="3">
        <v>2.8000000000000002E-7</v>
      </c>
    </row>
    <row r="134" spans="1:20" x14ac:dyDescent="0.25">
      <c r="A134" s="6">
        <v>44803</v>
      </c>
      <c r="B134">
        <v>720</v>
      </c>
      <c r="C134">
        <v>870</v>
      </c>
      <c r="D134">
        <f t="shared" si="6"/>
        <v>993</v>
      </c>
      <c r="E134" s="14">
        <f t="shared" si="7"/>
        <v>10.070493454179255</v>
      </c>
      <c r="G134" s="3">
        <v>4.4999999999999998E-7</v>
      </c>
      <c r="H134" s="14">
        <f t="shared" si="8"/>
        <v>-14.614018254182046</v>
      </c>
      <c r="K134" s="3">
        <v>4.4999999999999998E-7</v>
      </c>
    </row>
    <row r="135" spans="1:20" x14ac:dyDescent="0.25">
      <c r="A135" s="6">
        <v>44862</v>
      </c>
      <c r="B135">
        <v>720</v>
      </c>
      <c r="C135">
        <v>870</v>
      </c>
      <c r="D135">
        <f t="shared" si="6"/>
        <v>993</v>
      </c>
      <c r="E135" s="14">
        <f t="shared" si="7"/>
        <v>10.070493454179255</v>
      </c>
      <c r="F135" s="14">
        <v>0.22500000000000001</v>
      </c>
      <c r="G135" s="3">
        <v>4.4999999999999998E-7</v>
      </c>
      <c r="H135" s="14">
        <f t="shared" si="8"/>
        <v>-14.614018254182046</v>
      </c>
      <c r="K135" s="3">
        <v>4.4999999999999998E-7</v>
      </c>
    </row>
    <row r="136" spans="1:20" x14ac:dyDescent="0.25">
      <c r="A136" s="6">
        <v>44868</v>
      </c>
      <c r="B136">
        <v>760</v>
      </c>
      <c r="C136">
        <v>910</v>
      </c>
      <c r="D136">
        <f t="shared" si="6"/>
        <v>1033</v>
      </c>
      <c r="E136" s="14">
        <f t="shared" si="7"/>
        <v>9.6805421103581804</v>
      </c>
      <c r="G136" s="3">
        <v>1.5099999999999999E-6</v>
      </c>
      <c r="H136" s="14">
        <f t="shared" si="8"/>
        <v>-13.403400907137442</v>
      </c>
      <c r="K136" s="3"/>
    </row>
    <row r="137" spans="1:20" x14ac:dyDescent="0.25">
      <c r="B137">
        <v>750</v>
      </c>
      <c r="C137">
        <v>900</v>
      </c>
      <c r="D137">
        <f t="shared" si="6"/>
        <v>1023</v>
      </c>
      <c r="E137" s="14">
        <f t="shared" si="7"/>
        <v>9.7751710654936463</v>
      </c>
      <c r="G137" s="3">
        <v>9.0999999999999997E-7</v>
      </c>
      <c r="H137" s="14">
        <f t="shared" si="8"/>
        <v>-13.909821237435516</v>
      </c>
      <c r="K137" s="3">
        <v>9.0999999999999997E-7</v>
      </c>
    </row>
    <row r="138" spans="1:20" x14ac:dyDescent="0.25">
      <c r="B138">
        <v>720</v>
      </c>
      <c r="C138">
        <v>870</v>
      </c>
      <c r="D138">
        <f t="shared" si="6"/>
        <v>993</v>
      </c>
      <c r="E138" s="14">
        <f t="shared" si="7"/>
        <v>10.070493454179255</v>
      </c>
      <c r="G138" s="3">
        <v>4.5999999999999999E-7</v>
      </c>
      <c r="H138" s="14">
        <f t="shared" si="8"/>
        <v>-14.59203934746327</v>
      </c>
      <c r="K138" s="3">
        <v>4.5999999999999999E-7</v>
      </c>
      <c r="N138" t="s">
        <v>188</v>
      </c>
      <c r="Q138" t="s">
        <v>214</v>
      </c>
    </row>
    <row r="139" spans="1:20" x14ac:dyDescent="0.25">
      <c r="A139" s="6">
        <v>44875</v>
      </c>
      <c r="B139">
        <v>700</v>
      </c>
      <c r="C139">
        <v>850</v>
      </c>
      <c r="D139">
        <f>B139+273</f>
        <v>973</v>
      </c>
      <c r="E139" s="14">
        <f>10000/D139</f>
        <v>10.277492291880781</v>
      </c>
      <c r="G139" s="3">
        <v>2.8599999999999999E-7</v>
      </c>
      <c r="H139" s="14">
        <f t="shared" si="8"/>
        <v>-15.067274026126558</v>
      </c>
      <c r="K139" s="3">
        <v>2.8599999999999999E-7</v>
      </c>
      <c r="L139" t="s">
        <v>224</v>
      </c>
      <c r="M139" s="65" t="s">
        <v>189</v>
      </c>
      <c r="N139" s="65" t="s">
        <v>191</v>
      </c>
      <c r="O139" s="65" t="s">
        <v>192</v>
      </c>
      <c r="P139" s="65" t="s">
        <v>190</v>
      </c>
      <c r="Q139" s="49" t="s">
        <v>12</v>
      </c>
      <c r="R139" s="49" t="s">
        <v>38</v>
      </c>
      <c r="S139" s="49" t="s">
        <v>39</v>
      </c>
      <c r="T139" s="49" t="s">
        <v>215</v>
      </c>
    </row>
    <row r="140" spans="1:20" x14ac:dyDescent="0.25">
      <c r="A140" s="6">
        <v>44883</v>
      </c>
      <c r="B140">
        <v>750</v>
      </c>
      <c r="C140">
        <v>900</v>
      </c>
      <c r="D140">
        <f>B140+273</f>
        <v>1023</v>
      </c>
      <c r="E140" s="14">
        <f t="shared" si="7"/>
        <v>9.7751710654936463</v>
      </c>
      <c r="F140" s="14">
        <v>0.47</v>
      </c>
      <c r="G140" s="3">
        <v>9.0999999999999997E-7</v>
      </c>
      <c r="H140" s="14">
        <f t="shared" si="8"/>
        <v>-13.909821237435516</v>
      </c>
      <c r="I140" t="s">
        <v>197</v>
      </c>
      <c r="K140" s="3">
        <v>9.0999999999999997E-7</v>
      </c>
      <c r="L140" s="3">
        <v>9.09E-7</v>
      </c>
      <c r="M140">
        <v>750</v>
      </c>
      <c r="N140" s="3">
        <v>2.7609999999999999E-14</v>
      </c>
      <c r="O140" s="3">
        <v>2.308E-2</v>
      </c>
      <c r="P140" s="16">
        <f>N140*EXP(O140*M140)</f>
        <v>9.0929308502340885E-7</v>
      </c>
      <c r="Q140" s="16">
        <v>9.3500000000000005E-7</v>
      </c>
      <c r="R140">
        <v>544813</v>
      </c>
      <c r="S140">
        <v>-3.09E-2</v>
      </c>
      <c r="T140" s="2">
        <f>Q140*R140+S140</f>
        <v>0.47850015500000004</v>
      </c>
    </row>
    <row r="141" spans="1:20" x14ac:dyDescent="0.25">
      <c r="B141">
        <v>730</v>
      </c>
      <c r="C141">
        <v>880</v>
      </c>
      <c r="D141">
        <f>B141+273</f>
        <v>1003</v>
      </c>
      <c r="E141" s="14">
        <f t="shared" si="7"/>
        <v>9.9700897308075778</v>
      </c>
      <c r="F141">
        <v>0.26900000000000002</v>
      </c>
      <c r="G141" s="3"/>
      <c r="H141" s="14" t="e">
        <f t="shared" si="8"/>
        <v>#NUM!</v>
      </c>
      <c r="I141" t="s">
        <v>197</v>
      </c>
      <c r="K141" s="3"/>
      <c r="L141" s="3">
        <v>5.7309999999999996E-7</v>
      </c>
    </row>
    <row r="142" spans="1:20" x14ac:dyDescent="0.25">
      <c r="B142">
        <v>700</v>
      </c>
      <c r="C142">
        <v>850</v>
      </c>
      <c r="D142">
        <f>B142+273</f>
        <v>973</v>
      </c>
      <c r="E142" s="14">
        <f t="shared" si="7"/>
        <v>10.277492291880781</v>
      </c>
      <c r="F142">
        <v>0.13200000000000001</v>
      </c>
      <c r="G142" s="3"/>
      <c r="H142" s="14" t="e">
        <f t="shared" si="8"/>
        <v>#NUM!</v>
      </c>
      <c r="I142" t="s">
        <v>197</v>
      </c>
      <c r="K142" s="3"/>
      <c r="L142" s="3">
        <v>2.868E-7</v>
      </c>
      <c r="P142" t="s">
        <v>202</v>
      </c>
      <c r="Q142" t="s">
        <v>225</v>
      </c>
      <c r="R142" t="s">
        <v>226</v>
      </c>
    </row>
    <row r="143" spans="1:20" x14ac:dyDescent="0.25">
      <c r="A143" s="6">
        <v>44887</v>
      </c>
      <c r="B143">
        <v>730</v>
      </c>
      <c r="C143">
        <v>880</v>
      </c>
      <c r="D143">
        <f t="shared" ref="D143:D167" si="9">B143+273</f>
        <v>1003</v>
      </c>
      <c r="E143" s="14">
        <f t="shared" si="7"/>
        <v>9.9700897308075778</v>
      </c>
      <c r="G143" s="3">
        <v>5.7000000000000005E-7</v>
      </c>
      <c r="H143" s="14">
        <f t="shared" si="8"/>
        <v>-14.377629476117816</v>
      </c>
      <c r="K143" s="3">
        <v>5.7000000000000005E-7</v>
      </c>
      <c r="P143" s="3">
        <v>1.2999999999999999E-5</v>
      </c>
      <c r="Q143" s="3">
        <v>1.5907000000000001E-7</v>
      </c>
      <c r="R143" s="3">
        <f>P143/Q143</f>
        <v>81.725026717797192</v>
      </c>
    </row>
    <row r="144" spans="1:20" x14ac:dyDescent="0.25">
      <c r="A144" s="6">
        <v>44896</v>
      </c>
      <c r="B144">
        <v>750</v>
      </c>
      <c r="C144">
        <v>900</v>
      </c>
      <c r="D144">
        <f t="shared" si="9"/>
        <v>1023</v>
      </c>
      <c r="E144" s="14">
        <f t="shared" si="7"/>
        <v>9.7751710654936463</v>
      </c>
      <c r="G144" s="3">
        <v>8.6899999999999996E-7</v>
      </c>
      <c r="H144" s="14">
        <f t="shared" si="8"/>
        <v>-13.955922711681019</v>
      </c>
      <c r="J144" t="s">
        <v>230</v>
      </c>
      <c r="K144" s="3">
        <v>8.6899999999999996E-7</v>
      </c>
    </row>
    <row r="145" spans="1:19" x14ac:dyDescent="0.25">
      <c r="B145">
        <v>755</v>
      </c>
      <c r="C145">
        <v>905</v>
      </c>
      <c r="D145">
        <f t="shared" si="9"/>
        <v>1028</v>
      </c>
      <c r="E145" s="14">
        <f t="shared" si="7"/>
        <v>9.7276264591439681</v>
      </c>
      <c r="G145" s="3">
        <v>9.64E-7</v>
      </c>
      <c r="H145" s="14">
        <f t="shared" si="8"/>
        <v>-13.852174542335865</v>
      </c>
      <c r="K145" s="3">
        <v>9.64E-7</v>
      </c>
    </row>
    <row r="146" spans="1:19" x14ac:dyDescent="0.25">
      <c r="B146">
        <v>752</v>
      </c>
      <c r="C146">
        <v>902</v>
      </c>
      <c r="D146">
        <f t="shared" si="9"/>
        <v>1025</v>
      </c>
      <c r="E146" s="14">
        <f t="shared" si="7"/>
        <v>9.7560975609756095</v>
      </c>
      <c r="G146" s="3">
        <v>9.09E-7</v>
      </c>
      <c r="H146" s="14">
        <f t="shared" si="8"/>
        <v>-13.910920742768932</v>
      </c>
      <c r="I146" t="s">
        <v>196</v>
      </c>
      <c r="J146" s="14" t="s">
        <v>196</v>
      </c>
      <c r="K146" s="3">
        <v>9.09E-7</v>
      </c>
      <c r="Q146">
        <f>9/25</f>
        <v>0.36</v>
      </c>
      <c r="R146">
        <v>0.17</v>
      </c>
      <c r="S146">
        <f>Q146*R146+1.53</f>
        <v>1.5911999999999999</v>
      </c>
    </row>
    <row r="147" spans="1:19" x14ac:dyDescent="0.25">
      <c r="A147" s="6">
        <v>44903</v>
      </c>
      <c r="B147">
        <v>750</v>
      </c>
      <c r="C147">
        <v>900</v>
      </c>
      <c r="D147">
        <f t="shared" si="9"/>
        <v>1023</v>
      </c>
      <c r="E147" s="14">
        <f t="shared" si="7"/>
        <v>9.7751710654936463</v>
      </c>
      <c r="G147" s="3">
        <v>9.0299999999999997E-7</v>
      </c>
      <c r="H147" s="14">
        <f t="shared" si="8"/>
        <v>-13.917543283529426</v>
      </c>
    </row>
    <row r="148" spans="1:19" x14ac:dyDescent="0.25">
      <c r="A148" s="6">
        <v>44909</v>
      </c>
      <c r="B148">
        <v>750</v>
      </c>
      <c r="C148">
        <v>900</v>
      </c>
      <c r="D148">
        <f t="shared" si="9"/>
        <v>1023</v>
      </c>
      <c r="E148" s="14">
        <f t="shared" si="7"/>
        <v>9.7751710654936463</v>
      </c>
      <c r="G148" s="3">
        <v>8.6199999999999996E-7</v>
      </c>
      <c r="H148" s="14">
        <f t="shared" si="8"/>
        <v>-13.964010566282719</v>
      </c>
    </row>
    <row r="149" spans="1:19" x14ac:dyDescent="0.25">
      <c r="A149" s="6">
        <v>44911</v>
      </c>
      <c r="B149">
        <v>750</v>
      </c>
      <c r="C149">
        <v>900</v>
      </c>
      <c r="D149">
        <f t="shared" si="9"/>
        <v>1023</v>
      </c>
      <c r="E149" s="14">
        <f t="shared" si="7"/>
        <v>9.7751710654936463</v>
      </c>
      <c r="G149" s="3">
        <v>8.6899999999999996E-7</v>
      </c>
      <c r="H149" s="14">
        <f t="shared" si="8"/>
        <v>-13.955922711681019</v>
      </c>
    </row>
    <row r="150" spans="1:19" x14ac:dyDescent="0.25">
      <c r="B150">
        <v>730</v>
      </c>
      <c r="C150">
        <v>880</v>
      </c>
      <c r="D150">
        <f t="shared" si="9"/>
        <v>1003</v>
      </c>
      <c r="E150" s="14">
        <f t="shared" si="7"/>
        <v>9.9700897308075778</v>
      </c>
      <c r="G150" s="3">
        <v>5.44E-7</v>
      </c>
      <c r="H150" s="14">
        <f t="shared" si="8"/>
        <v>-14.424316590090468</v>
      </c>
    </row>
    <row r="151" spans="1:19" x14ac:dyDescent="0.25">
      <c r="B151">
        <v>710</v>
      </c>
      <c r="C151">
        <v>860</v>
      </c>
      <c r="D151">
        <f t="shared" si="9"/>
        <v>983</v>
      </c>
      <c r="E151" s="14">
        <f t="shared" si="7"/>
        <v>10.172939979654121</v>
      </c>
      <c r="G151" s="3">
        <v>3.7800000000000002E-7</v>
      </c>
      <c r="H151" s="14">
        <f t="shared" si="8"/>
        <v>-14.788371641326824</v>
      </c>
    </row>
    <row r="152" spans="1:19" x14ac:dyDescent="0.25">
      <c r="B152">
        <v>700</v>
      </c>
      <c r="C152">
        <v>850</v>
      </c>
      <c r="D152">
        <f t="shared" si="9"/>
        <v>973</v>
      </c>
      <c r="E152" s="14">
        <f t="shared" si="7"/>
        <v>10.277492291880781</v>
      </c>
      <c r="G152" s="3">
        <v>2.8000000000000002E-7</v>
      </c>
      <c r="H152" s="14">
        <f t="shared" si="8"/>
        <v>-15.088476233777161</v>
      </c>
    </row>
    <row r="153" spans="1:19" x14ac:dyDescent="0.25">
      <c r="A153" s="6">
        <v>44914</v>
      </c>
      <c r="B153">
        <v>750</v>
      </c>
      <c r="C153">
        <v>900</v>
      </c>
      <c r="D153">
        <f t="shared" si="9"/>
        <v>1023</v>
      </c>
      <c r="E153" s="14">
        <f t="shared" si="7"/>
        <v>9.7751710654936463</v>
      </c>
      <c r="G153" s="3">
        <v>8.8999999999999995E-7</v>
      </c>
      <c r="H153" s="14">
        <f t="shared" si="8"/>
        <v>-13.932044374220226</v>
      </c>
    </row>
    <row r="154" spans="1:19" x14ac:dyDescent="0.25">
      <c r="A154" s="6">
        <v>44931</v>
      </c>
      <c r="B154">
        <v>750</v>
      </c>
      <c r="C154">
        <v>900</v>
      </c>
      <c r="D154">
        <f t="shared" si="9"/>
        <v>1023</v>
      </c>
      <c r="E154" s="14">
        <f t="shared" si="7"/>
        <v>9.7751710654936463</v>
      </c>
      <c r="G154" s="3">
        <v>8.5099999999999998E-7</v>
      </c>
      <c r="H154" s="14">
        <f t="shared" si="8"/>
        <v>-13.976853708373037</v>
      </c>
      <c r="J154" t="s">
        <v>233</v>
      </c>
    </row>
    <row r="155" spans="1:19" x14ac:dyDescent="0.25">
      <c r="B155">
        <v>753</v>
      </c>
      <c r="C155">
        <v>903</v>
      </c>
      <c r="D155">
        <f t="shared" si="9"/>
        <v>1026</v>
      </c>
      <c r="E155" s="14">
        <f t="shared" si="7"/>
        <v>9.7465886939571149</v>
      </c>
      <c r="G155" s="3">
        <v>9.3600000000000002E-7</v>
      </c>
      <c r="H155" s="14">
        <f t="shared" si="8"/>
        <v>-13.88165036046882</v>
      </c>
    </row>
    <row r="156" spans="1:19" x14ac:dyDescent="0.25">
      <c r="A156" s="49" t="s">
        <v>245</v>
      </c>
      <c r="B156" s="49"/>
      <c r="C156" s="49"/>
      <c r="D156" s="49"/>
      <c r="E156" s="49"/>
      <c r="F156" s="49"/>
      <c r="G156" s="61"/>
      <c r="H156" s="87"/>
      <c r="I156" s="49"/>
      <c r="J156" s="49" t="s">
        <v>245</v>
      </c>
    </row>
    <row r="157" spans="1:19" x14ac:dyDescent="0.25">
      <c r="A157" s="6">
        <v>45047</v>
      </c>
      <c r="B157">
        <v>750</v>
      </c>
      <c r="C157">
        <v>900</v>
      </c>
      <c r="D157">
        <f t="shared" si="9"/>
        <v>1023</v>
      </c>
      <c r="E157" s="14">
        <f t="shared" si="7"/>
        <v>9.7751710654936463</v>
      </c>
      <c r="G157" s="3">
        <v>9.7600000000000006E-7</v>
      </c>
      <c r="H157" s="14">
        <f t="shared" ref="H157:H167" si="10">LN(G157)</f>
        <v>-13.839803250533318</v>
      </c>
    </row>
    <row r="158" spans="1:19" x14ac:dyDescent="0.25">
      <c r="B158">
        <v>730</v>
      </c>
      <c r="C158">
        <v>880</v>
      </c>
      <c r="D158">
        <f t="shared" si="9"/>
        <v>1003</v>
      </c>
      <c r="E158" s="14">
        <f t="shared" si="7"/>
        <v>9.9700897308075778</v>
      </c>
      <c r="G158" s="3">
        <v>6.13E-7</v>
      </c>
      <c r="H158" s="14">
        <f t="shared" si="10"/>
        <v>-14.3049009010102</v>
      </c>
    </row>
    <row r="159" spans="1:19" x14ac:dyDescent="0.25">
      <c r="B159">
        <v>710</v>
      </c>
      <c r="C159">
        <v>860</v>
      </c>
      <c r="D159">
        <f t="shared" si="9"/>
        <v>983</v>
      </c>
      <c r="E159" s="14">
        <f t="shared" si="7"/>
        <v>10.172939979654121</v>
      </c>
      <c r="G159" s="3">
        <v>3.7500000000000001E-7</v>
      </c>
      <c r="H159" s="14">
        <f t="shared" si="10"/>
        <v>-14.796339810976001</v>
      </c>
    </row>
    <row r="160" spans="1:19" x14ac:dyDescent="0.25">
      <c r="A160" s="6">
        <v>45089</v>
      </c>
      <c r="B160">
        <v>775</v>
      </c>
      <c r="C160">
        <v>925</v>
      </c>
      <c r="D160">
        <f t="shared" si="9"/>
        <v>1048</v>
      </c>
      <c r="E160" s="14">
        <f t="shared" si="7"/>
        <v>9.5419847328244281</v>
      </c>
      <c r="G160" s="3">
        <v>1.64E-6</v>
      </c>
      <c r="H160" s="14">
        <f t="shared" si="10"/>
        <v>-13.320814316128168</v>
      </c>
    </row>
    <row r="161" spans="1:8" x14ac:dyDescent="0.25">
      <c r="B161">
        <v>750</v>
      </c>
      <c r="C161">
        <v>900</v>
      </c>
      <c r="D161">
        <f t="shared" si="9"/>
        <v>1023</v>
      </c>
      <c r="E161" s="14">
        <f t="shared" si="7"/>
        <v>9.7751710654936463</v>
      </c>
      <c r="G161" s="3">
        <v>9.4799999999999997E-7</v>
      </c>
      <c r="H161" s="14">
        <f t="shared" si="10"/>
        <v>-13.86891133469139</v>
      </c>
    </row>
    <row r="162" spans="1:8" x14ac:dyDescent="0.25">
      <c r="B162">
        <v>725</v>
      </c>
      <c r="C162">
        <v>875</v>
      </c>
      <c r="D162">
        <f t="shared" si="9"/>
        <v>998</v>
      </c>
      <c r="E162" s="14">
        <f t="shared" si="7"/>
        <v>10.020040080160321</v>
      </c>
      <c r="G162" s="3">
        <v>5.4099999999999999E-7</v>
      </c>
      <c r="H162" s="14">
        <f t="shared" si="10"/>
        <v>-14.42984655809993</v>
      </c>
    </row>
    <row r="163" spans="1:8" x14ac:dyDescent="0.25">
      <c r="A163" s="6">
        <v>45205</v>
      </c>
      <c r="B163">
        <v>750</v>
      </c>
      <c r="C163">
        <v>900</v>
      </c>
      <c r="D163">
        <f t="shared" si="9"/>
        <v>1023</v>
      </c>
      <c r="E163" s="14">
        <f t="shared" si="7"/>
        <v>9.7751710654936463</v>
      </c>
      <c r="G163" s="3">
        <v>9.5999999999999991E-7</v>
      </c>
      <c r="H163" s="14">
        <f t="shared" si="10"/>
        <v>-13.856332552484529</v>
      </c>
    </row>
    <row r="164" spans="1:8" x14ac:dyDescent="0.25">
      <c r="A164" s="6">
        <v>45211</v>
      </c>
      <c r="B164">
        <v>750</v>
      </c>
      <c r="C164">
        <v>900</v>
      </c>
      <c r="D164">
        <f t="shared" si="9"/>
        <v>1023</v>
      </c>
      <c r="E164" s="14">
        <f t="shared" si="7"/>
        <v>9.7751710654936463</v>
      </c>
      <c r="G164" s="3">
        <v>9.4600000000000003E-7</v>
      </c>
      <c r="H164" s="14">
        <f t="shared" si="10"/>
        <v>-13.871023267894532</v>
      </c>
    </row>
    <row r="165" spans="1:8" x14ac:dyDescent="0.25">
      <c r="A165" s="6">
        <v>45251</v>
      </c>
      <c r="B165">
        <v>700</v>
      </c>
      <c r="C165">
        <v>850</v>
      </c>
      <c r="D165">
        <f t="shared" si="9"/>
        <v>973</v>
      </c>
      <c r="E165" s="14">
        <f t="shared" si="7"/>
        <v>10.277492291880781</v>
      </c>
      <c r="F165" s="14">
        <v>0.1</v>
      </c>
      <c r="G165" s="3">
        <v>2.8500000000000002E-7</v>
      </c>
      <c r="H165" s="14">
        <f t="shared" si="10"/>
        <v>-15.07077665667776</v>
      </c>
    </row>
    <row r="166" spans="1:8" x14ac:dyDescent="0.25">
      <c r="B166">
        <v>725</v>
      </c>
      <c r="C166">
        <v>875</v>
      </c>
      <c r="D166">
        <f t="shared" si="9"/>
        <v>998</v>
      </c>
      <c r="E166" s="14">
        <f t="shared" si="7"/>
        <v>10.020040080160321</v>
      </c>
      <c r="F166">
        <v>0.27</v>
      </c>
      <c r="G166" s="3">
        <v>5.3000000000000001E-7</v>
      </c>
      <c r="H166" s="14">
        <f t="shared" si="10"/>
        <v>-14.450388830400243</v>
      </c>
    </row>
    <row r="167" spans="1:8" x14ac:dyDescent="0.25">
      <c r="B167">
        <v>750</v>
      </c>
      <c r="C167">
        <v>900</v>
      </c>
      <c r="D167">
        <f t="shared" si="9"/>
        <v>1023</v>
      </c>
      <c r="E167" s="14">
        <f t="shared" si="7"/>
        <v>9.7751710654936463</v>
      </c>
      <c r="F167">
        <v>0.51</v>
      </c>
      <c r="G167" s="3">
        <v>9.540000000000001E-7</v>
      </c>
      <c r="H167" s="14">
        <f t="shared" si="10"/>
        <v>-13.862602165498124</v>
      </c>
    </row>
  </sheetData>
  <mergeCells count="1">
    <mergeCell ref="L33:P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78" zoomScaleNormal="78" workbookViewId="0">
      <pane ySplit="1" topLeftCell="A2" activePane="bottomLeft" state="frozen"/>
      <selection pane="bottomLeft" activeCell="A22" sqref="A22:H22"/>
    </sheetView>
  </sheetViews>
  <sheetFormatPr defaultRowHeight="15.75" x14ac:dyDescent="0.25"/>
  <cols>
    <col min="1" max="1" width="12" customWidth="1"/>
    <col min="7" max="8" width="11.875" bestFit="1" customWidth="1"/>
    <col min="9" max="9" width="9.375" bestFit="1" customWidth="1"/>
    <col min="14" max="14" width="11.875" bestFit="1" customWidth="1"/>
    <col min="17" max="17" width="13" customWidth="1"/>
    <col min="18" max="18" width="12" bestFit="1" customWidth="1"/>
    <col min="19" max="19" width="13.25" customWidth="1"/>
  </cols>
  <sheetData>
    <row r="1" spans="1:19" ht="27.75" customHeight="1" x14ac:dyDescent="0.25">
      <c r="A1" s="1" t="s">
        <v>14</v>
      </c>
      <c r="B1" s="1" t="s">
        <v>2</v>
      </c>
      <c r="C1" s="1" t="s">
        <v>32</v>
      </c>
      <c r="D1" s="1" t="s">
        <v>3</v>
      </c>
      <c r="E1" s="1" t="s">
        <v>4</v>
      </c>
      <c r="F1" s="1" t="s">
        <v>15</v>
      </c>
      <c r="G1" s="1" t="s">
        <v>8</v>
      </c>
      <c r="H1" s="1" t="s">
        <v>16</v>
      </c>
      <c r="I1" s="1" t="s">
        <v>43</v>
      </c>
      <c r="J1" s="1" t="s">
        <v>20</v>
      </c>
    </row>
    <row r="2" spans="1:19" x14ac:dyDescent="0.25">
      <c r="A2" t="s">
        <v>180</v>
      </c>
      <c r="E2" s="14"/>
      <c r="G2" s="3"/>
      <c r="H2" s="14"/>
    </row>
    <row r="3" spans="1:19" x14ac:dyDescent="0.25">
      <c r="A3" s="6">
        <v>44803</v>
      </c>
      <c r="B3">
        <v>720</v>
      </c>
      <c r="C3">
        <v>870</v>
      </c>
      <c r="D3">
        <f t="shared" ref="D3:D21" si="0">B3+273</f>
        <v>993</v>
      </c>
      <c r="E3" s="14">
        <f t="shared" ref="E3:E21" si="1">10000/D3</f>
        <v>10.070493454179255</v>
      </c>
      <c r="G3" s="3">
        <v>4.4999999999999998E-7</v>
      </c>
      <c r="H3" s="14">
        <f t="shared" ref="H3:H21" si="2">LN(G3)</f>
        <v>-14.614018254182046</v>
      </c>
      <c r="J3" t="s">
        <v>231</v>
      </c>
    </row>
    <row r="4" spans="1:19" x14ac:dyDescent="0.25">
      <c r="A4" s="6">
        <v>44862</v>
      </c>
      <c r="B4">
        <v>720</v>
      </c>
      <c r="C4">
        <v>870</v>
      </c>
      <c r="D4">
        <f t="shared" si="0"/>
        <v>993</v>
      </c>
      <c r="E4" s="14">
        <f t="shared" si="1"/>
        <v>10.070493454179255</v>
      </c>
      <c r="F4" s="14"/>
      <c r="G4" s="3">
        <v>4.4999999999999998E-7</v>
      </c>
      <c r="H4" s="14">
        <f t="shared" si="2"/>
        <v>-14.614018254182046</v>
      </c>
    </row>
    <row r="5" spans="1:19" x14ac:dyDescent="0.25">
      <c r="A5" s="6">
        <v>44868</v>
      </c>
      <c r="E5" s="14"/>
      <c r="G5" s="3"/>
      <c r="H5" s="14"/>
    </row>
    <row r="6" spans="1:19" x14ac:dyDescent="0.25">
      <c r="B6">
        <v>750</v>
      </c>
      <c r="C6">
        <v>900</v>
      </c>
      <c r="D6">
        <f t="shared" si="0"/>
        <v>1023</v>
      </c>
      <c r="E6" s="14">
        <f t="shared" si="1"/>
        <v>9.7751710654936463</v>
      </c>
      <c r="G6" s="3">
        <v>9.0999999999999997E-7</v>
      </c>
      <c r="H6" s="14">
        <f t="shared" si="2"/>
        <v>-13.909821237435516</v>
      </c>
    </row>
    <row r="7" spans="1:19" x14ac:dyDescent="0.25">
      <c r="B7">
        <v>720</v>
      </c>
      <c r="C7">
        <v>870</v>
      </c>
      <c r="D7">
        <f t="shared" si="0"/>
        <v>993</v>
      </c>
      <c r="E7" s="14">
        <f t="shared" si="1"/>
        <v>10.070493454179255</v>
      </c>
      <c r="G7" s="3">
        <v>4.5999999999999999E-7</v>
      </c>
      <c r="H7" s="14">
        <f t="shared" si="2"/>
        <v>-14.59203934746327</v>
      </c>
      <c r="M7" t="s">
        <v>188</v>
      </c>
      <c r="P7" t="s">
        <v>214</v>
      </c>
    </row>
    <row r="8" spans="1:19" x14ac:dyDescent="0.25">
      <c r="A8" s="6">
        <v>44875</v>
      </c>
      <c r="B8">
        <v>700</v>
      </c>
      <c r="C8">
        <v>850</v>
      </c>
      <c r="D8">
        <f t="shared" si="0"/>
        <v>973</v>
      </c>
      <c r="E8" s="14">
        <f t="shared" si="1"/>
        <v>10.277492291880781</v>
      </c>
      <c r="G8" s="3">
        <v>2.8599999999999999E-7</v>
      </c>
      <c r="H8" s="14">
        <f t="shared" si="2"/>
        <v>-15.067274026126558</v>
      </c>
      <c r="L8" s="65" t="s">
        <v>189</v>
      </c>
      <c r="M8" s="65" t="s">
        <v>191</v>
      </c>
      <c r="N8" s="65" t="s">
        <v>192</v>
      </c>
      <c r="O8" s="65" t="s">
        <v>190</v>
      </c>
      <c r="P8" s="49" t="s">
        <v>12</v>
      </c>
      <c r="Q8" s="49" t="s">
        <v>38</v>
      </c>
      <c r="R8" s="49" t="s">
        <v>39</v>
      </c>
      <c r="S8" s="49" t="s">
        <v>215</v>
      </c>
    </row>
    <row r="9" spans="1:19" x14ac:dyDescent="0.25">
      <c r="A9" s="6">
        <v>44883</v>
      </c>
      <c r="B9">
        <v>750</v>
      </c>
      <c r="C9">
        <v>900</v>
      </c>
      <c r="D9">
        <f t="shared" si="0"/>
        <v>1023</v>
      </c>
      <c r="E9" s="14">
        <f t="shared" si="1"/>
        <v>9.7751710654936463</v>
      </c>
      <c r="F9" s="14"/>
      <c r="G9" s="3">
        <v>9.0999999999999997E-7</v>
      </c>
      <c r="H9" s="14">
        <f t="shared" si="2"/>
        <v>-13.909821237435516</v>
      </c>
      <c r="K9" s="3"/>
      <c r="L9">
        <v>710</v>
      </c>
      <c r="M9" s="3">
        <v>4.5583999999999999E-14</v>
      </c>
      <c r="N9" s="3">
        <v>2.2369E-2</v>
      </c>
      <c r="O9" s="16">
        <f>M9*EXP(N9*L9)</f>
        <v>3.5997558863050126E-7</v>
      </c>
      <c r="P9" s="16">
        <v>9.4599999999999996E-14</v>
      </c>
      <c r="S9" s="2">
        <f>P9*Q9+R9</f>
        <v>0</v>
      </c>
    </row>
    <row r="10" spans="1:19" x14ac:dyDescent="0.25">
      <c r="B10">
        <v>730</v>
      </c>
      <c r="C10">
        <v>880</v>
      </c>
      <c r="D10">
        <f t="shared" si="0"/>
        <v>1003</v>
      </c>
      <c r="E10" s="14">
        <f t="shared" si="1"/>
        <v>9.9700897308075778</v>
      </c>
      <c r="G10" s="3"/>
      <c r="H10" s="14" t="e">
        <f t="shared" si="2"/>
        <v>#NUM!</v>
      </c>
      <c r="K10" s="3"/>
    </row>
    <row r="11" spans="1:19" x14ac:dyDescent="0.25">
      <c r="B11">
        <v>700</v>
      </c>
      <c r="C11">
        <v>850</v>
      </c>
      <c r="D11">
        <f t="shared" si="0"/>
        <v>973</v>
      </c>
      <c r="E11" s="14">
        <f t="shared" si="1"/>
        <v>10.277492291880781</v>
      </c>
      <c r="G11" s="3"/>
      <c r="H11" s="14" t="e">
        <f t="shared" si="2"/>
        <v>#NUM!</v>
      </c>
      <c r="K11" s="3"/>
    </row>
    <row r="12" spans="1:19" x14ac:dyDescent="0.25">
      <c r="A12" s="6">
        <v>44887</v>
      </c>
      <c r="B12">
        <v>730</v>
      </c>
      <c r="C12">
        <v>880</v>
      </c>
      <c r="D12">
        <f t="shared" si="0"/>
        <v>1003</v>
      </c>
      <c r="E12" s="14">
        <f t="shared" si="1"/>
        <v>9.9700897308075778</v>
      </c>
      <c r="G12" s="3">
        <v>5.7000000000000005E-7</v>
      </c>
      <c r="H12" s="14">
        <f t="shared" si="2"/>
        <v>-14.377629476117816</v>
      </c>
      <c r="O12" s="3"/>
      <c r="P12" s="3"/>
      <c r="Q12" s="3"/>
    </row>
    <row r="13" spans="1:19" x14ac:dyDescent="0.25">
      <c r="A13" s="6">
        <v>44896</v>
      </c>
      <c r="B13">
        <v>750</v>
      </c>
      <c r="C13">
        <v>900</v>
      </c>
      <c r="D13">
        <f t="shared" si="0"/>
        <v>1023</v>
      </c>
      <c r="E13" s="14">
        <f t="shared" si="1"/>
        <v>9.7751710654936463</v>
      </c>
      <c r="G13" s="3">
        <v>8.6899999999999996E-7</v>
      </c>
      <c r="H13" s="14">
        <f t="shared" si="2"/>
        <v>-13.955922711681019</v>
      </c>
      <c r="J13" t="s">
        <v>230</v>
      </c>
    </row>
    <row r="14" spans="1:19" x14ac:dyDescent="0.25">
      <c r="B14">
        <v>755</v>
      </c>
      <c r="C14">
        <v>905</v>
      </c>
      <c r="D14">
        <f t="shared" si="0"/>
        <v>1028</v>
      </c>
      <c r="E14" s="14">
        <f t="shared" si="1"/>
        <v>9.7276264591439681</v>
      </c>
      <c r="G14" s="3">
        <v>9.64E-7</v>
      </c>
      <c r="H14" s="14">
        <f t="shared" si="2"/>
        <v>-13.852174542335865</v>
      </c>
    </row>
    <row r="15" spans="1:19" x14ac:dyDescent="0.25">
      <c r="B15">
        <v>752</v>
      </c>
      <c r="C15">
        <v>902</v>
      </c>
      <c r="D15">
        <f t="shared" si="0"/>
        <v>1025</v>
      </c>
      <c r="E15" s="14">
        <f t="shared" si="1"/>
        <v>9.7560975609756095</v>
      </c>
      <c r="G15" s="3">
        <v>9.09E-7</v>
      </c>
      <c r="H15" s="14">
        <f t="shared" si="2"/>
        <v>-13.910920742768932</v>
      </c>
      <c r="J15" s="14" t="s">
        <v>196</v>
      </c>
    </row>
    <row r="16" spans="1:19" x14ac:dyDescent="0.25">
      <c r="A16" s="6">
        <v>44903</v>
      </c>
      <c r="B16">
        <v>750</v>
      </c>
      <c r="C16">
        <v>900</v>
      </c>
      <c r="D16">
        <f t="shared" si="0"/>
        <v>1023</v>
      </c>
      <c r="E16" s="14">
        <f t="shared" si="1"/>
        <v>9.7751710654936463</v>
      </c>
      <c r="G16" s="3">
        <v>9.0299999999999997E-7</v>
      </c>
      <c r="H16" s="14">
        <f t="shared" si="2"/>
        <v>-13.917543283529426</v>
      </c>
    </row>
    <row r="17" spans="1:10" x14ac:dyDescent="0.25">
      <c r="A17" s="6">
        <v>44909</v>
      </c>
      <c r="B17">
        <v>750</v>
      </c>
      <c r="C17">
        <v>900</v>
      </c>
      <c r="D17">
        <f t="shared" si="0"/>
        <v>1023</v>
      </c>
      <c r="E17" s="14">
        <f t="shared" si="1"/>
        <v>9.7751710654936463</v>
      </c>
      <c r="G17" s="3">
        <v>8.6199999999999996E-7</v>
      </c>
      <c r="H17" s="14">
        <f t="shared" si="2"/>
        <v>-13.964010566282719</v>
      </c>
    </row>
    <row r="18" spans="1:10" x14ac:dyDescent="0.25">
      <c r="A18" s="6">
        <v>44913</v>
      </c>
      <c r="B18">
        <v>750</v>
      </c>
      <c r="C18">
        <v>900</v>
      </c>
      <c r="D18">
        <f t="shared" si="0"/>
        <v>1023</v>
      </c>
      <c r="E18" s="14">
        <f t="shared" si="1"/>
        <v>9.7751710654936463</v>
      </c>
      <c r="F18" s="14">
        <v>0.52900000000000003</v>
      </c>
      <c r="G18" s="3">
        <v>8.6899999999999996E-7</v>
      </c>
      <c r="H18" s="14">
        <f t="shared" si="2"/>
        <v>-13.955922711681019</v>
      </c>
      <c r="I18" t="s">
        <v>232</v>
      </c>
    </row>
    <row r="19" spans="1:10" x14ac:dyDescent="0.25">
      <c r="B19">
        <v>730</v>
      </c>
      <c r="C19">
        <v>880</v>
      </c>
      <c r="D19">
        <f t="shared" si="0"/>
        <v>1003</v>
      </c>
      <c r="E19" s="14">
        <f t="shared" si="1"/>
        <v>9.9700897308075778</v>
      </c>
      <c r="F19">
        <v>0.32</v>
      </c>
      <c r="G19" s="3">
        <v>5.44E-7</v>
      </c>
      <c r="H19" s="14">
        <f t="shared" si="2"/>
        <v>-14.424316590090468</v>
      </c>
      <c r="I19" t="s">
        <v>232</v>
      </c>
    </row>
    <row r="20" spans="1:10" x14ac:dyDescent="0.25">
      <c r="B20">
        <v>710</v>
      </c>
      <c r="C20">
        <v>860</v>
      </c>
      <c r="D20">
        <f t="shared" si="0"/>
        <v>983</v>
      </c>
      <c r="E20" s="14">
        <f t="shared" si="1"/>
        <v>10.172939979654121</v>
      </c>
      <c r="F20">
        <v>0.2</v>
      </c>
      <c r="G20" s="3">
        <v>3.8099999999999998E-7</v>
      </c>
      <c r="H20" s="14">
        <f t="shared" si="2"/>
        <v>-14.78046646181971</v>
      </c>
      <c r="I20" t="s">
        <v>232</v>
      </c>
    </row>
    <row r="21" spans="1:10" x14ac:dyDescent="0.25">
      <c r="B21">
        <v>700</v>
      </c>
      <c r="C21">
        <v>850</v>
      </c>
      <c r="D21">
        <f t="shared" si="0"/>
        <v>973</v>
      </c>
      <c r="E21" s="14">
        <f t="shared" si="1"/>
        <v>10.277492291880781</v>
      </c>
      <c r="G21" s="3">
        <v>2.8000000000000002E-7</v>
      </c>
      <c r="H21" s="14">
        <f t="shared" si="2"/>
        <v>-15.088476233777161</v>
      </c>
    </row>
    <row r="22" spans="1:10" x14ac:dyDescent="0.25">
      <c r="A22" s="49" t="s">
        <v>245</v>
      </c>
      <c r="B22" s="49"/>
      <c r="C22" s="49"/>
      <c r="D22" s="49"/>
      <c r="E22" s="49"/>
      <c r="F22" s="49"/>
      <c r="G22" s="49"/>
      <c r="H22" s="49"/>
      <c r="J22" t="s">
        <v>245</v>
      </c>
    </row>
    <row r="23" spans="1:10" x14ac:dyDescent="0.25">
      <c r="A23" s="6">
        <v>45047</v>
      </c>
      <c r="B23">
        <v>750</v>
      </c>
      <c r="C23">
        <v>900</v>
      </c>
      <c r="D23">
        <f t="shared" ref="D23:D33" si="3">B23+273</f>
        <v>1023</v>
      </c>
      <c r="G23" s="3">
        <v>9.7600000000000006E-7</v>
      </c>
    </row>
    <row r="24" spans="1:10" x14ac:dyDescent="0.25">
      <c r="B24">
        <v>730</v>
      </c>
      <c r="C24">
        <v>880</v>
      </c>
      <c r="D24">
        <f t="shared" si="3"/>
        <v>1003</v>
      </c>
      <c r="G24" s="3">
        <v>6.13E-7</v>
      </c>
    </row>
    <row r="25" spans="1:10" x14ac:dyDescent="0.25">
      <c r="B25">
        <v>710</v>
      </c>
      <c r="C25">
        <v>860</v>
      </c>
      <c r="D25">
        <f t="shared" si="3"/>
        <v>983</v>
      </c>
      <c r="G25" s="3">
        <v>3.7500000000000001E-7</v>
      </c>
    </row>
    <row r="26" spans="1:10" x14ac:dyDescent="0.25">
      <c r="A26" s="6">
        <v>45089</v>
      </c>
      <c r="B26">
        <v>775</v>
      </c>
      <c r="C26">
        <v>925</v>
      </c>
      <c r="D26">
        <f t="shared" si="3"/>
        <v>1048</v>
      </c>
      <c r="G26" s="3">
        <v>1.64E-6</v>
      </c>
    </row>
    <row r="27" spans="1:10" x14ac:dyDescent="0.25">
      <c r="B27">
        <v>750</v>
      </c>
      <c r="C27">
        <v>900</v>
      </c>
      <c r="D27">
        <f t="shared" si="3"/>
        <v>1023</v>
      </c>
      <c r="G27" s="3">
        <v>9.4799999999999997E-7</v>
      </c>
    </row>
    <row r="28" spans="1:10" x14ac:dyDescent="0.25">
      <c r="B28">
        <v>725</v>
      </c>
      <c r="C28">
        <v>875</v>
      </c>
      <c r="D28">
        <f t="shared" si="3"/>
        <v>998</v>
      </c>
      <c r="G28" s="3">
        <v>5.4099999999999999E-7</v>
      </c>
    </row>
    <row r="29" spans="1:10" x14ac:dyDescent="0.25">
      <c r="A29" s="6">
        <v>45205</v>
      </c>
      <c r="B29">
        <v>750</v>
      </c>
      <c r="C29">
        <v>900</v>
      </c>
      <c r="D29">
        <f t="shared" si="3"/>
        <v>1023</v>
      </c>
      <c r="G29" s="3">
        <v>9.5999999999999991E-7</v>
      </c>
    </row>
    <row r="30" spans="1:10" x14ac:dyDescent="0.25">
      <c r="A30" s="6">
        <v>45211</v>
      </c>
      <c r="B30">
        <v>750</v>
      </c>
      <c r="C30">
        <v>900</v>
      </c>
      <c r="D30">
        <f t="shared" si="3"/>
        <v>1023</v>
      </c>
      <c r="G30" s="3">
        <v>9.4600000000000003E-7</v>
      </c>
    </row>
    <row r="31" spans="1:10" x14ac:dyDescent="0.25">
      <c r="A31" s="6">
        <v>45251</v>
      </c>
      <c r="B31">
        <v>700</v>
      </c>
      <c r="C31">
        <v>850</v>
      </c>
      <c r="D31">
        <f t="shared" si="3"/>
        <v>973</v>
      </c>
      <c r="E31" s="14">
        <f t="shared" ref="E31:E33" si="4">10000/D31</f>
        <v>10.277492291880781</v>
      </c>
      <c r="F31" s="14"/>
      <c r="G31" s="3">
        <v>2.8500000000000002E-7</v>
      </c>
      <c r="H31" s="14">
        <f t="shared" ref="H31:H33" si="5">LN(G31)</f>
        <v>-15.07077665667776</v>
      </c>
    </row>
    <row r="32" spans="1:10" x14ac:dyDescent="0.25">
      <c r="B32">
        <v>725</v>
      </c>
      <c r="C32">
        <v>875</v>
      </c>
      <c r="D32">
        <f t="shared" si="3"/>
        <v>998</v>
      </c>
      <c r="E32" s="14">
        <f t="shared" si="4"/>
        <v>10.020040080160321</v>
      </c>
      <c r="G32" s="3">
        <v>5.3000000000000001E-7</v>
      </c>
      <c r="H32" s="14">
        <f t="shared" si="5"/>
        <v>-14.450388830400243</v>
      </c>
    </row>
    <row r="33" spans="2:8" x14ac:dyDescent="0.25">
      <c r="B33">
        <v>750</v>
      </c>
      <c r="C33">
        <v>900</v>
      </c>
      <c r="D33">
        <f t="shared" si="3"/>
        <v>1023</v>
      </c>
      <c r="E33" s="14">
        <f t="shared" si="4"/>
        <v>9.7751710654936463</v>
      </c>
      <c r="G33" s="3">
        <v>9.540000000000001E-7</v>
      </c>
      <c r="H33" s="14">
        <f t="shared" si="5"/>
        <v>-13.862602165498124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3"/>
  <sheetViews>
    <sheetView zoomScale="70" zoomScaleNormal="70" workbookViewId="0">
      <selection activeCell="A33" sqref="A33:F34"/>
    </sheetView>
  </sheetViews>
  <sheetFormatPr defaultRowHeight="15.75" x14ac:dyDescent="0.25"/>
  <cols>
    <col min="1" max="1" width="14.5" customWidth="1"/>
    <col min="7" max="7" width="13.25" customWidth="1"/>
    <col min="13" max="13" width="16.625" customWidth="1"/>
    <col min="14" max="14" width="14.375" customWidth="1"/>
  </cols>
  <sheetData>
    <row r="1" spans="1:16" ht="21" x14ac:dyDescent="0.35">
      <c r="A1" s="50" t="s">
        <v>158</v>
      </c>
      <c r="D1" t="s">
        <v>162</v>
      </c>
    </row>
    <row r="2" spans="1:16" x14ac:dyDescent="0.25">
      <c r="A2" s="4" t="s">
        <v>14</v>
      </c>
      <c r="B2" s="4" t="s">
        <v>22</v>
      </c>
      <c r="C2" s="4" t="s">
        <v>161</v>
      </c>
      <c r="D2" s="4" t="s">
        <v>3</v>
      </c>
      <c r="E2" s="4" t="s">
        <v>4</v>
      </c>
      <c r="F2" s="4" t="s">
        <v>159</v>
      </c>
      <c r="G2" s="4" t="s">
        <v>7</v>
      </c>
      <c r="H2" s="4" t="s">
        <v>5</v>
      </c>
      <c r="I2" s="4" t="s">
        <v>21</v>
      </c>
      <c r="J2" s="4" t="s">
        <v>20</v>
      </c>
      <c r="K2" s="4" t="s">
        <v>160</v>
      </c>
    </row>
    <row r="3" spans="1:16" x14ac:dyDescent="0.25">
      <c r="A3" s="7">
        <v>44610</v>
      </c>
      <c r="B3">
        <v>1225</v>
      </c>
      <c r="C3">
        <v>1150</v>
      </c>
      <c r="D3">
        <f>B3+273</f>
        <v>1498</v>
      </c>
      <c r="E3">
        <f>10000/D3</f>
        <v>6.6755674232309747</v>
      </c>
      <c r="F3" s="3">
        <v>3.6799999999999999E-6</v>
      </c>
      <c r="G3">
        <f t="shared" ref="G3:G14" si="0">LN(F3)</f>
        <v>-12.512597805783434</v>
      </c>
      <c r="I3">
        <v>4</v>
      </c>
      <c r="J3" t="s">
        <v>163</v>
      </c>
      <c r="M3" t="s">
        <v>170</v>
      </c>
      <c r="O3" t="s">
        <v>171</v>
      </c>
    </row>
    <row r="4" spans="1:16" x14ac:dyDescent="0.25">
      <c r="B4">
        <v>1175</v>
      </c>
      <c r="C4">
        <v>1101</v>
      </c>
      <c r="D4">
        <f>B4+273</f>
        <v>1448</v>
      </c>
      <c r="E4">
        <f>10000/D4</f>
        <v>6.9060773480662982</v>
      </c>
      <c r="F4" s="3">
        <v>1.75E-6</v>
      </c>
      <c r="G4">
        <f t="shared" si="0"/>
        <v>-13.255894770028851</v>
      </c>
      <c r="I4">
        <v>4</v>
      </c>
      <c r="M4" t="s">
        <v>166</v>
      </c>
      <c r="N4" s="3">
        <v>3.4650000000000001E-15</v>
      </c>
      <c r="O4" t="s">
        <v>166</v>
      </c>
      <c r="P4" s="3">
        <v>3.5702000000000001E-11</v>
      </c>
    </row>
    <row r="5" spans="1:16" ht="16.5" thickBot="1" x14ac:dyDescent="0.3">
      <c r="B5">
        <v>1125</v>
      </c>
      <c r="C5">
        <v>1050</v>
      </c>
      <c r="D5">
        <f t="shared" ref="D5:D15" si="1">B5+273</f>
        <v>1398</v>
      </c>
      <c r="E5">
        <f t="shared" ref="E5:E15" si="2">10000/D5</f>
        <v>7.1530758226037197</v>
      </c>
      <c r="F5" s="3">
        <v>7.4700000000000001E-7</v>
      </c>
      <c r="G5">
        <f t="shared" si="0"/>
        <v>-14.107200651813594</v>
      </c>
      <c r="H5">
        <v>1.02</v>
      </c>
      <c r="I5">
        <v>4</v>
      </c>
      <c r="J5" t="s">
        <v>172</v>
      </c>
      <c r="M5" t="s">
        <v>167</v>
      </c>
      <c r="N5" s="3">
        <v>1.7010000000000001E-2</v>
      </c>
      <c r="O5" t="s">
        <v>167</v>
      </c>
      <c r="P5" s="3">
        <v>2.1401E-2</v>
      </c>
    </row>
    <row r="6" spans="1:16" x14ac:dyDescent="0.25">
      <c r="B6">
        <v>1075</v>
      </c>
      <c r="C6">
        <v>1006</v>
      </c>
      <c r="D6">
        <f t="shared" si="1"/>
        <v>1348</v>
      </c>
      <c r="E6">
        <f t="shared" si="2"/>
        <v>7.4183976261127595</v>
      </c>
      <c r="F6" s="3">
        <v>2.8700000000000002E-7</v>
      </c>
      <c r="G6">
        <f t="shared" si="0"/>
        <v>-15.06378362118679</v>
      </c>
      <c r="H6">
        <v>0.35</v>
      </c>
      <c r="I6">
        <v>4</v>
      </c>
      <c r="J6" t="s">
        <v>172</v>
      </c>
      <c r="L6" s="52" t="s">
        <v>164</v>
      </c>
      <c r="M6" s="53"/>
      <c r="N6" s="54"/>
    </row>
    <row r="7" spans="1:16" x14ac:dyDescent="0.25">
      <c r="B7">
        <v>1025</v>
      </c>
      <c r="C7">
        <v>965</v>
      </c>
      <c r="D7">
        <f t="shared" si="1"/>
        <v>1298</v>
      </c>
      <c r="E7">
        <f t="shared" si="2"/>
        <v>7.704160246533128</v>
      </c>
      <c r="F7" s="3"/>
      <c r="G7" t="e">
        <f t="shared" si="0"/>
        <v>#NUM!</v>
      </c>
      <c r="H7">
        <v>0.12</v>
      </c>
      <c r="I7">
        <v>4</v>
      </c>
      <c r="J7" t="s">
        <v>172</v>
      </c>
      <c r="L7" s="55" t="s">
        <v>165</v>
      </c>
      <c r="M7" s="51" t="s">
        <v>168</v>
      </c>
      <c r="N7" s="56" t="s">
        <v>169</v>
      </c>
    </row>
    <row r="8" spans="1:16" ht="16.5" thickBot="1" x14ac:dyDescent="0.3">
      <c r="A8" s="6">
        <v>44627</v>
      </c>
      <c r="B8">
        <v>1075</v>
      </c>
      <c r="C8">
        <v>1018</v>
      </c>
      <c r="D8">
        <f t="shared" si="1"/>
        <v>1348</v>
      </c>
      <c r="E8">
        <f t="shared" si="2"/>
        <v>7.4183976261127595</v>
      </c>
      <c r="F8" s="3">
        <v>2.8900000000000001E-7</v>
      </c>
      <c r="G8">
        <f t="shared" si="0"/>
        <v>-15.056839148833978</v>
      </c>
      <c r="H8">
        <v>0.34899999999999998</v>
      </c>
      <c r="I8">
        <v>4</v>
      </c>
      <c r="L8" s="57">
        <v>1088</v>
      </c>
      <c r="M8" s="58">
        <f>N4*EXP(N5*L8)</f>
        <v>3.7769314290332936E-7</v>
      </c>
      <c r="N8" s="59">
        <f>P4*EXP(P5*L8)</f>
        <v>0.46230686136178595</v>
      </c>
    </row>
    <row r="9" spans="1:16" x14ac:dyDescent="0.25">
      <c r="A9" s="7"/>
      <c r="B9">
        <v>1050</v>
      </c>
      <c r="C9">
        <v>995</v>
      </c>
      <c r="D9">
        <f t="shared" si="1"/>
        <v>1323</v>
      </c>
      <c r="E9">
        <f t="shared" si="2"/>
        <v>7.5585789871504154</v>
      </c>
      <c r="F9" s="3">
        <v>1.73E-7</v>
      </c>
      <c r="G9">
        <f t="shared" si="0"/>
        <v>-15.569974242448632</v>
      </c>
      <c r="H9">
        <v>0.20300000000000001</v>
      </c>
      <c r="I9">
        <v>4</v>
      </c>
    </row>
    <row r="10" spans="1:16" x14ac:dyDescent="0.25">
      <c r="A10" s="6">
        <v>44631</v>
      </c>
      <c r="B10">
        <v>1050</v>
      </c>
      <c r="C10">
        <v>990</v>
      </c>
      <c r="D10">
        <f t="shared" si="1"/>
        <v>1323</v>
      </c>
      <c r="E10">
        <f t="shared" si="2"/>
        <v>7.5585789871504154</v>
      </c>
      <c r="F10" s="3">
        <v>1.7100000000000001E-7</v>
      </c>
      <c r="G10">
        <f t="shared" si="0"/>
        <v>-15.581602280443752</v>
      </c>
      <c r="I10">
        <v>4</v>
      </c>
    </row>
    <row r="11" spans="1:16" x14ac:dyDescent="0.25">
      <c r="A11" s="6">
        <v>44802</v>
      </c>
      <c r="B11">
        <v>1080</v>
      </c>
      <c r="C11">
        <v>1014</v>
      </c>
      <c r="D11">
        <f t="shared" si="1"/>
        <v>1353</v>
      </c>
      <c r="E11">
        <f t="shared" si="2"/>
        <v>7.390983000739098</v>
      </c>
      <c r="F11" s="3">
        <v>2.8099999999999999E-7</v>
      </c>
      <c r="G11">
        <f t="shared" si="0"/>
        <v>-15.084911167612665</v>
      </c>
      <c r="H11">
        <v>0.35299999999999998</v>
      </c>
      <c r="I11">
        <v>4</v>
      </c>
      <c r="J11" t="s">
        <v>172</v>
      </c>
    </row>
    <row r="12" spans="1:16" x14ac:dyDescent="0.25">
      <c r="A12" s="6">
        <v>44874</v>
      </c>
      <c r="B12">
        <v>1125</v>
      </c>
      <c r="C12">
        <v>1050</v>
      </c>
      <c r="D12">
        <f t="shared" si="1"/>
        <v>1398</v>
      </c>
      <c r="E12">
        <f t="shared" si="2"/>
        <v>7.1530758226037197</v>
      </c>
      <c r="F12" s="3"/>
      <c r="G12" t="e">
        <f t="shared" si="0"/>
        <v>#NUM!</v>
      </c>
      <c r="H12">
        <v>0.84</v>
      </c>
      <c r="I12">
        <v>4</v>
      </c>
    </row>
    <row r="13" spans="1:16" x14ac:dyDescent="0.25">
      <c r="A13" s="7"/>
      <c r="B13">
        <v>1100</v>
      </c>
      <c r="C13">
        <v>1020</v>
      </c>
      <c r="D13">
        <f t="shared" si="1"/>
        <v>1373</v>
      </c>
      <c r="E13">
        <f t="shared" si="2"/>
        <v>7.2833211944646763</v>
      </c>
      <c r="F13" s="3"/>
      <c r="G13" t="e">
        <f t="shared" si="0"/>
        <v>#NUM!</v>
      </c>
      <c r="H13">
        <v>0.5</v>
      </c>
      <c r="I13">
        <v>4</v>
      </c>
    </row>
    <row r="14" spans="1:16" x14ac:dyDescent="0.25">
      <c r="B14">
        <v>1075</v>
      </c>
      <c r="C14">
        <v>100</v>
      </c>
      <c r="D14">
        <f t="shared" si="1"/>
        <v>1348</v>
      </c>
      <c r="E14">
        <f t="shared" si="2"/>
        <v>7.4183976261127595</v>
      </c>
      <c r="F14" s="3"/>
      <c r="G14" t="e">
        <f t="shared" si="0"/>
        <v>#NUM!</v>
      </c>
      <c r="H14">
        <v>0.31</v>
      </c>
      <c r="I14">
        <v>4</v>
      </c>
    </row>
    <row r="15" spans="1:16" x14ac:dyDescent="0.25">
      <c r="A15" s="6">
        <v>44938</v>
      </c>
      <c r="B15">
        <v>1127</v>
      </c>
      <c r="C15">
        <v>1050</v>
      </c>
      <c r="D15">
        <f t="shared" si="1"/>
        <v>1400</v>
      </c>
      <c r="E15">
        <f t="shared" si="2"/>
        <v>7.1428571428571432</v>
      </c>
      <c r="F15" s="3">
        <v>5.6499999999999999E-7</v>
      </c>
    </row>
    <row r="16" spans="1:16" x14ac:dyDescent="0.25">
      <c r="A16" s="6">
        <v>44945</v>
      </c>
      <c r="B16">
        <v>1127</v>
      </c>
      <c r="C16">
        <v>1050</v>
      </c>
      <c r="D16">
        <f>B16+273</f>
        <v>1400</v>
      </c>
      <c r="E16">
        <f>10000/D16</f>
        <v>7.1428571428571432</v>
      </c>
      <c r="F16" s="3">
        <v>5.7199999999999999E-7</v>
      </c>
    </row>
    <row r="17" spans="1:10" x14ac:dyDescent="0.25">
      <c r="A17" s="6">
        <v>44966</v>
      </c>
      <c r="B17">
        <v>1023</v>
      </c>
      <c r="C17">
        <v>960</v>
      </c>
      <c r="D17">
        <f>B17+273</f>
        <v>1296</v>
      </c>
      <c r="E17">
        <f>10000/D17</f>
        <v>7.716049382716049</v>
      </c>
      <c r="F17" s="3">
        <v>9.1399999999999998E-8</v>
      </c>
    </row>
    <row r="18" spans="1:10" x14ac:dyDescent="0.25">
      <c r="A18" s="49" t="s">
        <v>245</v>
      </c>
      <c r="B18" s="49"/>
      <c r="C18" s="49"/>
      <c r="D18" s="49"/>
      <c r="E18" s="49"/>
      <c r="F18" s="49"/>
      <c r="G18" s="49"/>
      <c r="H18" s="49"/>
      <c r="I18" s="49"/>
      <c r="J18" s="49" t="s">
        <v>245</v>
      </c>
    </row>
    <row r="19" spans="1:10" x14ac:dyDescent="0.25">
      <c r="A19" s="6">
        <v>45048</v>
      </c>
      <c r="B19">
        <v>1125</v>
      </c>
      <c r="C19">
        <v>1051</v>
      </c>
      <c r="D19">
        <f>B19+273</f>
        <v>1398</v>
      </c>
      <c r="E19">
        <f>10000/D19</f>
        <v>7.1530758226037197</v>
      </c>
      <c r="F19" s="3">
        <v>6.99E-7</v>
      </c>
    </row>
    <row r="20" spans="1:10" x14ac:dyDescent="0.25">
      <c r="B20">
        <v>1100</v>
      </c>
      <c r="C20">
        <v>1026</v>
      </c>
      <c r="D20">
        <f t="shared" ref="D20:D34" si="3">B20+273</f>
        <v>1373</v>
      </c>
      <c r="E20">
        <f t="shared" ref="E20:E34" si="4">10000/D20</f>
        <v>7.2833211944646763</v>
      </c>
      <c r="F20" s="3">
        <v>4.4999999999999998E-7</v>
      </c>
    </row>
    <row r="21" spans="1:10" x14ac:dyDescent="0.25">
      <c r="A21" s="7"/>
      <c r="B21">
        <v>1075</v>
      </c>
      <c r="C21">
        <v>1006</v>
      </c>
      <c r="D21">
        <f t="shared" si="3"/>
        <v>1348</v>
      </c>
      <c r="E21">
        <f t="shared" si="4"/>
        <v>7.4183976261127595</v>
      </c>
      <c r="F21" s="3">
        <v>2.8599999999999999E-7</v>
      </c>
    </row>
    <row r="22" spans="1:10" x14ac:dyDescent="0.25">
      <c r="A22" s="7">
        <v>45049</v>
      </c>
      <c r="B22">
        <v>1125</v>
      </c>
      <c r="C22">
        <v>1048</v>
      </c>
      <c r="D22">
        <f t="shared" si="3"/>
        <v>1398</v>
      </c>
      <c r="E22">
        <f t="shared" si="4"/>
        <v>7.1530758226037197</v>
      </c>
      <c r="F22" s="3">
        <v>6.7299999999999995E-7</v>
      </c>
      <c r="J22" s="10"/>
    </row>
    <row r="23" spans="1:10" x14ac:dyDescent="0.25">
      <c r="B23">
        <v>1100</v>
      </c>
      <c r="C23">
        <v>1024</v>
      </c>
      <c r="D23">
        <f t="shared" si="3"/>
        <v>1373</v>
      </c>
      <c r="E23">
        <f t="shared" si="4"/>
        <v>7.2833211944646763</v>
      </c>
      <c r="F23" s="3">
        <v>4.3700000000000001E-7</v>
      </c>
      <c r="H23">
        <v>0.55600000000000005</v>
      </c>
      <c r="J23" s="10"/>
    </row>
    <row r="24" spans="1:10" x14ac:dyDescent="0.25">
      <c r="B24">
        <v>1075</v>
      </c>
      <c r="C24">
        <v>997</v>
      </c>
      <c r="D24">
        <f t="shared" si="3"/>
        <v>1348</v>
      </c>
      <c r="E24">
        <f t="shared" si="4"/>
        <v>7.4183976261127595</v>
      </c>
      <c r="F24" s="3">
        <v>2.72E-7</v>
      </c>
      <c r="H24">
        <v>0.33</v>
      </c>
      <c r="J24" s="10"/>
    </row>
    <row r="25" spans="1:10" x14ac:dyDescent="0.25">
      <c r="A25" s="6">
        <v>45089</v>
      </c>
      <c r="B25">
        <v>1125</v>
      </c>
      <c r="D25">
        <f t="shared" si="3"/>
        <v>1398</v>
      </c>
      <c r="E25">
        <f t="shared" si="4"/>
        <v>7.1530758226037197</v>
      </c>
      <c r="F25" s="3">
        <v>6.9299999999999997E-7</v>
      </c>
    </row>
    <row r="26" spans="1:10" x14ac:dyDescent="0.25">
      <c r="A26" s="7"/>
      <c r="B26">
        <v>1100</v>
      </c>
      <c r="D26">
        <f t="shared" si="3"/>
        <v>1373</v>
      </c>
      <c r="E26">
        <f t="shared" si="4"/>
        <v>7.2833211944646763</v>
      </c>
      <c r="F26" s="3">
        <v>4.4499999999999997E-7</v>
      </c>
      <c r="H26">
        <v>0.35</v>
      </c>
    </row>
    <row r="27" spans="1:10" x14ac:dyDescent="0.25">
      <c r="B27">
        <v>1075</v>
      </c>
      <c r="D27">
        <f t="shared" si="3"/>
        <v>1348</v>
      </c>
      <c r="E27">
        <f t="shared" si="4"/>
        <v>7.4183976261127595</v>
      </c>
      <c r="F27" s="3">
        <v>2.7799999999999997E-7</v>
      </c>
    </row>
    <row r="28" spans="1:10" x14ac:dyDescent="0.25">
      <c r="A28" s="6">
        <v>45153</v>
      </c>
      <c r="B28">
        <v>1110</v>
      </c>
      <c r="D28">
        <f t="shared" si="3"/>
        <v>1383</v>
      </c>
      <c r="E28">
        <f t="shared" si="4"/>
        <v>7.2306579898770789</v>
      </c>
      <c r="F28" s="3"/>
      <c r="H28">
        <v>0.7026</v>
      </c>
    </row>
    <row r="29" spans="1:10" x14ac:dyDescent="0.25">
      <c r="A29" s="6">
        <v>45204</v>
      </c>
      <c r="B29">
        <v>1023</v>
      </c>
      <c r="C29">
        <v>963</v>
      </c>
      <c r="D29">
        <f t="shared" si="3"/>
        <v>1296</v>
      </c>
      <c r="E29">
        <f t="shared" si="4"/>
        <v>7.716049382716049</v>
      </c>
      <c r="F29" s="3">
        <v>8.7999999999999994E-8</v>
      </c>
    </row>
    <row r="30" spans="1:10" x14ac:dyDescent="0.25">
      <c r="A30" s="6">
        <v>45205</v>
      </c>
      <c r="B30">
        <v>1100</v>
      </c>
      <c r="C30">
        <v>1025</v>
      </c>
      <c r="D30">
        <f t="shared" si="3"/>
        <v>1373</v>
      </c>
      <c r="E30">
        <f t="shared" si="4"/>
        <v>7.2833211944646763</v>
      </c>
      <c r="F30" s="3">
        <v>3.9499999999999998E-7</v>
      </c>
    </row>
    <row r="31" spans="1:10" x14ac:dyDescent="0.25">
      <c r="A31" s="6">
        <v>45211</v>
      </c>
      <c r="B31">
        <v>1105</v>
      </c>
      <c r="C31">
        <v>1030</v>
      </c>
      <c r="D31">
        <f t="shared" si="3"/>
        <v>1378</v>
      </c>
      <c r="E31">
        <f t="shared" si="4"/>
        <v>7.2568940493468794</v>
      </c>
      <c r="F31" s="3">
        <v>3.4E-8</v>
      </c>
    </row>
    <row r="32" spans="1:10" x14ac:dyDescent="0.25">
      <c r="A32" s="60">
        <v>45229</v>
      </c>
      <c r="B32">
        <v>1105</v>
      </c>
      <c r="C32">
        <v>1030</v>
      </c>
      <c r="D32">
        <f t="shared" si="3"/>
        <v>1378</v>
      </c>
      <c r="E32">
        <f t="shared" si="4"/>
        <v>7.2568940493468794</v>
      </c>
      <c r="F32" s="3">
        <v>3.7500000000000001E-7</v>
      </c>
    </row>
    <row r="33" spans="1:9" x14ac:dyDescent="0.25">
      <c r="A33" s="6">
        <v>45250</v>
      </c>
      <c r="B33">
        <v>1025</v>
      </c>
      <c r="D33">
        <f t="shared" si="3"/>
        <v>1298</v>
      </c>
      <c r="E33">
        <f t="shared" si="4"/>
        <v>7.704160246533128</v>
      </c>
      <c r="F33" s="3">
        <v>8.7499999999999996E-8</v>
      </c>
      <c r="G33" s="3"/>
      <c r="H33" s="3"/>
      <c r="I33" s="15"/>
    </row>
    <row r="34" spans="1:9" x14ac:dyDescent="0.25">
      <c r="B34">
        <v>1105</v>
      </c>
      <c r="D34">
        <f t="shared" si="3"/>
        <v>1378</v>
      </c>
      <c r="E34">
        <f t="shared" si="4"/>
        <v>7.2568940493468794</v>
      </c>
      <c r="F34" s="3">
        <v>3.7500000000000001E-7</v>
      </c>
      <c r="G34" s="3"/>
      <c r="H34" s="3"/>
      <c r="I34" s="15"/>
    </row>
    <row r="35" spans="1:9" x14ac:dyDescent="0.25">
      <c r="B35" t="s">
        <v>196</v>
      </c>
      <c r="F35" s="3"/>
    </row>
    <row r="36" spans="1:9" x14ac:dyDescent="0.25">
      <c r="F36" s="3"/>
    </row>
    <row r="37" spans="1:9" x14ac:dyDescent="0.25">
      <c r="A37" s="7"/>
      <c r="F37" s="3"/>
    </row>
    <row r="38" spans="1:9" x14ac:dyDescent="0.25">
      <c r="F38" s="3"/>
      <c r="G38" s="3"/>
      <c r="H38" s="3"/>
    </row>
    <row r="39" spans="1:9" x14ac:dyDescent="0.25">
      <c r="F39" s="3"/>
      <c r="G39" s="3"/>
    </row>
    <row r="40" spans="1:9" x14ac:dyDescent="0.25">
      <c r="A40" s="7"/>
      <c r="F40" s="3"/>
    </row>
    <row r="41" spans="1:9" x14ac:dyDescent="0.25">
      <c r="F41" s="3"/>
    </row>
    <row r="42" spans="1:9" x14ac:dyDescent="0.25">
      <c r="A42" s="7"/>
      <c r="F42" s="3"/>
    </row>
    <row r="43" spans="1:9" x14ac:dyDescent="0.25">
      <c r="F43" s="3"/>
    </row>
    <row r="44" spans="1:9" x14ac:dyDescent="0.25">
      <c r="A44" s="7"/>
      <c r="F44" s="3"/>
      <c r="H44" s="2"/>
    </row>
    <row r="45" spans="1:9" x14ac:dyDescent="0.25">
      <c r="A45" s="7"/>
      <c r="F45" s="3"/>
      <c r="H45" s="2"/>
    </row>
    <row r="46" spans="1:9" x14ac:dyDescent="0.25">
      <c r="A46" s="7"/>
      <c r="F46" s="3"/>
    </row>
    <row r="47" spans="1:9" x14ac:dyDescent="0.25">
      <c r="A47" s="7"/>
      <c r="F47" s="3"/>
    </row>
    <row r="48" spans="1:9" x14ac:dyDescent="0.25">
      <c r="A48" s="7"/>
    </row>
    <row r="49" spans="1:7" x14ac:dyDescent="0.25">
      <c r="A49" s="7"/>
      <c r="F49" s="3"/>
    </row>
    <row r="50" spans="1:7" x14ac:dyDescent="0.25">
      <c r="A50" s="7"/>
      <c r="F50" s="3"/>
    </row>
    <row r="51" spans="1:7" x14ac:dyDescent="0.25">
      <c r="F51" s="3"/>
    </row>
    <row r="52" spans="1:7" x14ac:dyDescent="0.25">
      <c r="A52" s="7"/>
      <c r="F52" s="3"/>
    </row>
    <row r="53" spans="1:7" x14ac:dyDescent="0.25">
      <c r="F53" s="3"/>
    </row>
    <row r="54" spans="1:7" x14ac:dyDescent="0.25">
      <c r="A54" s="7"/>
      <c r="F54" s="3"/>
    </row>
    <row r="55" spans="1:7" x14ac:dyDescent="0.25">
      <c r="F55" s="3"/>
    </row>
    <row r="56" spans="1:7" x14ac:dyDescent="0.25">
      <c r="A56" s="7"/>
      <c r="F56" s="3"/>
    </row>
    <row r="57" spans="1:7" x14ac:dyDescent="0.25">
      <c r="F57" s="3"/>
    </row>
    <row r="58" spans="1:7" x14ac:dyDescent="0.25">
      <c r="A58" s="7"/>
      <c r="F58" s="3"/>
    </row>
    <row r="59" spans="1:7" x14ac:dyDescent="0.25">
      <c r="F59" s="3"/>
    </row>
    <row r="60" spans="1:7" x14ac:dyDescent="0.25">
      <c r="A60" s="7"/>
      <c r="F60" s="3"/>
    </row>
    <row r="61" spans="1:7" x14ac:dyDescent="0.25">
      <c r="F61" s="3"/>
      <c r="G61" s="3"/>
    </row>
    <row r="62" spans="1:7" x14ac:dyDescent="0.25">
      <c r="A62" s="7"/>
      <c r="F62" s="3"/>
    </row>
    <row r="63" spans="1:7" x14ac:dyDescent="0.25">
      <c r="F63" s="3"/>
    </row>
    <row r="64" spans="1:7" x14ac:dyDescent="0.25">
      <c r="A64" s="7"/>
      <c r="F64" s="3"/>
    </row>
    <row r="65" spans="1:11" x14ac:dyDescent="0.25">
      <c r="F65" s="3"/>
    </row>
    <row r="66" spans="1:11" x14ac:dyDescent="0.25">
      <c r="A66" s="7"/>
      <c r="F66" s="3"/>
    </row>
    <row r="67" spans="1:11" x14ac:dyDescent="0.25">
      <c r="F67" s="3"/>
    </row>
    <row r="68" spans="1:11" x14ac:dyDescent="0.25">
      <c r="F68" s="3"/>
    </row>
    <row r="69" spans="1:11" x14ac:dyDescent="0.25">
      <c r="A69" s="7"/>
      <c r="F69" s="3"/>
    </row>
    <row r="70" spans="1:11" x14ac:dyDescent="0.25">
      <c r="F70" s="3"/>
    </row>
    <row r="71" spans="1:11" x14ac:dyDescent="0.25">
      <c r="A71" s="7"/>
      <c r="F71" s="3"/>
    </row>
    <row r="72" spans="1:11" x14ac:dyDescent="0.25">
      <c r="A72" s="7"/>
      <c r="F72" s="3"/>
    </row>
    <row r="73" spans="1:11" x14ac:dyDescent="0.25">
      <c r="F73" s="3"/>
    </row>
    <row r="74" spans="1:11" x14ac:dyDescent="0.25">
      <c r="F74" s="3"/>
      <c r="G74" s="3"/>
      <c r="H74" s="3"/>
      <c r="K74" s="13"/>
    </row>
    <row r="75" spans="1:11" x14ac:dyDescent="0.25">
      <c r="A75" s="7"/>
      <c r="F75" s="3"/>
    </row>
    <row r="76" spans="1:11" x14ac:dyDescent="0.25">
      <c r="F76" s="3"/>
    </row>
    <row r="77" spans="1:11" x14ac:dyDescent="0.25">
      <c r="A77" s="7"/>
      <c r="F77" s="3"/>
    </row>
    <row r="78" spans="1:11" x14ac:dyDescent="0.25">
      <c r="F78" s="3"/>
    </row>
    <row r="80" spans="1:11" x14ac:dyDescent="0.25">
      <c r="A80" s="7"/>
      <c r="F80" s="3"/>
    </row>
    <row r="81" spans="1:7" x14ac:dyDescent="0.25">
      <c r="F81" s="3"/>
    </row>
    <row r="82" spans="1:7" x14ac:dyDescent="0.25">
      <c r="F82" s="3"/>
    </row>
    <row r="83" spans="1:7" x14ac:dyDescent="0.25">
      <c r="F83" s="3"/>
    </row>
    <row r="84" spans="1:7" x14ac:dyDescent="0.25">
      <c r="A84" s="7"/>
      <c r="F84" s="3"/>
    </row>
    <row r="85" spans="1:7" x14ac:dyDescent="0.25">
      <c r="F85" s="3"/>
      <c r="G85" s="3"/>
    </row>
    <row r="86" spans="1:7" x14ac:dyDescent="0.25">
      <c r="A86" s="7"/>
      <c r="F86" s="3"/>
    </row>
    <row r="87" spans="1:7" x14ac:dyDescent="0.25">
      <c r="F87" s="3"/>
    </row>
    <row r="88" spans="1:7" x14ac:dyDescent="0.25">
      <c r="A88" s="7"/>
      <c r="F88" s="3"/>
    </row>
    <row r="89" spans="1:7" x14ac:dyDescent="0.25">
      <c r="F89" s="3"/>
    </row>
    <row r="90" spans="1:7" x14ac:dyDescent="0.25">
      <c r="A90" s="7"/>
      <c r="F90" s="3"/>
    </row>
    <row r="91" spans="1:7" x14ac:dyDescent="0.25">
      <c r="F91" s="3"/>
    </row>
    <row r="92" spans="1:7" x14ac:dyDescent="0.25">
      <c r="A92" s="7"/>
      <c r="F92" s="3"/>
    </row>
    <row r="93" spans="1:7" x14ac:dyDescent="0.25">
      <c r="F93" s="3"/>
    </row>
    <row r="94" spans="1:7" x14ac:dyDescent="0.25">
      <c r="A94" s="7"/>
      <c r="F94" s="3"/>
    </row>
    <row r="95" spans="1:7" x14ac:dyDescent="0.25">
      <c r="A95" s="7"/>
      <c r="F95" s="3"/>
    </row>
    <row r="96" spans="1:7" x14ac:dyDescent="0.25">
      <c r="A96" s="7"/>
      <c r="F96" s="3"/>
    </row>
    <row r="97" spans="1:7" x14ac:dyDescent="0.25">
      <c r="A97" s="7"/>
      <c r="F97" s="3"/>
    </row>
    <row r="98" spans="1:7" x14ac:dyDescent="0.25">
      <c r="A98" s="7"/>
      <c r="F98" s="3"/>
      <c r="G98" s="3"/>
    </row>
    <row r="99" spans="1:7" x14ac:dyDescent="0.25">
      <c r="A99" s="7"/>
      <c r="F99" s="3"/>
    </row>
    <row r="100" spans="1:7" x14ac:dyDescent="0.25">
      <c r="A100" s="7"/>
      <c r="F100" s="3"/>
    </row>
    <row r="101" spans="1:7" x14ac:dyDescent="0.25">
      <c r="F101" s="3"/>
    </row>
    <row r="102" spans="1:7" x14ac:dyDescent="0.25">
      <c r="A102" s="7"/>
      <c r="F102" s="3"/>
    </row>
    <row r="103" spans="1:7" x14ac:dyDescent="0.25">
      <c r="A103" s="7"/>
      <c r="F103" s="3"/>
    </row>
    <row r="104" spans="1:7" x14ac:dyDescent="0.25">
      <c r="A104" s="7"/>
      <c r="F104" s="3"/>
    </row>
    <row r="105" spans="1:7" x14ac:dyDescent="0.25">
      <c r="A105" s="7"/>
      <c r="F105" s="3"/>
    </row>
    <row r="106" spans="1:7" x14ac:dyDescent="0.25">
      <c r="A106" s="7"/>
      <c r="F106" s="3"/>
    </row>
    <row r="107" spans="1:7" x14ac:dyDescent="0.25">
      <c r="A107" s="7"/>
      <c r="F107" s="3"/>
    </row>
    <row r="108" spans="1:7" x14ac:dyDescent="0.25">
      <c r="A108" s="7"/>
      <c r="F108" s="3"/>
    </row>
    <row r="109" spans="1:7" x14ac:dyDescent="0.25">
      <c r="A109" s="7"/>
      <c r="F109" s="3"/>
    </row>
    <row r="110" spans="1:7" x14ac:dyDescent="0.25">
      <c r="A110" s="7"/>
      <c r="F110" s="3"/>
    </row>
    <row r="111" spans="1:7" x14ac:dyDescent="0.25">
      <c r="A111" s="7"/>
      <c r="F111" s="3"/>
    </row>
    <row r="112" spans="1:7" x14ac:dyDescent="0.25">
      <c r="A112" s="7"/>
      <c r="F112" s="3"/>
    </row>
    <row r="113" spans="1:10" x14ac:dyDescent="0.25">
      <c r="A113" s="7"/>
      <c r="F113" s="3"/>
    </row>
    <row r="114" spans="1:10" x14ac:dyDescent="0.25">
      <c r="A114" s="7"/>
      <c r="F114" s="3"/>
    </row>
    <row r="115" spans="1:10" x14ac:dyDescent="0.25">
      <c r="F115" s="3"/>
    </row>
    <row r="116" spans="1:10" x14ac:dyDescent="0.25">
      <c r="A116" s="7"/>
      <c r="F116" s="3"/>
    </row>
    <row r="117" spans="1:10" x14ac:dyDescent="0.25">
      <c r="A117" s="7"/>
      <c r="F117" s="3"/>
    </row>
    <row r="118" spans="1:10" x14ac:dyDescent="0.25">
      <c r="A118" s="7"/>
      <c r="F118" s="3"/>
    </row>
    <row r="119" spans="1:10" x14ac:dyDescent="0.25">
      <c r="A119" s="7"/>
      <c r="F119" s="3"/>
    </row>
    <row r="120" spans="1:10" x14ac:dyDescent="0.25">
      <c r="A120" s="7"/>
      <c r="F120" s="3"/>
    </row>
    <row r="121" spans="1:10" x14ac:dyDescent="0.25">
      <c r="A121" s="7"/>
      <c r="F121" s="3"/>
    </row>
    <row r="122" spans="1:10" x14ac:dyDescent="0.25">
      <c r="A122" s="7"/>
      <c r="F122" s="3"/>
    </row>
    <row r="123" spans="1:10" x14ac:dyDescent="0.25">
      <c r="A123" s="7"/>
      <c r="F123" s="3"/>
      <c r="J123" s="10"/>
    </row>
    <row r="124" spans="1:10" x14ac:dyDescent="0.25">
      <c r="F124" s="3"/>
    </row>
    <row r="125" spans="1:10" x14ac:dyDescent="0.25">
      <c r="F125" s="3"/>
    </row>
    <row r="126" spans="1:10" x14ac:dyDescent="0.25">
      <c r="A126" s="7"/>
      <c r="F126" s="3"/>
    </row>
    <row r="127" spans="1:10" x14ac:dyDescent="0.25">
      <c r="F127" s="3"/>
    </row>
    <row r="128" spans="1:10" x14ac:dyDescent="0.25">
      <c r="A128" s="7"/>
      <c r="F128" s="3"/>
    </row>
    <row r="129" spans="1:11" x14ac:dyDescent="0.25">
      <c r="F129" s="3"/>
    </row>
    <row r="130" spans="1:11" x14ac:dyDescent="0.25">
      <c r="A130" s="7"/>
      <c r="F130" s="3"/>
    </row>
    <row r="131" spans="1:11" x14ac:dyDescent="0.25">
      <c r="F131" s="3"/>
    </row>
    <row r="132" spans="1:11" x14ac:dyDescent="0.25">
      <c r="A132" s="7"/>
      <c r="F132" s="3"/>
    </row>
    <row r="133" spans="1:11" x14ac:dyDescent="0.25">
      <c r="F133" s="3"/>
    </row>
    <row r="134" spans="1:11" x14ac:dyDescent="0.25">
      <c r="A134" s="7"/>
      <c r="F134" s="3"/>
    </row>
    <row r="135" spans="1:11" x14ac:dyDescent="0.25">
      <c r="F135" s="3"/>
    </row>
    <row r="136" spans="1:11" x14ac:dyDescent="0.25">
      <c r="F136" s="3"/>
    </row>
    <row r="137" spans="1:11" x14ac:dyDescent="0.25">
      <c r="A137" s="7"/>
      <c r="F137" s="3"/>
    </row>
    <row r="138" spans="1:11" x14ac:dyDescent="0.25">
      <c r="A138" s="7"/>
      <c r="F138" s="3"/>
    </row>
    <row r="139" spans="1:11" x14ac:dyDescent="0.25">
      <c r="F139" s="20"/>
    </row>
    <row r="140" spans="1:11" x14ac:dyDescent="0.25">
      <c r="A140" s="7"/>
      <c r="F140" s="3"/>
      <c r="K140" s="3"/>
    </row>
    <row r="141" spans="1:11" x14ac:dyDescent="0.25">
      <c r="F141" s="20"/>
    </row>
    <row r="142" spans="1:11" x14ac:dyDescent="0.25">
      <c r="A142" s="7"/>
      <c r="F142" s="3"/>
    </row>
    <row r="143" spans="1:11" x14ac:dyDescent="0.25">
      <c r="F143" s="20"/>
    </row>
    <row r="144" spans="1:11" x14ac:dyDescent="0.25">
      <c r="A144" s="7"/>
      <c r="F144" s="3"/>
    </row>
    <row r="145" spans="1:6" x14ac:dyDescent="0.25">
      <c r="A145" s="7"/>
      <c r="F145" s="3"/>
    </row>
    <row r="146" spans="1:6" x14ac:dyDescent="0.25">
      <c r="A146" s="7"/>
      <c r="F146" s="3"/>
    </row>
    <row r="147" spans="1:6" x14ac:dyDescent="0.25">
      <c r="A147" s="7"/>
      <c r="F147" s="3"/>
    </row>
    <row r="148" spans="1:6" x14ac:dyDescent="0.25">
      <c r="A148" s="7"/>
      <c r="F148" s="3"/>
    </row>
    <row r="149" spans="1:6" x14ac:dyDescent="0.25">
      <c r="A149" s="7"/>
      <c r="F149" s="3"/>
    </row>
    <row r="150" spans="1:6" x14ac:dyDescent="0.25">
      <c r="A150" s="7"/>
      <c r="F150" s="3"/>
    </row>
    <row r="151" spans="1:6" x14ac:dyDescent="0.25">
      <c r="A151" s="7"/>
      <c r="F151" s="3"/>
    </row>
    <row r="152" spans="1:6" x14ac:dyDescent="0.25">
      <c r="A152" s="7"/>
      <c r="F152" s="3"/>
    </row>
    <row r="154" spans="1:6" x14ac:dyDescent="0.25">
      <c r="A154" s="7"/>
      <c r="F154" s="3"/>
    </row>
    <row r="155" spans="1:6" x14ac:dyDescent="0.25">
      <c r="A155" s="7"/>
      <c r="F155" s="3"/>
    </row>
    <row r="156" spans="1:6" x14ac:dyDescent="0.25">
      <c r="A156" s="7"/>
      <c r="F156" s="3"/>
    </row>
    <row r="158" spans="1:6" x14ac:dyDescent="0.25">
      <c r="A158" s="7"/>
      <c r="F158" s="3"/>
    </row>
    <row r="159" spans="1:6" x14ac:dyDescent="0.25">
      <c r="A159" s="7"/>
      <c r="F159" s="3"/>
    </row>
    <row r="160" spans="1:6" x14ac:dyDescent="0.25">
      <c r="A160" s="7"/>
      <c r="F160" s="3"/>
    </row>
    <row r="161" spans="1:7" x14ac:dyDescent="0.25">
      <c r="A161" s="7"/>
      <c r="F161" s="3"/>
    </row>
    <row r="162" spans="1:7" x14ac:dyDescent="0.25">
      <c r="A162" s="7"/>
      <c r="F162" s="3"/>
    </row>
    <row r="163" spans="1:7" x14ac:dyDescent="0.25">
      <c r="A163" s="7"/>
      <c r="F163" s="3"/>
    </row>
    <row r="164" spans="1:7" x14ac:dyDescent="0.25">
      <c r="A164" s="7"/>
      <c r="F164" s="3"/>
    </row>
    <row r="165" spans="1:7" x14ac:dyDescent="0.25">
      <c r="A165" s="7"/>
      <c r="F165" s="3"/>
    </row>
    <row r="166" spans="1:7" x14ac:dyDescent="0.25">
      <c r="A166" s="7"/>
      <c r="F166" s="3"/>
    </row>
    <row r="167" spans="1:7" x14ac:dyDescent="0.25">
      <c r="A167" s="7"/>
      <c r="F167" s="3"/>
    </row>
    <row r="168" spans="1:7" x14ac:dyDescent="0.25">
      <c r="A168" s="7"/>
      <c r="F168" s="3"/>
    </row>
    <row r="169" spans="1:7" x14ac:dyDescent="0.25">
      <c r="A169" s="7"/>
      <c r="F169" s="3"/>
    </row>
    <row r="170" spans="1:7" x14ac:dyDescent="0.25">
      <c r="F170" s="3"/>
    </row>
    <row r="171" spans="1:7" x14ac:dyDescent="0.25">
      <c r="F171" s="20"/>
      <c r="G171" s="19"/>
    </row>
    <row r="172" spans="1:7" x14ac:dyDescent="0.25">
      <c r="A172" s="7"/>
      <c r="F172" s="3"/>
    </row>
    <row r="173" spans="1:7" x14ac:dyDescent="0.25">
      <c r="A173" s="7"/>
      <c r="F173" s="3"/>
    </row>
    <row r="174" spans="1:7" x14ac:dyDescent="0.25">
      <c r="A174" s="7"/>
      <c r="F174" s="3"/>
    </row>
    <row r="175" spans="1:7" x14ac:dyDescent="0.25">
      <c r="F175" s="3"/>
    </row>
    <row r="176" spans="1:7" x14ac:dyDescent="0.25">
      <c r="A176" s="7"/>
      <c r="F176" s="3"/>
    </row>
    <row r="177" spans="1:10" x14ac:dyDescent="0.25">
      <c r="A177" s="7"/>
      <c r="F177" s="3"/>
    </row>
    <row r="178" spans="1:10" x14ac:dyDescent="0.25">
      <c r="A178" s="7"/>
      <c r="F178" s="3"/>
    </row>
    <row r="180" spans="1:10" x14ac:dyDescent="0.25">
      <c r="A180" s="7"/>
      <c r="F180" s="3"/>
    </row>
    <row r="181" spans="1:10" x14ac:dyDescent="0.25">
      <c r="A181" s="7"/>
      <c r="F181" s="3"/>
      <c r="J181" s="19"/>
    </row>
    <row r="182" spans="1:10" x14ac:dyDescent="0.25">
      <c r="F182" s="3"/>
      <c r="J182" s="19"/>
    </row>
    <row r="183" spans="1:10" x14ac:dyDescent="0.25">
      <c r="F183" s="3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3"/>
  <sheetViews>
    <sheetView topLeftCell="A25" zoomScale="70" zoomScaleNormal="70" workbookViewId="0">
      <selection activeCell="D71" sqref="D71"/>
    </sheetView>
  </sheetViews>
  <sheetFormatPr defaultRowHeight="15.75" x14ac:dyDescent="0.25"/>
  <cols>
    <col min="1" max="1" width="14.5" customWidth="1"/>
    <col min="7" max="7" width="14" customWidth="1"/>
    <col min="13" max="13" width="16.625" customWidth="1"/>
    <col min="14" max="14" width="14.375" customWidth="1"/>
  </cols>
  <sheetData>
    <row r="1" spans="1:29" ht="21" x14ac:dyDescent="0.35">
      <c r="A1" s="50" t="s">
        <v>173</v>
      </c>
      <c r="D1" t="s">
        <v>162</v>
      </c>
    </row>
    <row r="2" spans="1:29" x14ac:dyDescent="0.25">
      <c r="A2" s="4" t="s">
        <v>14</v>
      </c>
      <c r="B2" s="4" t="s">
        <v>22</v>
      </c>
      <c r="C2" s="4" t="s">
        <v>161</v>
      </c>
      <c r="D2" s="4" t="s">
        <v>3</v>
      </c>
      <c r="E2" s="4" t="s">
        <v>4</v>
      </c>
      <c r="F2" s="4" t="s">
        <v>159</v>
      </c>
      <c r="G2" s="4" t="s">
        <v>7</v>
      </c>
      <c r="H2" s="4" t="s">
        <v>5</v>
      </c>
      <c r="I2" s="4" t="s">
        <v>21</v>
      </c>
      <c r="J2" s="4" t="s">
        <v>20</v>
      </c>
      <c r="K2" s="4" t="s">
        <v>160</v>
      </c>
    </row>
    <row r="3" spans="1:29" x14ac:dyDescent="0.25">
      <c r="A3" s="7">
        <v>44630</v>
      </c>
      <c r="B3">
        <v>1125</v>
      </c>
      <c r="C3">
        <v>1060</v>
      </c>
      <c r="D3">
        <f>B3+273</f>
        <v>1398</v>
      </c>
      <c r="E3">
        <f>10000/D3</f>
        <v>7.1530758226037197</v>
      </c>
      <c r="F3" s="3">
        <v>7.3799999999999996E-7</v>
      </c>
      <c r="G3">
        <f>LN(F3)</f>
        <v>-14.119322012345938</v>
      </c>
      <c r="H3">
        <v>1.1000000000000001</v>
      </c>
      <c r="M3" t="s">
        <v>170</v>
      </c>
      <c r="O3" t="s">
        <v>171</v>
      </c>
      <c r="T3" t="s">
        <v>248</v>
      </c>
      <c r="U3" t="s">
        <v>11</v>
      </c>
    </row>
    <row r="4" spans="1:29" x14ac:dyDescent="0.25">
      <c r="B4">
        <v>1075</v>
      </c>
      <c r="C4">
        <v>1015</v>
      </c>
      <c r="D4">
        <f>B4+273</f>
        <v>1348</v>
      </c>
      <c r="E4">
        <f t="shared" ref="E4:E40" si="0">10000/D4</f>
        <v>7.4183976261127595</v>
      </c>
      <c r="F4" s="3">
        <v>2.8799999999999998E-7</v>
      </c>
      <c r="G4">
        <f t="shared" ref="G4:G36" si="1">LN(F4)</f>
        <v>-15.060305356810465</v>
      </c>
      <c r="H4">
        <v>0.40100000000000002</v>
      </c>
      <c r="M4" t="s">
        <v>166</v>
      </c>
      <c r="N4" s="3">
        <v>3.8619000000000002E-16</v>
      </c>
      <c r="O4" t="s">
        <v>166</v>
      </c>
      <c r="P4" s="3">
        <v>2.9180000000000002E-10</v>
      </c>
      <c r="S4" t="s">
        <v>227</v>
      </c>
    </row>
    <row r="5" spans="1:29" ht="16.5" thickBot="1" x14ac:dyDescent="0.3">
      <c r="B5">
        <v>1025</v>
      </c>
      <c r="C5">
        <v>960</v>
      </c>
      <c r="D5">
        <f>B5+273</f>
        <v>1298</v>
      </c>
      <c r="E5">
        <f t="shared" si="0"/>
        <v>7.704160246533128</v>
      </c>
      <c r="F5" s="3">
        <v>1.05E-7</v>
      </c>
      <c r="G5">
        <f t="shared" si="1"/>
        <v>-16.069305486788888</v>
      </c>
      <c r="H5">
        <v>0.14199999999999999</v>
      </c>
      <c r="M5" t="s">
        <v>167</v>
      </c>
      <c r="N5" s="3">
        <v>1.8889E-2</v>
      </c>
      <c r="O5" t="s">
        <v>167</v>
      </c>
      <c r="P5" s="3">
        <v>1.9480999999999998E-2</v>
      </c>
      <c r="S5" t="s">
        <v>212</v>
      </c>
    </row>
    <row r="6" spans="1:29" x14ac:dyDescent="0.25">
      <c r="A6" s="6">
        <v>44643</v>
      </c>
      <c r="B6">
        <v>1010</v>
      </c>
      <c r="C6">
        <v>960</v>
      </c>
      <c r="D6">
        <f>B6+273</f>
        <v>1283</v>
      </c>
      <c r="E6">
        <f t="shared" si="0"/>
        <v>7.7942322681215899</v>
      </c>
      <c r="F6" s="3">
        <v>7.4999999999999997E-8</v>
      </c>
      <c r="G6">
        <f t="shared" si="1"/>
        <v>-16.4057777234101</v>
      </c>
      <c r="L6" s="52" t="s">
        <v>164</v>
      </c>
      <c r="M6" s="53"/>
      <c r="N6" s="54"/>
      <c r="S6" t="s">
        <v>12</v>
      </c>
    </row>
    <row r="7" spans="1:29" x14ac:dyDescent="0.25">
      <c r="B7">
        <v>1015</v>
      </c>
      <c r="C7">
        <v>960</v>
      </c>
      <c r="D7">
        <f>B7+273</f>
        <v>1288</v>
      </c>
      <c r="E7">
        <f t="shared" si="0"/>
        <v>7.7639751552795033</v>
      </c>
      <c r="F7" s="3">
        <v>8.3000000000000002E-8</v>
      </c>
      <c r="G7">
        <f t="shared" si="1"/>
        <v>-16.304425229149814</v>
      </c>
      <c r="H7">
        <v>0.115</v>
      </c>
      <c r="L7" s="55" t="s">
        <v>165</v>
      </c>
      <c r="M7" s="51" t="s">
        <v>168</v>
      </c>
      <c r="N7" s="56" t="s">
        <v>169</v>
      </c>
      <c r="S7" t="s">
        <v>249</v>
      </c>
    </row>
    <row r="8" spans="1:29" ht="16.5" thickBot="1" x14ac:dyDescent="0.3">
      <c r="A8" s="6">
        <v>44649</v>
      </c>
      <c r="B8">
        <v>1040</v>
      </c>
      <c r="C8">
        <v>985</v>
      </c>
      <c r="D8">
        <f t="shared" ref="D8:D40" si="2">B8+273</f>
        <v>1313</v>
      </c>
      <c r="E8">
        <f t="shared" si="0"/>
        <v>7.6161462300076161</v>
      </c>
      <c r="F8" s="3">
        <v>1.43E-7</v>
      </c>
      <c r="G8">
        <f t="shared" si="1"/>
        <v>-15.760421206686503</v>
      </c>
      <c r="H8">
        <v>0.185</v>
      </c>
      <c r="L8" s="57">
        <v>1091</v>
      </c>
      <c r="M8" s="58">
        <f>N4*EXP(N5*L8)</f>
        <v>3.4411043553778881E-7</v>
      </c>
      <c r="N8" s="59">
        <f>P4*EXP(P5*L8)</f>
        <v>0.49599894472012501</v>
      </c>
    </row>
    <row r="9" spans="1:29" x14ac:dyDescent="0.25">
      <c r="A9" s="60">
        <v>44651</v>
      </c>
      <c r="B9">
        <v>1040</v>
      </c>
      <c r="C9">
        <v>985</v>
      </c>
      <c r="D9">
        <f t="shared" si="2"/>
        <v>1313</v>
      </c>
      <c r="E9">
        <f t="shared" si="0"/>
        <v>7.6161462300076161</v>
      </c>
      <c r="F9" s="3">
        <v>1.3799999999999999E-7</v>
      </c>
      <c r="G9">
        <f t="shared" si="1"/>
        <v>-15.796012151789206</v>
      </c>
    </row>
    <row r="10" spans="1:29" x14ac:dyDescent="0.25">
      <c r="A10" s="6">
        <v>44658</v>
      </c>
      <c r="B10">
        <v>1040</v>
      </c>
      <c r="C10">
        <v>985</v>
      </c>
      <c r="D10">
        <f t="shared" si="2"/>
        <v>1313</v>
      </c>
      <c r="E10">
        <f t="shared" si="0"/>
        <v>7.6161462300076161</v>
      </c>
      <c r="F10" s="3">
        <v>1.35E-7</v>
      </c>
      <c r="G10">
        <f t="shared" si="1"/>
        <v>-15.817991058507982</v>
      </c>
    </row>
    <row r="11" spans="1:29" x14ac:dyDescent="0.25">
      <c r="A11" s="6">
        <v>44707</v>
      </c>
      <c r="B11">
        <v>1040</v>
      </c>
      <c r="C11">
        <v>985</v>
      </c>
      <c r="D11">
        <f t="shared" si="2"/>
        <v>1313</v>
      </c>
      <c r="E11">
        <f t="shared" si="0"/>
        <v>7.6161462300076161</v>
      </c>
      <c r="F11" s="3">
        <v>1.3300000000000001E-7</v>
      </c>
      <c r="G11">
        <f t="shared" si="1"/>
        <v>-15.832916708724657</v>
      </c>
      <c r="H11">
        <v>0.183</v>
      </c>
    </row>
    <row r="12" spans="1:29" x14ac:dyDescent="0.25">
      <c r="A12" s="6">
        <v>44715</v>
      </c>
      <c r="B12">
        <v>1040</v>
      </c>
      <c r="C12">
        <v>985</v>
      </c>
      <c r="D12">
        <f t="shared" si="2"/>
        <v>1313</v>
      </c>
      <c r="E12">
        <f t="shared" si="0"/>
        <v>7.6161462300076161</v>
      </c>
      <c r="F12" s="3">
        <v>1.31E-7</v>
      </c>
      <c r="G12">
        <f t="shared" si="1"/>
        <v>-15.848068513745259</v>
      </c>
      <c r="H12">
        <v>0.17799999999999999</v>
      </c>
    </row>
    <row r="13" spans="1:29" x14ac:dyDescent="0.25">
      <c r="A13" s="60">
        <v>44719</v>
      </c>
      <c r="B13">
        <v>1040</v>
      </c>
      <c r="C13">
        <v>985</v>
      </c>
      <c r="D13">
        <f t="shared" si="2"/>
        <v>1313</v>
      </c>
      <c r="E13">
        <f t="shared" si="0"/>
        <v>7.6161462300076161</v>
      </c>
      <c r="F13" s="3">
        <v>1.36E-7</v>
      </c>
      <c r="G13">
        <f t="shared" si="1"/>
        <v>-15.810610951210359</v>
      </c>
    </row>
    <row r="14" spans="1:29" x14ac:dyDescent="0.25">
      <c r="A14" s="6">
        <v>44741</v>
      </c>
      <c r="B14">
        <v>1040</v>
      </c>
      <c r="C14">
        <v>985</v>
      </c>
      <c r="D14">
        <f t="shared" si="2"/>
        <v>1313</v>
      </c>
      <c r="E14">
        <f t="shared" si="0"/>
        <v>7.6161462300076161</v>
      </c>
      <c r="F14" s="3">
        <v>1.29E-7</v>
      </c>
      <c r="G14">
        <f t="shared" si="1"/>
        <v>-15.863453432584739</v>
      </c>
    </row>
    <row r="15" spans="1:29" x14ac:dyDescent="0.25">
      <c r="A15" s="6">
        <v>44753</v>
      </c>
      <c r="B15">
        <v>1040</v>
      </c>
      <c r="C15">
        <v>985</v>
      </c>
      <c r="D15">
        <f t="shared" si="2"/>
        <v>1313</v>
      </c>
      <c r="E15">
        <f t="shared" si="0"/>
        <v>7.6161462300076161</v>
      </c>
      <c r="F15" s="3">
        <v>1.3199999999999999E-7</v>
      </c>
      <c r="G15">
        <f t="shared" si="1"/>
        <v>-15.84046391436004</v>
      </c>
      <c r="K15" t="s">
        <v>174</v>
      </c>
      <c r="L15" s="3">
        <v>1120</v>
      </c>
      <c r="AB15" t="s">
        <v>174</v>
      </c>
      <c r="AC15" s="3">
        <v>1120</v>
      </c>
    </row>
    <row r="16" spans="1:29" x14ac:dyDescent="0.25">
      <c r="A16" s="60">
        <v>44771</v>
      </c>
      <c r="B16">
        <v>1040</v>
      </c>
      <c r="C16">
        <v>985</v>
      </c>
      <c r="D16">
        <f t="shared" si="2"/>
        <v>1313</v>
      </c>
      <c r="E16">
        <f t="shared" si="0"/>
        <v>7.6161462300076161</v>
      </c>
      <c r="F16" s="3">
        <v>1.29E-7</v>
      </c>
      <c r="G16">
        <f t="shared" si="1"/>
        <v>-15.863453432584739</v>
      </c>
      <c r="K16" t="s">
        <v>12</v>
      </c>
      <c r="L16" s="3">
        <f>1.5415E-16*EXP(0.01983*L15)</f>
        <v>6.8147551158878727E-7</v>
      </c>
      <c r="AB16" t="s">
        <v>11</v>
      </c>
      <c r="AC16" s="3">
        <f>0.00000000010239*EXP(0.020537*AC15)</f>
        <v>0.99920824925833407</v>
      </c>
    </row>
    <row r="17" spans="1:10" x14ac:dyDescent="0.25">
      <c r="A17" s="6">
        <v>44775</v>
      </c>
      <c r="B17">
        <v>1120</v>
      </c>
      <c r="C17">
        <v>1055</v>
      </c>
      <c r="D17">
        <f t="shared" si="2"/>
        <v>1393</v>
      </c>
      <c r="E17">
        <f t="shared" si="0"/>
        <v>7.1787508973438623</v>
      </c>
      <c r="F17" s="3">
        <v>6.3399999999999999E-7</v>
      </c>
      <c r="G17">
        <f t="shared" si="1"/>
        <v>-14.271216882509185</v>
      </c>
      <c r="H17">
        <v>0.95</v>
      </c>
    </row>
    <row r="18" spans="1:10" x14ac:dyDescent="0.25">
      <c r="A18" s="6">
        <v>44784</v>
      </c>
      <c r="B18">
        <v>1120</v>
      </c>
      <c r="C18">
        <v>1050</v>
      </c>
      <c r="D18">
        <f t="shared" si="2"/>
        <v>1393</v>
      </c>
      <c r="E18">
        <f t="shared" si="0"/>
        <v>7.1787508973438623</v>
      </c>
      <c r="F18" s="3">
        <v>5.8999999999999996E-7</v>
      </c>
      <c r="G18">
        <f t="shared" si="1"/>
        <v>-14.343143300046647</v>
      </c>
    </row>
    <row r="19" spans="1:10" x14ac:dyDescent="0.25">
      <c r="B19">
        <v>1124</v>
      </c>
      <c r="C19">
        <v>1052</v>
      </c>
      <c r="D19">
        <f t="shared" si="2"/>
        <v>1397</v>
      </c>
      <c r="E19">
        <f t="shared" si="0"/>
        <v>7.1581961345740872</v>
      </c>
      <c r="F19" s="3">
        <v>6.6199999999999997E-7</v>
      </c>
      <c r="G19">
        <f t="shared" si="1"/>
        <v>-14.228000281009402</v>
      </c>
    </row>
    <row r="20" spans="1:10" x14ac:dyDescent="0.25">
      <c r="B20">
        <v>1122</v>
      </c>
      <c r="C20">
        <v>1052</v>
      </c>
      <c r="D20">
        <f t="shared" si="2"/>
        <v>1395</v>
      </c>
      <c r="E20">
        <f t="shared" si="0"/>
        <v>7.1684587813620073</v>
      </c>
      <c r="F20" s="3">
        <v>6.3499999999999996E-7</v>
      </c>
      <c r="G20">
        <f t="shared" si="1"/>
        <v>-14.26964083805372</v>
      </c>
      <c r="H20">
        <v>0.99</v>
      </c>
    </row>
    <row r="21" spans="1:10" x14ac:dyDescent="0.25">
      <c r="A21" s="7">
        <v>44789</v>
      </c>
      <c r="B21">
        <v>1122</v>
      </c>
      <c r="C21">
        <v>1050</v>
      </c>
      <c r="D21">
        <f t="shared" si="2"/>
        <v>1395</v>
      </c>
      <c r="E21">
        <f t="shared" si="0"/>
        <v>7.1684587813620073</v>
      </c>
      <c r="F21" s="3">
        <v>6.0200000000000002E-7</v>
      </c>
      <c r="G21">
        <f t="shared" si="1"/>
        <v>-14.32300839163759</v>
      </c>
    </row>
    <row r="22" spans="1:10" x14ac:dyDescent="0.25">
      <c r="A22" s="7"/>
      <c r="B22">
        <v>1123</v>
      </c>
      <c r="C22">
        <v>1050</v>
      </c>
      <c r="D22">
        <f t="shared" si="2"/>
        <v>1396</v>
      </c>
      <c r="E22">
        <f t="shared" si="0"/>
        <v>7.1633237822349569</v>
      </c>
      <c r="F22" s="3">
        <v>6.0999999999999998E-7</v>
      </c>
      <c r="G22">
        <f t="shared" si="1"/>
        <v>-14.309806879779055</v>
      </c>
      <c r="J22" s="10"/>
    </row>
    <row r="23" spans="1:10" x14ac:dyDescent="0.25">
      <c r="B23">
        <v>1124</v>
      </c>
      <c r="C23">
        <v>1050</v>
      </c>
      <c r="D23">
        <f t="shared" si="2"/>
        <v>1397</v>
      </c>
      <c r="E23">
        <f t="shared" si="0"/>
        <v>7.1581961345740872</v>
      </c>
      <c r="F23" s="3">
        <v>6.2500000000000005E-7</v>
      </c>
      <c r="G23">
        <f t="shared" si="1"/>
        <v>-14.28551418721001</v>
      </c>
      <c r="J23" s="10"/>
    </row>
    <row r="24" spans="1:10" x14ac:dyDescent="0.25">
      <c r="A24" s="6">
        <v>44796</v>
      </c>
      <c r="B24">
        <v>1040</v>
      </c>
      <c r="C24">
        <v>985</v>
      </c>
      <c r="D24">
        <f t="shared" si="2"/>
        <v>1313</v>
      </c>
      <c r="E24">
        <f t="shared" si="0"/>
        <v>7.6161462300076161</v>
      </c>
      <c r="F24" s="3">
        <v>1.29E-7</v>
      </c>
      <c r="G24">
        <f t="shared" si="1"/>
        <v>-15.863453432584739</v>
      </c>
      <c r="J24" s="10"/>
    </row>
    <row r="25" spans="1:10" x14ac:dyDescent="0.25">
      <c r="A25" s="6">
        <v>44800</v>
      </c>
      <c r="B25">
        <v>1124</v>
      </c>
      <c r="C25">
        <v>1050</v>
      </c>
      <c r="D25">
        <f t="shared" si="2"/>
        <v>1397</v>
      </c>
      <c r="E25">
        <f t="shared" si="0"/>
        <v>7.1581961345740872</v>
      </c>
      <c r="F25" s="3">
        <v>6.2500000000000005E-7</v>
      </c>
      <c r="G25">
        <f t="shared" si="1"/>
        <v>-14.28551418721001</v>
      </c>
    </row>
    <row r="26" spans="1:10" x14ac:dyDescent="0.25">
      <c r="A26" s="7">
        <v>44802</v>
      </c>
      <c r="B26">
        <v>1080</v>
      </c>
      <c r="C26">
        <v>1014</v>
      </c>
      <c r="D26">
        <f t="shared" si="2"/>
        <v>1353</v>
      </c>
      <c r="E26">
        <f t="shared" si="0"/>
        <v>7.390983000739098</v>
      </c>
      <c r="F26" s="3">
        <v>2.8099999999999999E-7</v>
      </c>
      <c r="G26">
        <f t="shared" si="1"/>
        <v>-15.084911167612665</v>
      </c>
    </row>
    <row r="27" spans="1:10" x14ac:dyDescent="0.25">
      <c r="A27" s="6">
        <v>44804</v>
      </c>
      <c r="B27">
        <v>1040</v>
      </c>
      <c r="C27">
        <v>975</v>
      </c>
      <c r="D27">
        <f t="shared" si="2"/>
        <v>1313</v>
      </c>
      <c r="E27">
        <f t="shared" si="0"/>
        <v>7.6161462300076161</v>
      </c>
      <c r="F27" s="3">
        <v>1.18E-7</v>
      </c>
      <c r="G27">
        <f t="shared" si="1"/>
        <v>-15.952581212480746</v>
      </c>
    </row>
    <row r="28" spans="1:10" x14ac:dyDescent="0.25">
      <c r="A28" s="7"/>
      <c r="B28">
        <v>1045</v>
      </c>
      <c r="C28">
        <v>985</v>
      </c>
      <c r="D28">
        <f t="shared" si="2"/>
        <v>1318</v>
      </c>
      <c r="E28">
        <f t="shared" si="0"/>
        <v>7.587253414264036</v>
      </c>
      <c r="F28" s="3">
        <v>1.3E-7</v>
      </c>
      <c r="G28">
        <f t="shared" si="1"/>
        <v>-15.855731386490829</v>
      </c>
    </row>
    <row r="29" spans="1:10" x14ac:dyDescent="0.25">
      <c r="A29" s="6">
        <v>44812</v>
      </c>
      <c r="B29">
        <v>1124</v>
      </c>
      <c r="C29">
        <v>1050</v>
      </c>
      <c r="D29">
        <f t="shared" si="2"/>
        <v>1397</v>
      </c>
      <c r="E29">
        <f t="shared" si="0"/>
        <v>7.1581961345740872</v>
      </c>
      <c r="F29" s="3">
        <v>6.5499999999999998E-7</v>
      </c>
      <c r="G29">
        <f t="shared" si="1"/>
        <v>-14.23863060131116</v>
      </c>
    </row>
    <row r="30" spans="1:10" x14ac:dyDescent="0.25">
      <c r="B30">
        <v>1122</v>
      </c>
      <c r="C30">
        <v>1050</v>
      </c>
      <c r="D30">
        <f t="shared" si="2"/>
        <v>1395</v>
      </c>
      <c r="E30">
        <f t="shared" si="0"/>
        <v>7.1684587813620073</v>
      </c>
      <c r="F30" s="3">
        <v>6.1700000000000002E-6</v>
      </c>
      <c r="G30">
        <f t="shared" si="1"/>
        <v>-11.995811720046978</v>
      </c>
    </row>
    <row r="31" spans="1:10" x14ac:dyDescent="0.25">
      <c r="A31" s="7">
        <v>44901</v>
      </c>
      <c r="B31">
        <v>1080</v>
      </c>
      <c r="C31">
        <v>1009</v>
      </c>
      <c r="D31">
        <f t="shared" si="2"/>
        <v>1353</v>
      </c>
      <c r="E31">
        <f t="shared" si="0"/>
        <v>7.390983000739098</v>
      </c>
      <c r="F31" s="3">
        <v>2.67E-7</v>
      </c>
      <c r="G31">
        <f t="shared" si="1"/>
        <v>-15.136017178546162</v>
      </c>
      <c r="H31" s="73">
        <v>0.40400000000000003</v>
      </c>
    </row>
    <row r="32" spans="1:10" x14ac:dyDescent="0.25">
      <c r="A32" s="7">
        <v>44938</v>
      </c>
      <c r="B32">
        <v>1124</v>
      </c>
      <c r="C32">
        <v>1050</v>
      </c>
      <c r="D32">
        <f t="shared" si="2"/>
        <v>1397</v>
      </c>
      <c r="E32">
        <f t="shared" si="0"/>
        <v>7.1581961345740872</v>
      </c>
      <c r="F32" s="3">
        <v>5.4499999999999997E-7</v>
      </c>
      <c r="G32">
        <f t="shared" si="1"/>
        <v>-14.422480042283167</v>
      </c>
      <c r="J32" t="s">
        <v>234</v>
      </c>
    </row>
    <row r="33" spans="1:29" x14ac:dyDescent="0.25">
      <c r="B33">
        <v>1127</v>
      </c>
      <c r="C33">
        <v>1050</v>
      </c>
      <c r="D33">
        <f t="shared" si="2"/>
        <v>1400</v>
      </c>
      <c r="E33">
        <f t="shared" si="0"/>
        <v>7.1428571428571432</v>
      </c>
      <c r="F33" s="3">
        <v>5.6499999999999999E-7</v>
      </c>
      <c r="G33" s="3">
        <f t="shared" si="1"/>
        <v>-14.38644010579997</v>
      </c>
      <c r="H33" s="3">
        <v>0.86399999999999999</v>
      </c>
      <c r="I33" s="15"/>
    </row>
    <row r="34" spans="1:29" x14ac:dyDescent="0.25">
      <c r="A34" s="6">
        <v>44945</v>
      </c>
      <c r="B34">
        <v>1127</v>
      </c>
      <c r="C34">
        <v>1050</v>
      </c>
      <c r="D34">
        <f t="shared" si="2"/>
        <v>1400</v>
      </c>
      <c r="E34">
        <f t="shared" si="0"/>
        <v>7.1428571428571432</v>
      </c>
      <c r="F34" s="3">
        <v>5.7199999999999999E-7</v>
      </c>
      <c r="G34" s="3">
        <f t="shared" si="1"/>
        <v>-14.374126845566613</v>
      </c>
      <c r="H34" s="3"/>
      <c r="I34" s="15"/>
      <c r="AB34" t="s">
        <v>12</v>
      </c>
      <c r="AC34" s="3">
        <v>2.8000000000000002E-7</v>
      </c>
    </row>
    <row r="35" spans="1:29" x14ac:dyDescent="0.25">
      <c r="A35" s="6">
        <v>44959</v>
      </c>
      <c r="B35">
        <v>1125</v>
      </c>
      <c r="C35">
        <v>1054</v>
      </c>
      <c r="D35">
        <f t="shared" si="2"/>
        <v>1398</v>
      </c>
      <c r="E35">
        <f t="shared" si="0"/>
        <v>7.1530758226037197</v>
      </c>
      <c r="F35" s="3">
        <v>6.3499999999999996E-7</v>
      </c>
      <c r="G35">
        <f t="shared" si="1"/>
        <v>-14.26964083805372</v>
      </c>
      <c r="AB35" t="s">
        <v>11</v>
      </c>
      <c r="AC35" s="3">
        <f>1539800*AC34-0.026713</f>
        <v>0.40443100000000004</v>
      </c>
    </row>
    <row r="36" spans="1:29" x14ac:dyDescent="0.25">
      <c r="A36" s="6">
        <v>44978</v>
      </c>
      <c r="B36">
        <v>1127</v>
      </c>
      <c r="C36">
        <v>1050</v>
      </c>
      <c r="D36">
        <f t="shared" si="2"/>
        <v>1400</v>
      </c>
      <c r="E36">
        <f t="shared" si="0"/>
        <v>7.1428571428571432</v>
      </c>
      <c r="F36" s="3">
        <v>6.0500000000000003E-7</v>
      </c>
      <c r="G36">
        <f t="shared" si="1"/>
        <v>-14.318037378915569</v>
      </c>
      <c r="H36">
        <v>0.90500000000000003</v>
      </c>
    </row>
    <row r="37" spans="1:29" x14ac:dyDescent="0.25">
      <c r="A37" s="7">
        <v>44986</v>
      </c>
      <c r="B37">
        <v>1127</v>
      </c>
      <c r="C37">
        <v>1054</v>
      </c>
      <c r="D37">
        <f t="shared" si="2"/>
        <v>1400</v>
      </c>
      <c r="E37">
        <f t="shared" si="0"/>
        <v>7.1428571428571432</v>
      </c>
      <c r="F37" s="3">
        <v>4.5600000000000001E-7</v>
      </c>
      <c r="G37">
        <f>LN(F38)</f>
        <v>-14.409717790669315</v>
      </c>
      <c r="H37">
        <v>1.05</v>
      </c>
      <c r="I37" t="s">
        <v>236</v>
      </c>
    </row>
    <row r="38" spans="1:29" x14ac:dyDescent="0.25">
      <c r="B38">
        <v>1133</v>
      </c>
      <c r="C38">
        <v>1058</v>
      </c>
      <c r="D38">
        <f t="shared" si="2"/>
        <v>1406</v>
      </c>
      <c r="E38">
        <f t="shared" si="0"/>
        <v>7.1123755334281649</v>
      </c>
      <c r="F38" s="3">
        <v>5.5199999999999997E-7</v>
      </c>
      <c r="G38" s="3">
        <f>LN(F39)</f>
        <v>-14.370636440626845</v>
      </c>
      <c r="H38" s="3"/>
    </row>
    <row r="39" spans="1:29" x14ac:dyDescent="0.25">
      <c r="B39">
        <v>1135</v>
      </c>
      <c r="C39">
        <v>1058</v>
      </c>
      <c r="D39">
        <f t="shared" si="2"/>
        <v>1408</v>
      </c>
      <c r="E39">
        <f t="shared" si="0"/>
        <v>7.1022727272727275</v>
      </c>
      <c r="F39" s="3">
        <v>5.7400000000000003E-7</v>
      </c>
      <c r="G39" s="3">
        <f>LN(F40)</f>
        <v>-14.318037378915569</v>
      </c>
    </row>
    <row r="40" spans="1:29" x14ac:dyDescent="0.25">
      <c r="B40">
        <v>1138</v>
      </c>
      <c r="C40">
        <v>1063</v>
      </c>
      <c r="D40">
        <f t="shared" si="2"/>
        <v>1411</v>
      </c>
      <c r="E40">
        <f t="shared" si="0"/>
        <v>7.0871722182849046</v>
      </c>
      <c r="F40" s="3">
        <v>6.0500000000000003E-7</v>
      </c>
      <c r="H40">
        <v>1.3</v>
      </c>
    </row>
    <row r="41" spans="1:29" x14ac:dyDescent="0.25">
      <c r="A41" s="7">
        <v>44991</v>
      </c>
      <c r="B41">
        <v>1127</v>
      </c>
      <c r="C41">
        <v>1059</v>
      </c>
      <c r="D41">
        <f>B41+273</f>
        <v>1400</v>
      </c>
      <c r="E41">
        <f>10000/D41</f>
        <v>7.1428571428571432</v>
      </c>
      <c r="F41" s="3">
        <v>4.6100000000000001E-7</v>
      </c>
      <c r="G41">
        <f>LN(F41)</f>
        <v>-14.589867793949763</v>
      </c>
    </row>
    <row r="42" spans="1:29" x14ac:dyDescent="0.25">
      <c r="A42" s="7">
        <v>45000</v>
      </c>
      <c r="B42">
        <v>1127</v>
      </c>
      <c r="C42">
        <v>1062</v>
      </c>
      <c r="D42">
        <f>B42+273</f>
        <v>1400</v>
      </c>
      <c r="E42">
        <f>10000/D42</f>
        <v>7.1428571428571432</v>
      </c>
      <c r="F42" s="3">
        <v>4.6199999999999998E-7</v>
      </c>
      <c r="H42">
        <v>1.02</v>
      </c>
    </row>
    <row r="43" spans="1:29" x14ac:dyDescent="0.25">
      <c r="A43" s="6">
        <v>45005</v>
      </c>
      <c r="B43">
        <v>1127</v>
      </c>
      <c r="C43">
        <v>1061</v>
      </c>
      <c r="D43">
        <f>B43+273</f>
        <v>1400</v>
      </c>
      <c r="E43">
        <f>10000/D43</f>
        <v>7.1428571428571432</v>
      </c>
      <c r="F43" s="3">
        <v>4.3599999999999999E-7</v>
      </c>
      <c r="H43">
        <v>1.05</v>
      </c>
      <c r="I43" t="s">
        <v>243</v>
      </c>
    </row>
    <row r="44" spans="1:29" x14ac:dyDescent="0.25">
      <c r="A44" s="93" t="s">
        <v>245</v>
      </c>
      <c r="B44" s="49"/>
      <c r="C44" s="49"/>
      <c r="D44" s="49"/>
      <c r="E44" s="49"/>
      <c r="F44" s="61"/>
      <c r="G44" s="49"/>
      <c r="H44" s="94"/>
      <c r="I44" s="49"/>
      <c r="J44" s="49"/>
      <c r="K44" s="49"/>
      <c r="L44" s="49"/>
      <c r="M44" s="49"/>
      <c r="N44" s="49"/>
      <c r="O44" s="49"/>
      <c r="P44" s="49"/>
      <c r="Q44" s="49"/>
    </row>
    <row r="45" spans="1:29" x14ac:dyDescent="0.25">
      <c r="A45" s="6">
        <v>45048</v>
      </c>
      <c r="B45">
        <v>1125</v>
      </c>
      <c r="C45">
        <v>1051</v>
      </c>
      <c r="D45">
        <f t="shared" ref="D45:D53" si="3">B45+273</f>
        <v>1398</v>
      </c>
      <c r="E45">
        <f t="shared" ref="E45:E53" si="4">10000/D45</f>
        <v>7.1530758226037197</v>
      </c>
      <c r="F45" s="3">
        <v>6.99E-7</v>
      </c>
      <c r="H45" s="2"/>
    </row>
    <row r="46" spans="1:29" x14ac:dyDescent="0.25">
      <c r="B46">
        <v>1100</v>
      </c>
      <c r="C46">
        <v>1026</v>
      </c>
      <c r="D46">
        <f t="shared" si="3"/>
        <v>1373</v>
      </c>
      <c r="E46">
        <f t="shared" si="4"/>
        <v>7.2833211944646763</v>
      </c>
      <c r="F46" s="3">
        <v>4.4999999999999998E-7</v>
      </c>
    </row>
    <row r="47" spans="1:29" x14ac:dyDescent="0.25">
      <c r="A47" s="7"/>
      <c r="B47">
        <v>1075</v>
      </c>
      <c r="C47">
        <v>1006</v>
      </c>
      <c r="D47">
        <f t="shared" si="3"/>
        <v>1348</v>
      </c>
      <c r="E47">
        <f t="shared" si="4"/>
        <v>7.4183976261127595</v>
      </c>
      <c r="F47" s="3">
        <v>2.8599999999999999E-7</v>
      </c>
    </row>
    <row r="48" spans="1:29" x14ac:dyDescent="0.25">
      <c r="A48" s="7">
        <v>45049</v>
      </c>
      <c r="B48">
        <v>1125</v>
      </c>
      <c r="C48">
        <v>1048</v>
      </c>
      <c r="D48">
        <f t="shared" si="3"/>
        <v>1398</v>
      </c>
      <c r="E48">
        <f t="shared" si="4"/>
        <v>7.1530758226037197</v>
      </c>
      <c r="F48" s="3">
        <v>6.7299999999999995E-7</v>
      </c>
    </row>
    <row r="49" spans="1:21" x14ac:dyDescent="0.25">
      <c r="B49">
        <v>1100</v>
      </c>
      <c r="C49">
        <v>1024</v>
      </c>
      <c r="D49">
        <f t="shared" si="3"/>
        <v>1373</v>
      </c>
      <c r="E49">
        <f t="shared" si="4"/>
        <v>7.2833211944646763</v>
      </c>
      <c r="F49" s="3">
        <v>4.3700000000000001E-7</v>
      </c>
    </row>
    <row r="50" spans="1:21" x14ac:dyDescent="0.25">
      <c r="B50">
        <v>1075</v>
      </c>
      <c r="C50">
        <v>997</v>
      </c>
      <c r="D50">
        <f t="shared" si="3"/>
        <v>1348</v>
      </c>
      <c r="E50">
        <f t="shared" si="4"/>
        <v>7.4183976261127595</v>
      </c>
      <c r="F50" s="3">
        <v>2.72E-7</v>
      </c>
    </row>
    <row r="51" spans="1:21" x14ac:dyDescent="0.25">
      <c r="A51" s="6">
        <v>45062</v>
      </c>
      <c r="B51">
        <v>1125</v>
      </c>
      <c r="C51">
        <v>1045</v>
      </c>
      <c r="D51">
        <f t="shared" si="3"/>
        <v>1398</v>
      </c>
      <c r="E51">
        <f t="shared" si="4"/>
        <v>7.1530758226037197</v>
      </c>
      <c r="F51" s="3">
        <v>6.8700000000000005E-7</v>
      </c>
      <c r="H51">
        <v>1.1200000000000001</v>
      </c>
    </row>
    <row r="52" spans="1:21" x14ac:dyDescent="0.25">
      <c r="B52">
        <v>1100</v>
      </c>
      <c r="C52">
        <v>1025</v>
      </c>
      <c r="D52">
        <f t="shared" si="3"/>
        <v>1373</v>
      </c>
      <c r="E52">
        <f t="shared" si="4"/>
        <v>7.2833211944646763</v>
      </c>
      <c r="F52" s="3">
        <v>4.3500000000000002E-7</v>
      </c>
      <c r="H52">
        <v>0.65</v>
      </c>
    </row>
    <row r="53" spans="1:21" x14ac:dyDescent="0.25">
      <c r="B53">
        <v>1075</v>
      </c>
      <c r="C53">
        <v>1005</v>
      </c>
      <c r="D53">
        <f t="shared" si="3"/>
        <v>1348</v>
      </c>
      <c r="E53">
        <f t="shared" si="4"/>
        <v>7.4183976261127595</v>
      </c>
      <c r="F53" s="3">
        <v>2.7399999999999999E-7</v>
      </c>
      <c r="H53">
        <v>0.41899999999999998</v>
      </c>
    </row>
    <row r="54" spans="1:21" x14ac:dyDescent="0.25">
      <c r="A54" s="6">
        <v>45089</v>
      </c>
      <c r="B54">
        <v>1125</v>
      </c>
      <c r="C54">
        <v>1045</v>
      </c>
      <c r="D54">
        <f t="shared" ref="D54:D68" si="5">B54+273</f>
        <v>1398</v>
      </c>
      <c r="E54">
        <f t="shared" ref="E54:E68" si="6">10000/D54</f>
        <v>7.1530758226037197</v>
      </c>
      <c r="F54" s="3">
        <v>6.9299999999999997E-7</v>
      </c>
    </row>
    <row r="55" spans="1:21" x14ac:dyDescent="0.25">
      <c r="A55" s="7"/>
      <c r="B55">
        <v>1100</v>
      </c>
      <c r="C55">
        <v>1025</v>
      </c>
      <c r="D55">
        <f t="shared" si="5"/>
        <v>1373</v>
      </c>
      <c r="E55">
        <f t="shared" si="6"/>
        <v>7.2833211944646763</v>
      </c>
      <c r="F55" s="3">
        <v>4.4499999999999997E-7</v>
      </c>
    </row>
    <row r="56" spans="1:21" x14ac:dyDescent="0.25">
      <c r="B56">
        <v>1075</v>
      </c>
      <c r="C56">
        <v>1005</v>
      </c>
      <c r="D56">
        <f t="shared" si="5"/>
        <v>1348</v>
      </c>
      <c r="E56">
        <f t="shared" si="6"/>
        <v>7.4183976261127595</v>
      </c>
      <c r="F56" s="3">
        <v>2.7799999999999997E-7</v>
      </c>
    </row>
    <row r="57" spans="1:21" x14ac:dyDescent="0.25">
      <c r="A57" s="6">
        <v>45090</v>
      </c>
      <c r="B57">
        <v>1100</v>
      </c>
      <c r="C57">
        <v>1025</v>
      </c>
      <c r="D57">
        <f t="shared" si="5"/>
        <v>1373</v>
      </c>
      <c r="E57">
        <f t="shared" si="6"/>
        <v>7.2833211944646763</v>
      </c>
      <c r="F57" s="3">
        <v>4.2500000000000001E-7</v>
      </c>
      <c r="H57">
        <v>0.56000000000000005</v>
      </c>
    </row>
    <row r="58" spans="1:21" x14ac:dyDescent="0.25">
      <c r="A58" s="6">
        <v>45092</v>
      </c>
      <c r="B58">
        <v>1082</v>
      </c>
      <c r="C58">
        <v>1015</v>
      </c>
      <c r="D58">
        <f t="shared" si="5"/>
        <v>1355</v>
      </c>
      <c r="E58">
        <f t="shared" si="6"/>
        <v>7.3800738007380078</v>
      </c>
      <c r="F58" s="3">
        <v>3.1E-7</v>
      </c>
    </row>
    <row r="59" spans="1:21" x14ac:dyDescent="0.25">
      <c r="B59">
        <v>1020</v>
      </c>
      <c r="C59">
        <v>960</v>
      </c>
      <c r="D59">
        <f t="shared" si="5"/>
        <v>1293</v>
      </c>
      <c r="E59">
        <f t="shared" si="6"/>
        <v>7.7339520494972929</v>
      </c>
      <c r="F59" s="3">
        <v>9.2500000000000001E-8</v>
      </c>
      <c r="T59" t="s">
        <v>250</v>
      </c>
    </row>
    <row r="60" spans="1:21" x14ac:dyDescent="0.25">
      <c r="A60" s="6">
        <v>45197</v>
      </c>
      <c r="B60">
        <v>1020</v>
      </c>
      <c r="C60">
        <v>960</v>
      </c>
      <c r="D60">
        <f t="shared" si="5"/>
        <v>1293</v>
      </c>
      <c r="E60">
        <f t="shared" si="6"/>
        <v>7.7339520494972929</v>
      </c>
      <c r="F60" s="3">
        <v>8.7999999999999994E-8</v>
      </c>
      <c r="T60" t="s">
        <v>227</v>
      </c>
      <c r="U60" s="3">
        <v>1710000</v>
      </c>
    </row>
    <row r="61" spans="1:21" x14ac:dyDescent="0.25">
      <c r="A61" s="6">
        <v>45199</v>
      </c>
      <c r="B61">
        <v>1020</v>
      </c>
      <c r="C61">
        <v>960</v>
      </c>
      <c r="D61">
        <f t="shared" si="5"/>
        <v>1293</v>
      </c>
      <c r="E61">
        <f t="shared" si="6"/>
        <v>7.7339520494972929</v>
      </c>
      <c r="F61" s="3">
        <v>8.3799999999999996E-8</v>
      </c>
      <c r="G61" s="3"/>
      <c r="L61" t="s">
        <v>251</v>
      </c>
      <c r="T61" t="s">
        <v>212</v>
      </c>
      <c r="U61" s="3">
        <v>-6.7000000000000004E-2</v>
      </c>
    </row>
    <row r="62" spans="1:21" x14ac:dyDescent="0.25">
      <c r="A62" s="6">
        <v>45201</v>
      </c>
      <c r="B62">
        <v>1020</v>
      </c>
      <c r="C62">
        <v>960</v>
      </c>
      <c r="D62">
        <f t="shared" si="5"/>
        <v>1293</v>
      </c>
      <c r="E62">
        <f t="shared" si="6"/>
        <v>7.7339520494972929</v>
      </c>
      <c r="F62" s="3">
        <v>9.02E-8</v>
      </c>
      <c r="L62" t="s">
        <v>227</v>
      </c>
      <c r="M62" s="3">
        <v>4.3200000000000002E-16</v>
      </c>
      <c r="T62" t="s">
        <v>12</v>
      </c>
      <c r="U62" s="3">
        <v>3.7500000000000001E-7</v>
      </c>
    </row>
    <row r="63" spans="1:21" x14ac:dyDescent="0.25">
      <c r="A63" s="6">
        <v>45203</v>
      </c>
      <c r="B63">
        <v>1023</v>
      </c>
      <c r="C63">
        <v>963</v>
      </c>
      <c r="D63">
        <f t="shared" si="5"/>
        <v>1296</v>
      </c>
      <c r="E63">
        <f t="shared" si="6"/>
        <v>7.716049382716049</v>
      </c>
      <c r="F63" s="3">
        <v>8.8500000000000005E-8</v>
      </c>
      <c r="L63" t="s">
        <v>212</v>
      </c>
      <c r="M63" s="3">
        <v>1.8800000000000001E-2</v>
      </c>
      <c r="T63" t="s">
        <v>11</v>
      </c>
      <c r="U63" s="3">
        <f>U60*U62+U61</f>
        <v>0.57424999999999993</v>
      </c>
    </row>
    <row r="64" spans="1:21" x14ac:dyDescent="0.25">
      <c r="A64" s="6">
        <v>45204</v>
      </c>
      <c r="B64">
        <v>1023</v>
      </c>
      <c r="C64">
        <v>963</v>
      </c>
      <c r="D64">
        <f t="shared" si="5"/>
        <v>1296</v>
      </c>
      <c r="E64">
        <f t="shared" si="6"/>
        <v>7.716049382716049</v>
      </c>
      <c r="F64" s="3">
        <v>8.7999999999999994E-8</v>
      </c>
      <c r="L64" t="s">
        <v>10</v>
      </c>
      <c r="M64">
        <v>1100</v>
      </c>
    </row>
    <row r="65" spans="1:23" x14ac:dyDescent="0.25">
      <c r="A65" s="6">
        <v>45205</v>
      </c>
      <c r="B65">
        <v>1100</v>
      </c>
      <c r="C65">
        <v>1025</v>
      </c>
      <c r="D65">
        <f t="shared" si="5"/>
        <v>1373</v>
      </c>
      <c r="E65">
        <f t="shared" si="6"/>
        <v>7.2833211944646763</v>
      </c>
      <c r="F65" s="3">
        <v>3.9499999999999998E-7</v>
      </c>
      <c r="L65" t="s">
        <v>12</v>
      </c>
      <c r="M65" s="3">
        <f>M62*EXP(M63*M64)</f>
        <v>4.137077270905712E-7</v>
      </c>
      <c r="U65" s="3">
        <v>0.66</v>
      </c>
      <c r="V65">
        <v>0.60799999999999998</v>
      </c>
    </row>
    <row r="66" spans="1:23" x14ac:dyDescent="0.25">
      <c r="A66" s="6">
        <v>45211</v>
      </c>
      <c r="B66">
        <v>1105</v>
      </c>
      <c r="C66">
        <v>1030</v>
      </c>
      <c r="D66">
        <f t="shared" si="5"/>
        <v>1378</v>
      </c>
      <c r="E66">
        <f t="shared" si="6"/>
        <v>7.2568940493468794</v>
      </c>
      <c r="F66" s="3">
        <v>3.4E-8</v>
      </c>
      <c r="U66" s="3">
        <v>17.91</v>
      </c>
      <c r="V66">
        <f>17.91/0.66*0.608</f>
        <v>16.498909090909091</v>
      </c>
    </row>
    <row r="67" spans="1:23" x14ac:dyDescent="0.25">
      <c r="A67" s="6">
        <v>45250</v>
      </c>
      <c r="B67">
        <v>1025</v>
      </c>
      <c r="D67">
        <f t="shared" si="5"/>
        <v>1298</v>
      </c>
      <c r="E67">
        <f t="shared" si="6"/>
        <v>7.704160246533128</v>
      </c>
      <c r="F67" s="3">
        <v>8.7499999999999996E-8</v>
      </c>
    </row>
    <row r="68" spans="1:23" x14ac:dyDescent="0.25">
      <c r="B68">
        <v>1105</v>
      </c>
      <c r="D68">
        <f t="shared" si="5"/>
        <v>1378</v>
      </c>
      <c r="E68">
        <f t="shared" si="6"/>
        <v>7.2568940493468794</v>
      </c>
      <c r="F68" s="3">
        <v>3.7500000000000001E-7</v>
      </c>
    </row>
    <row r="69" spans="1:23" x14ac:dyDescent="0.25">
      <c r="A69" s="7"/>
      <c r="F69" s="3"/>
    </row>
    <row r="70" spans="1:23" x14ac:dyDescent="0.25">
      <c r="F70" s="3"/>
    </row>
    <row r="71" spans="1:23" x14ac:dyDescent="0.25">
      <c r="A71" s="7"/>
      <c r="F71" s="3"/>
      <c r="U71">
        <f>12/0.66</f>
        <v>18.18181818181818</v>
      </c>
      <c r="W71">
        <f>12.5/0.608</f>
        <v>20.559210526315791</v>
      </c>
    </row>
    <row r="72" spans="1:23" x14ac:dyDescent="0.25">
      <c r="A72" s="7"/>
      <c r="F72" s="3"/>
    </row>
    <row r="73" spans="1:23" x14ac:dyDescent="0.25">
      <c r="F73" s="3"/>
    </row>
    <row r="74" spans="1:23" x14ac:dyDescent="0.25">
      <c r="F74" s="3"/>
      <c r="G74" s="3"/>
      <c r="H74" s="3"/>
      <c r="K74" s="13"/>
    </row>
    <row r="75" spans="1:23" x14ac:dyDescent="0.25">
      <c r="A75" s="7"/>
      <c r="F75" s="3"/>
    </row>
    <row r="76" spans="1:23" x14ac:dyDescent="0.25">
      <c r="F76" s="3"/>
    </row>
    <row r="77" spans="1:23" x14ac:dyDescent="0.25">
      <c r="A77" s="7"/>
      <c r="F77" s="3"/>
    </row>
    <row r="78" spans="1:23" x14ac:dyDescent="0.25">
      <c r="F78" s="3"/>
    </row>
    <row r="80" spans="1:23" x14ac:dyDescent="0.25">
      <c r="A80" s="7"/>
      <c r="F80" s="3"/>
    </row>
    <row r="81" spans="1:7" x14ac:dyDescent="0.25">
      <c r="F81" s="3"/>
    </row>
    <row r="82" spans="1:7" x14ac:dyDescent="0.25">
      <c r="F82" s="3"/>
    </row>
    <row r="83" spans="1:7" x14ac:dyDescent="0.25">
      <c r="F83" s="3"/>
    </row>
    <row r="84" spans="1:7" x14ac:dyDescent="0.25">
      <c r="A84" s="7"/>
      <c r="F84" s="3"/>
    </row>
    <row r="85" spans="1:7" x14ac:dyDescent="0.25">
      <c r="F85" s="3"/>
      <c r="G85" s="3"/>
    </row>
    <row r="86" spans="1:7" x14ac:dyDescent="0.25">
      <c r="A86" s="7"/>
      <c r="F86" s="3"/>
    </row>
    <row r="87" spans="1:7" x14ac:dyDescent="0.25">
      <c r="F87" s="3"/>
    </row>
    <row r="88" spans="1:7" x14ac:dyDescent="0.25">
      <c r="A88" s="7"/>
      <c r="F88" s="3"/>
    </row>
    <row r="89" spans="1:7" x14ac:dyDescent="0.25">
      <c r="F89" s="3"/>
    </row>
    <row r="90" spans="1:7" x14ac:dyDescent="0.25">
      <c r="A90" s="7"/>
      <c r="F90" s="3"/>
    </row>
    <row r="91" spans="1:7" x14ac:dyDescent="0.25">
      <c r="F91" s="3"/>
    </row>
    <row r="92" spans="1:7" x14ac:dyDescent="0.25">
      <c r="A92" s="7"/>
      <c r="F92" s="3"/>
    </row>
    <row r="93" spans="1:7" x14ac:dyDescent="0.25">
      <c r="F93" s="3"/>
    </row>
    <row r="94" spans="1:7" x14ac:dyDescent="0.25">
      <c r="A94" s="7"/>
      <c r="F94" s="3"/>
    </row>
    <row r="95" spans="1:7" x14ac:dyDescent="0.25">
      <c r="A95" s="7"/>
      <c r="F95" s="3"/>
    </row>
    <row r="96" spans="1:7" x14ac:dyDescent="0.25">
      <c r="A96" s="7"/>
      <c r="F96" s="3"/>
    </row>
    <row r="97" spans="1:7" x14ac:dyDescent="0.25">
      <c r="A97" s="7"/>
      <c r="F97" s="3"/>
    </row>
    <row r="98" spans="1:7" x14ac:dyDescent="0.25">
      <c r="A98" s="7"/>
      <c r="F98" s="3"/>
      <c r="G98" s="3"/>
    </row>
    <row r="99" spans="1:7" x14ac:dyDescent="0.25">
      <c r="A99" s="7"/>
      <c r="F99" s="3"/>
    </row>
    <row r="100" spans="1:7" x14ac:dyDescent="0.25">
      <c r="A100" s="7"/>
      <c r="F100" s="3"/>
    </row>
    <row r="101" spans="1:7" x14ac:dyDescent="0.25">
      <c r="F101" s="3"/>
    </row>
    <row r="102" spans="1:7" x14ac:dyDescent="0.25">
      <c r="A102" s="7"/>
      <c r="F102" s="3"/>
    </row>
    <row r="103" spans="1:7" x14ac:dyDescent="0.25">
      <c r="A103" s="7"/>
      <c r="F103" s="3"/>
    </row>
    <row r="104" spans="1:7" x14ac:dyDescent="0.25">
      <c r="A104" s="7"/>
      <c r="F104" s="3"/>
    </row>
    <row r="105" spans="1:7" x14ac:dyDescent="0.25">
      <c r="A105" s="7"/>
      <c r="F105" s="3"/>
    </row>
    <row r="106" spans="1:7" x14ac:dyDescent="0.25">
      <c r="A106" s="7"/>
      <c r="F106" s="3"/>
    </row>
    <row r="107" spans="1:7" x14ac:dyDescent="0.25">
      <c r="A107" s="7"/>
      <c r="F107" s="3"/>
    </row>
    <row r="108" spans="1:7" x14ac:dyDescent="0.25">
      <c r="A108" s="7"/>
      <c r="F108" s="3"/>
    </row>
    <row r="109" spans="1:7" x14ac:dyDescent="0.25">
      <c r="A109" s="7"/>
      <c r="F109" s="3"/>
    </row>
    <row r="110" spans="1:7" x14ac:dyDescent="0.25">
      <c r="A110" s="7"/>
      <c r="F110" s="3"/>
    </row>
    <row r="111" spans="1:7" x14ac:dyDescent="0.25">
      <c r="A111" s="7"/>
      <c r="F111" s="3"/>
    </row>
    <row r="112" spans="1:7" x14ac:dyDescent="0.25">
      <c r="A112" s="7"/>
      <c r="F112" s="3"/>
    </row>
    <row r="113" spans="1:10" x14ac:dyDescent="0.25">
      <c r="A113" s="7"/>
      <c r="F113" s="3"/>
    </row>
    <row r="114" spans="1:10" x14ac:dyDescent="0.25">
      <c r="A114" s="7"/>
      <c r="F114" s="3"/>
    </row>
    <row r="115" spans="1:10" x14ac:dyDescent="0.25">
      <c r="F115" s="3"/>
    </row>
    <row r="116" spans="1:10" x14ac:dyDescent="0.25">
      <c r="A116" s="7"/>
      <c r="F116" s="3"/>
    </row>
    <row r="117" spans="1:10" x14ac:dyDescent="0.25">
      <c r="A117" s="7"/>
      <c r="F117" s="3"/>
    </row>
    <row r="118" spans="1:10" x14ac:dyDescent="0.25">
      <c r="A118" s="7"/>
      <c r="F118" s="3"/>
    </row>
    <row r="119" spans="1:10" x14ac:dyDescent="0.25">
      <c r="A119" s="7"/>
      <c r="F119" s="3"/>
    </row>
    <row r="120" spans="1:10" x14ac:dyDescent="0.25">
      <c r="A120" s="7"/>
      <c r="F120" s="3"/>
    </row>
    <row r="121" spans="1:10" x14ac:dyDescent="0.25">
      <c r="A121" s="7"/>
      <c r="F121" s="3"/>
    </row>
    <row r="122" spans="1:10" x14ac:dyDescent="0.25">
      <c r="A122" s="7"/>
      <c r="F122" s="3"/>
    </row>
    <row r="123" spans="1:10" x14ac:dyDescent="0.25">
      <c r="A123" s="7"/>
      <c r="F123" s="3"/>
      <c r="J123" s="10"/>
    </row>
    <row r="124" spans="1:10" x14ac:dyDescent="0.25">
      <c r="F124" s="3"/>
    </row>
    <row r="125" spans="1:10" x14ac:dyDescent="0.25">
      <c r="F125" s="3"/>
    </row>
    <row r="126" spans="1:10" x14ac:dyDescent="0.25">
      <c r="A126" s="7"/>
      <c r="F126" s="3"/>
    </row>
    <row r="127" spans="1:10" x14ac:dyDescent="0.25">
      <c r="F127" s="3"/>
    </row>
    <row r="128" spans="1:10" x14ac:dyDescent="0.25">
      <c r="A128" s="7"/>
      <c r="F128" s="3"/>
    </row>
    <row r="129" spans="1:11" x14ac:dyDescent="0.25">
      <c r="F129" s="3"/>
    </row>
    <row r="130" spans="1:11" x14ac:dyDescent="0.25">
      <c r="A130" s="7"/>
      <c r="F130" s="3"/>
    </row>
    <row r="131" spans="1:11" x14ac:dyDescent="0.25">
      <c r="F131" s="3"/>
    </row>
    <row r="132" spans="1:11" x14ac:dyDescent="0.25">
      <c r="A132" s="7"/>
      <c r="F132" s="3"/>
    </row>
    <row r="133" spans="1:11" x14ac:dyDescent="0.25">
      <c r="F133" s="3"/>
    </row>
    <row r="134" spans="1:11" x14ac:dyDescent="0.25">
      <c r="A134" s="7"/>
      <c r="F134" s="3"/>
    </row>
    <row r="135" spans="1:11" x14ac:dyDescent="0.25">
      <c r="F135" s="3"/>
    </row>
    <row r="136" spans="1:11" x14ac:dyDescent="0.25">
      <c r="F136" s="3"/>
    </row>
    <row r="137" spans="1:11" x14ac:dyDescent="0.25">
      <c r="A137" s="7"/>
      <c r="F137" s="3"/>
    </row>
    <row r="138" spans="1:11" x14ac:dyDescent="0.25">
      <c r="A138" s="7"/>
      <c r="F138" s="3"/>
    </row>
    <row r="139" spans="1:11" x14ac:dyDescent="0.25">
      <c r="F139" s="20"/>
    </row>
    <row r="140" spans="1:11" x14ac:dyDescent="0.25">
      <c r="A140" s="7"/>
      <c r="F140" s="3"/>
      <c r="K140" s="3"/>
    </row>
    <row r="141" spans="1:11" x14ac:dyDescent="0.25">
      <c r="F141" s="20"/>
    </row>
    <row r="142" spans="1:11" x14ac:dyDescent="0.25">
      <c r="A142" s="7"/>
      <c r="F142" s="3"/>
    </row>
    <row r="143" spans="1:11" x14ac:dyDescent="0.25">
      <c r="F143" s="20"/>
    </row>
    <row r="144" spans="1:11" x14ac:dyDescent="0.25">
      <c r="A144" s="7"/>
      <c r="F144" s="3"/>
    </row>
    <row r="145" spans="1:6" x14ac:dyDescent="0.25">
      <c r="A145" s="7"/>
      <c r="F145" s="3"/>
    </row>
    <row r="146" spans="1:6" x14ac:dyDescent="0.25">
      <c r="A146" s="7"/>
      <c r="F146" s="3"/>
    </row>
    <row r="147" spans="1:6" x14ac:dyDescent="0.25">
      <c r="A147" s="7"/>
      <c r="F147" s="3"/>
    </row>
    <row r="148" spans="1:6" x14ac:dyDescent="0.25">
      <c r="A148" s="7"/>
      <c r="F148" s="3"/>
    </row>
    <row r="149" spans="1:6" x14ac:dyDescent="0.25">
      <c r="A149" s="7"/>
      <c r="F149" s="3"/>
    </row>
    <row r="150" spans="1:6" x14ac:dyDescent="0.25">
      <c r="A150" s="7"/>
      <c r="F150" s="3"/>
    </row>
    <row r="151" spans="1:6" x14ac:dyDescent="0.25">
      <c r="A151" s="7"/>
      <c r="F151" s="3"/>
    </row>
    <row r="152" spans="1:6" x14ac:dyDescent="0.25">
      <c r="A152" s="7"/>
      <c r="F152" s="3"/>
    </row>
    <row r="154" spans="1:6" x14ac:dyDescent="0.25">
      <c r="A154" s="7"/>
      <c r="F154" s="3"/>
    </row>
    <row r="155" spans="1:6" x14ac:dyDescent="0.25">
      <c r="A155" s="7"/>
      <c r="F155" s="3"/>
    </row>
    <row r="156" spans="1:6" x14ac:dyDescent="0.25">
      <c r="A156" s="7"/>
      <c r="F156" s="3"/>
    </row>
    <row r="158" spans="1:6" x14ac:dyDescent="0.25">
      <c r="A158" s="7"/>
      <c r="F158" s="3"/>
    </row>
    <row r="159" spans="1:6" x14ac:dyDescent="0.25">
      <c r="A159" s="7"/>
      <c r="F159" s="3"/>
    </row>
    <row r="160" spans="1:6" x14ac:dyDescent="0.25">
      <c r="A160" s="7"/>
      <c r="F160" s="3"/>
    </row>
    <row r="161" spans="1:7" x14ac:dyDescent="0.25">
      <c r="A161" s="7"/>
      <c r="F161" s="3"/>
    </row>
    <row r="162" spans="1:7" x14ac:dyDescent="0.25">
      <c r="A162" s="7"/>
      <c r="F162" s="3"/>
    </row>
    <row r="163" spans="1:7" x14ac:dyDescent="0.25">
      <c r="A163" s="7"/>
      <c r="F163" s="3"/>
    </row>
    <row r="164" spans="1:7" x14ac:dyDescent="0.25">
      <c r="A164" s="7"/>
      <c r="F164" s="3"/>
    </row>
    <row r="165" spans="1:7" x14ac:dyDescent="0.25">
      <c r="A165" s="7"/>
      <c r="F165" s="3"/>
    </row>
    <row r="166" spans="1:7" x14ac:dyDescent="0.25">
      <c r="A166" s="7"/>
      <c r="F166" s="3"/>
    </row>
    <row r="167" spans="1:7" x14ac:dyDescent="0.25">
      <c r="A167" s="7"/>
      <c r="F167" s="3"/>
    </row>
    <row r="168" spans="1:7" x14ac:dyDescent="0.25">
      <c r="A168" s="7"/>
      <c r="F168" s="3"/>
    </row>
    <row r="169" spans="1:7" x14ac:dyDescent="0.25">
      <c r="A169" s="7"/>
      <c r="F169" s="3"/>
    </row>
    <row r="170" spans="1:7" x14ac:dyDescent="0.25">
      <c r="F170" s="3"/>
    </row>
    <row r="171" spans="1:7" x14ac:dyDescent="0.25">
      <c r="F171" s="20"/>
      <c r="G171" s="19"/>
    </row>
    <row r="172" spans="1:7" x14ac:dyDescent="0.25">
      <c r="A172" s="7"/>
      <c r="F172" s="3"/>
    </row>
    <row r="173" spans="1:7" x14ac:dyDescent="0.25">
      <c r="A173" s="7"/>
      <c r="F173" s="3"/>
    </row>
    <row r="174" spans="1:7" x14ac:dyDescent="0.25">
      <c r="A174" s="7"/>
      <c r="F174" s="3"/>
    </row>
    <row r="175" spans="1:7" x14ac:dyDescent="0.25">
      <c r="F175" s="3"/>
    </row>
    <row r="176" spans="1:7" x14ac:dyDescent="0.25">
      <c r="A176" s="7"/>
      <c r="F176" s="3"/>
    </row>
    <row r="177" spans="1:10" x14ac:dyDescent="0.25">
      <c r="A177" s="7"/>
      <c r="F177" s="3"/>
    </row>
    <row r="178" spans="1:10" x14ac:dyDescent="0.25">
      <c r="A178" s="7"/>
      <c r="F178" s="3"/>
    </row>
    <row r="180" spans="1:10" x14ac:dyDescent="0.25">
      <c r="A180" s="7"/>
      <c r="F180" s="3"/>
    </row>
    <row r="181" spans="1:10" x14ac:dyDescent="0.25">
      <c r="A181" s="7"/>
      <c r="F181" s="3"/>
      <c r="J181" s="19"/>
    </row>
    <row r="182" spans="1:10" x14ac:dyDescent="0.25">
      <c r="F182" s="3"/>
      <c r="J182" s="19"/>
    </row>
    <row r="183" spans="1:10" x14ac:dyDescent="0.25">
      <c r="F183" s="3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2"/>
  <sheetViews>
    <sheetView zoomScale="85" zoomScaleNormal="85" workbookViewId="0">
      <pane ySplit="108" topLeftCell="A252" activePane="bottomLeft" state="frozen"/>
      <selection pane="bottomLeft" activeCell="E277" sqref="E277"/>
    </sheetView>
  </sheetViews>
  <sheetFormatPr defaultRowHeight="15.75" x14ac:dyDescent="0.25"/>
  <cols>
    <col min="1" max="1" width="16.25" customWidth="1"/>
    <col min="3" max="3" width="10" customWidth="1"/>
    <col min="5" max="5" width="11.875" bestFit="1" customWidth="1"/>
    <col min="6" max="6" width="11.625" customWidth="1"/>
    <col min="7" max="8" width="10" customWidth="1"/>
    <col min="10" max="10" width="10.375" bestFit="1" customWidth="1"/>
    <col min="11" max="11" width="11.5" customWidth="1"/>
    <col min="14" max="15" width="11.875" bestFit="1" customWidth="1"/>
    <col min="18" max="18" width="12.75" bestFit="1" customWidth="1"/>
  </cols>
  <sheetData>
    <row r="1" spans="1:9" x14ac:dyDescent="0.25">
      <c r="A1" t="s">
        <v>14</v>
      </c>
      <c r="B1" t="s">
        <v>27</v>
      </c>
      <c r="C1" t="s">
        <v>28</v>
      </c>
      <c r="D1" t="s">
        <v>4</v>
      </c>
      <c r="E1" t="s">
        <v>29</v>
      </c>
      <c r="F1" t="s">
        <v>7</v>
      </c>
      <c r="G1" t="s">
        <v>128</v>
      </c>
      <c r="H1" t="s">
        <v>129</v>
      </c>
      <c r="I1" t="s">
        <v>20</v>
      </c>
    </row>
    <row r="2" spans="1:9" hidden="1" x14ac:dyDescent="0.25">
      <c r="A2" s="7">
        <v>42863</v>
      </c>
      <c r="F2" s="16"/>
      <c r="G2" s="16"/>
      <c r="H2" s="16"/>
      <c r="I2" t="s">
        <v>30</v>
      </c>
    </row>
    <row r="3" spans="1:9" hidden="1" x14ac:dyDescent="0.25">
      <c r="A3" s="7">
        <v>42865</v>
      </c>
      <c r="B3">
        <v>600</v>
      </c>
      <c r="C3">
        <f>Table1[T Cell]+273</f>
        <v>873</v>
      </c>
      <c r="D3">
        <f>10000/Table1[Temp K]</f>
        <v>11.45475372279496</v>
      </c>
      <c r="E3" s="3">
        <v>8.9299999999999996E-7</v>
      </c>
      <c r="F3" s="16">
        <f>LN(Table1[[#This Row],[Bi Flux]])</f>
        <v>-13.928679256069913</v>
      </c>
      <c r="G3" s="16"/>
      <c r="H3" s="16"/>
      <c r="I3" t="s">
        <v>31</v>
      </c>
    </row>
    <row r="4" spans="1:9" hidden="1" x14ac:dyDescent="0.25">
      <c r="A4" s="11"/>
      <c r="B4">
        <v>509</v>
      </c>
      <c r="C4">
        <f>Table1[T Cell]+273</f>
        <v>782</v>
      </c>
      <c r="D4">
        <f>10000/Table1[Temp K]</f>
        <v>12.787723785166241</v>
      </c>
      <c r="E4" s="3">
        <v>3.8899999999999998E-8</v>
      </c>
      <c r="F4" s="16">
        <f>LN(Table1[[#This Row],[Bi Flux]])</f>
        <v>-17.062271586322012</v>
      </c>
      <c r="G4" s="16"/>
      <c r="H4" s="16"/>
    </row>
    <row r="5" spans="1:9" hidden="1" x14ac:dyDescent="0.25">
      <c r="A5" s="11"/>
      <c r="B5">
        <v>505</v>
      </c>
      <c r="C5">
        <f>Table1[T Cell]+273</f>
        <v>778</v>
      </c>
      <c r="D5">
        <f>10000/Table1[Temp K]</f>
        <v>12.853470437017995</v>
      </c>
      <c r="E5" s="3">
        <v>3.0600000000000003E-8</v>
      </c>
      <c r="F5" s="16">
        <f>LN(Table1[[#This Row],[Bi Flux]])</f>
        <v>-17.302265827988077</v>
      </c>
      <c r="G5" s="16"/>
      <c r="H5" s="16"/>
    </row>
    <row r="6" spans="1:9" hidden="1" x14ac:dyDescent="0.25">
      <c r="A6" s="11"/>
      <c r="B6">
        <v>500</v>
      </c>
      <c r="C6">
        <f>Table1[T Cell]+273</f>
        <v>773</v>
      </c>
      <c r="D6">
        <f>10000/Table1[Temp K]</f>
        <v>12.936610608020699</v>
      </c>
      <c r="E6" s="3">
        <v>2.6400000000000001E-8</v>
      </c>
      <c r="F6" s="16">
        <f>LN(Table1[[#This Row],[Bi Flux]])</f>
        <v>-17.449901826794139</v>
      </c>
      <c r="G6" s="16"/>
      <c r="H6" s="16"/>
    </row>
    <row r="7" spans="1:9" hidden="1" x14ac:dyDescent="0.25">
      <c r="A7" s="11"/>
      <c r="B7">
        <v>490</v>
      </c>
      <c r="C7">
        <f>Table1[T Cell]+273</f>
        <v>763</v>
      </c>
      <c r="D7">
        <f>10000/Table1[Temp K]</f>
        <v>13.106159895150721</v>
      </c>
      <c r="E7" s="3">
        <v>1.81E-8</v>
      </c>
      <c r="F7" s="16">
        <f>LN(Table1[[#This Row],[Bi Flux]])</f>
        <v>-17.82735389867463</v>
      </c>
      <c r="G7" s="16"/>
      <c r="H7" s="16"/>
    </row>
    <row r="8" spans="1:9" hidden="1" x14ac:dyDescent="0.25">
      <c r="A8" s="7">
        <v>42866</v>
      </c>
      <c r="B8">
        <v>507</v>
      </c>
      <c r="C8">
        <f>Table1[T Cell]+273</f>
        <v>780</v>
      </c>
      <c r="D8">
        <f>10000/Table1[Temp K]</f>
        <v>12.820512820512821</v>
      </c>
      <c r="E8" s="3">
        <v>1.3000000000000001E-8</v>
      </c>
      <c r="F8" s="16">
        <f>LN(Table1[[#This Row],[Bi Flux]])</f>
        <v>-18.158316479484874</v>
      </c>
      <c r="G8" s="16"/>
      <c r="H8" s="16"/>
    </row>
    <row r="9" spans="1:9" hidden="1" x14ac:dyDescent="0.25">
      <c r="A9" s="11"/>
      <c r="B9">
        <v>511</v>
      </c>
      <c r="C9">
        <f>Table1[T Cell]+273</f>
        <v>784</v>
      </c>
      <c r="D9">
        <f>10000/Table1[Temp K]</f>
        <v>12.755102040816327</v>
      </c>
      <c r="E9" s="3">
        <v>1.7299999999999999E-8</v>
      </c>
      <c r="F9" s="16">
        <f>LN(Table1[[#This Row],[Bi Flux]])</f>
        <v>-17.872559335442677</v>
      </c>
      <c r="G9" s="16"/>
      <c r="H9" s="16"/>
    </row>
    <row r="10" spans="1:9" hidden="1" x14ac:dyDescent="0.25">
      <c r="A10" s="11"/>
      <c r="B10">
        <v>521</v>
      </c>
      <c r="C10">
        <f>Table1[T Cell]+273</f>
        <v>794</v>
      </c>
      <c r="D10">
        <f>10000/Table1[Temp K]</f>
        <v>12.594458438287154</v>
      </c>
      <c r="E10" s="3">
        <v>3.33E-8</v>
      </c>
      <c r="F10" s="16">
        <f>LN(Table1[[#This Row],[Bi Flux]])</f>
        <v>-17.217708439960013</v>
      </c>
      <c r="G10" s="16"/>
      <c r="H10" s="16"/>
    </row>
    <row r="11" spans="1:9" hidden="1" x14ac:dyDescent="0.25">
      <c r="A11" s="7">
        <v>42867</v>
      </c>
      <c r="B11">
        <v>520</v>
      </c>
      <c r="C11">
        <f>Table1[T Cell]+273</f>
        <v>793</v>
      </c>
      <c r="D11">
        <f>10000/Table1[Temp K]</f>
        <v>12.610340479192939</v>
      </c>
      <c r="E11" s="3">
        <v>5.5600000000000002E-8</v>
      </c>
      <c r="F11" s="16">
        <f>LN(Table1[[#This Row],[Bi Flux]])</f>
        <v>-16.705082635689873</v>
      </c>
      <c r="G11" s="16"/>
      <c r="H11" s="16"/>
    </row>
    <row r="12" spans="1:9" hidden="1" x14ac:dyDescent="0.25">
      <c r="A12" s="11"/>
      <c r="B12">
        <v>510</v>
      </c>
      <c r="C12">
        <f>Table1[T Cell]+273</f>
        <v>783</v>
      </c>
      <c r="D12">
        <f>10000/Table1[Temp K]</f>
        <v>12.771392081736909</v>
      </c>
      <c r="E12" s="3">
        <v>3.7200000000000002E-8</v>
      </c>
      <c r="F12" s="16">
        <f>LN(Table1[[#This Row],[Bi Flux]])</f>
        <v>-17.10695707566731</v>
      </c>
      <c r="G12" s="16"/>
      <c r="H12" s="16"/>
    </row>
    <row r="13" spans="1:9" hidden="1" x14ac:dyDescent="0.25">
      <c r="A13" s="11"/>
      <c r="B13">
        <v>507</v>
      </c>
      <c r="C13">
        <f>Table1[T Cell]+273</f>
        <v>780</v>
      </c>
      <c r="D13">
        <f>10000/Table1[Temp K]</f>
        <v>12.820512820512821</v>
      </c>
      <c r="E13" s="3">
        <v>3.2649999999999998E-8</v>
      </c>
      <c r="F13" s="16">
        <f>LN(Table1[[#This Row],[Bi Flux]])</f>
        <v>-17.23742098122397</v>
      </c>
      <c r="G13" s="16"/>
      <c r="H13" s="16"/>
    </row>
    <row r="14" spans="1:9" hidden="1" x14ac:dyDescent="0.25">
      <c r="A14" s="11"/>
      <c r="B14">
        <v>505</v>
      </c>
      <c r="C14">
        <f>Table1[T Cell]+273</f>
        <v>778</v>
      </c>
      <c r="D14">
        <f>10000/Table1[Temp K]</f>
        <v>12.853470437017995</v>
      </c>
      <c r="E14" s="3">
        <v>3.0500000000000002E-8</v>
      </c>
      <c r="F14" s="16">
        <f>LN(Table1[[#This Row],[Bi Flux]])</f>
        <v>-17.305539153333044</v>
      </c>
      <c r="G14" s="16"/>
      <c r="H14" s="16"/>
    </row>
    <row r="15" spans="1:9" hidden="1" x14ac:dyDescent="0.25">
      <c r="A15" s="11"/>
      <c r="B15">
        <v>500</v>
      </c>
      <c r="C15">
        <f>Table1[T Cell]+273</f>
        <v>773</v>
      </c>
      <c r="D15">
        <f>10000/Table1[Temp K]</f>
        <v>12.936610608020699</v>
      </c>
      <c r="E15" s="3">
        <v>2.5300000000000002E-8</v>
      </c>
      <c r="F15" s="16">
        <f>LN(Table1[[#This Row],[Bi Flux]])</f>
        <v>-17.492461441212935</v>
      </c>
      <c r="G15" s="16"/>
      <c r="H15" s="16"/>
    </row>
    <row r="16" spans="1:9" hidden="1" x14ac:dyDescent="0.25">
      <c r="A16" s="11"/>
      <c r="B16">
        <v>490</v>
      </c>
      <c r="C16">
        <f>Table1[T Cell]+273</f>
        <v>763</v>
      </c>
      <c r="D16">
        <f>10000/Table1[Temp K]</f>
        <v>13.106159895150721</v>
      </c>
      <c r="E16" s="3">
        <v>1.7500000000000001E-8</v>
      </c>
      <c r="F16" s="16">
        <f>LN(Table1[[#This Row],[Bi Flux]])</f>
        <v>-17.861064956016943</v>
      </c>
      <c r="G16" s="16"/>
      <c r="H16" s="16"/>
    </row>
    <row r="17" spans="1:14" hidden="1" x14ac:dyDescent="0.25">
      <c r="A17" s="7">
        <v>42870</v>
      </c>
      <c r="B17">
        <v>500</v>
      </c>
      <c r="C17">
        <f>Table1[T Cell]+273</f>
        <v>773</v>
      </c>
      <c r="D17">
        <f>10000/Table1[Temp K]</f>
        <v>12.936610608020699</v>
      </c>
      <c r="E17" s="3">
        <v>1.7E-8</v>
      </c>
      <c r="F17" s="16">
        <f>LN(Table1[[#This Row],[Bi Flux]])</f>
        <v>-17.890052492890195</v>
      </c>
      <c r="G17" s="16"/>
      <c r="H17" s="16"/>
    </row>
    <row r="18" spans="1:14" hidden="1" x14ac:dyDescent="0.25">
      <c r="A18" s="11"/>
      <c r="B18">
        <v>510</v>
      </c>
      <c r="C18">
        <f>Table1[T Cell]+273</f>
        <v>783</v>
      </c>
      <c r="D18">
        <f>10000/Table1[Temp K]</f>
        <v>12.771392081736909</v>
      </c>
      <c r="E18" s="3">
        <v>2.9499999999999999E-8</v>
      </c>
      <c r="F18" s="16">
        <f>LN(Table1[[#This Row],[Bi Flux]])</f>
        <v>-17.338875573600639</v>
      </c>
      <c r="G18" s="16"/>
      <c r="H18" s="16"/>
    </row>
    <row r="19" spans="1:14" hidden="1" x14ac:dyDescent="0.25">
      <c r="A19" s="11"/>
      <c r="B19">
        <v>510</v>
      </c>
      <c r="C19">
        <f>Table1[T Cell]+273</f>
        <v>783</v>
      </c>
      <c r="D19">
        <f>10000/Table1[Temp K]</f>
        <v>12.771392081736909</v>
      </c>
      <c r="E19" s="3">
        <v>3.9500000000000003E-8</v>
      </c>
      <c r="F19" s="16">
        <f>LN(Table1[[#This Row],[Bi Flux]])</f>
        <v>-17.046965165039335</v>
      </c>
      <c r="G19" s="16"/>
      <c r="H19" s="16"/>
    </row>
    <row r="20" spans="1:14" hidden="1" x14ac:dyDescent="0.25">
      <c r="A20" s="7">
        <v>42871</v>
      </c>
      <c r="B20">
        <v>510</v>
      </c>
      <c r="C20">
        <f>Table1[T Cell]+273</f>
        <v>783</v>
      </c>
      <c r="D20">
        <f>10000/Table1[Temp K]</f>
        <v>12.771392081736909</v>
      </c>
      <c r="E20" s="3">
        <v>3.2299999999999998E-8</v>
      </c>
      <c r="F20" s="16">
        <f>LN(Table1[[#This Row],[Bi Flux]])</f>
        <v>-17.2481986067178</v>
      </c>
      <c r="G20" s="16"/>
      <c r="H20" s="16"/>
    </row>
    <row r="21" spans="1:14" hidden="1" x14ac:dyDescent="0.25">
      <c r="A21" s="11"/>
      <c r="B21">
        <v>500</v>
      </c>
      <c r="C21">
        <f>Table1[T Cell]+273</f>
        <v>773</v>
      </c>
      <c r="D21">
        <f>10000/Table1[Temp K]</f>
        <v>12.936610608020699</v>
      </c>
      <c r="E21" s="3">
        <v>2.0899999999999999E-8</v>
      </c>
      <c r="F21" s="16">
        <f>LN(Table1[[#This Row],[Bi Flux]])</f>
        <v>-17.683516677975646</v>
      </c>
      <c r="G21" s="16"/>
      <c r="H21" s="16"/>
      <c r="K21" s="12" t="s">
        <v>10</v>
      </c>
      <c r="L21" s="12"/>
      <c r="M21" s="12" t="s">
        <v>7</v>
      </c>
      <c r="N21" s="12" t="s">
        <v>12</v>
      </c>
    </row>
    <row r="22" spans="1:14" hidden="1" x14ac:dyDescent="0.25">
      <c r="A22" s="7">
        <v>42872</v>
      </c>
      <c r="B22">
        <v>510</v>
      </c>
      <c r="C22">
        <f>Table1[T Cell]+273</f>
        <v>783</v>
      </c>
      <c r="D22">
        <f>10000/Table1[Temp K]</f>
        <v>12.771392081736909</v>
      </c>
      <c r="E22" s="3">
        <v>4.0299999999999997E-8</v>
      </c>
      <c r="F22" s="16">
        <f>LN(Table1[[#This Row],[Bi Flux]])</f>
        <v>-17.026914367993776</v>
      </c>
      <c r="G22" s="16"/>
      <c r="H22" s="16"/>
      <c r="J22" s="6">
        <v>42865</v>
      </c>
      <c r="K22">
        <v>510</v>
      </c>
      <c r="L22">
        <f t="shared" ref="L22:L29" si="0">10000/(K22+273)</f>
        <v>12.771392081736909</v>
      </c>
      <c r="M22">
        <f>-2.3727*L22 + 13.247</f>
        <v>-17.055681992337167</v>
      </c>
      <c r="N22" s="3">
        <f t="shared" ref="N22:N27" si="1">EXP(M22)</f>
        <v>3.9157181636666279E-8</v>
      </c>
    </row>
    <row r="23" spans="1:14" hidden="1" x14ac:dyDescent="0.25">
      <c r="A23" s="11"/>
      <c r="B23">
        <v>508</v>
      </c>
      <c r="C23">
        <f>Table1[T Cell]+273</f>
        <v>781</v>
      </c>
      <c r="D23">
        <f>10000/Table1[Temp K]</f>
        <v>12.804097311139564</v>
      </c>
      <c r="E23" s="3">
        <v>3.7200000000000002E-8</v>
      </c>
      <c r="F23" s="16">
        <f>LN(Table1[[#This Row],[Bi Flux]])</f>
        <v>-17.10695707566731</v>
      </c>
      <c r="G23" s="16"/>
      <c r="H23" s="16"/>
      <c r="J23" s="6">
        <v>42867</v>
      </c>
      <c r="K23">
        <v>510</v>
      </c>
      <c r="L23">
        <f t="shared" si="0"/>
        <v>12.771392081736909</v>
      </c>
      <c r="M23" s="3">
        <f>SLOPE(F11:F16,D11:D16)*L23+INTERCEPT(F11:F16,D11:D16)</f>
        <v>-17.102561970352745</v>
      </c>
      <c r="N23" s="3">
        <f t="shared" si="1"/>
        <v>3.7363857739944405E-8</v>
      </c>
    </row>
    <row r="24" spans="1:14" hidden="1" x14ac:dyDescent="0.25">
      <c r="A24" s="7">
        <v>42874</v>
      </c>
      <c r="B24">
        <v>510</v>
      </c>
      <c r="C24">
        <f>Table1[T Cell]+273</f>
        <v>783</v>
      </c>
      <c r="D24">
        <f>10000/Table1[Temp K]</f>
        <v>12.771392081736909</v>
      </c>
      <c r="E24" s="3">
        <v>3.9799999999999999E-8</v>
      </c>
      <c r="F24" s="16">
        <f>LN(Table1[[#This Row],[Bi Flux]])</f>
        <v>-17.03939892465602</v>
      </c>
      <c r="G24" s="16"/>
      <c r="H24" s="16"/>
      <c r="J24" s="6">
        <v>42877</v>
      </c>
      <c r="K24">
        <v>510</v>
      </c>
      <c r="L24">
        <f t="shared" si="0"/>
        <v>12.771392081736909</v>
      </c>
      <c r="M24" s="3">
        <f>SLOPE(F27:F29,D27:D29)*L24+INTERCEPT(F27:F29,D27:D29)</f>
        <v>-16.940853795356819</v>
      </c>
      <c r="N24" s="3">
        <f t="shared" si="1"/>
        <v>4.3921855412724981E-8</v>
      </c>
    </row>
    <row r="25" spans="1:14" hidden="1" x14ac:dyDescent="0.25">
      <c r="A25" s="11"/>
      <c r="B25">
        <v>500</v>
      </c>
      <c r="C25">
        <f>Table1[T Cell]+273</f>
        <v>773</v>
      </c>
      <c r="D25">
        <f>10000/Table1[Temp K]</f>
        <v>12.936610608020699</v>
      </c>
      <c r="E25" s="3">
        <v>2.7400000000000001E-8</v>
      </c>
      <c r="F25" s="16">
        <f>LN(Table1[[#This Row],[Bi Flux]])</f>
        <v>-17.412722823552386</v>
      </c>
      <c r="G25" s="16"/>
      <c r="H25" s="16"/>
      <c r="J25" s="6">
        <v>42972</v>
      </c>
      <c r="K25">
        <v>505</v>
      </c>
      <c r="L25">
        <f t="shared" si="0"/>
        <v>12.853470437017995</v>
      </c>
      <c r="M25" s="3">
        <f>SLOPE(F32:F34,D32:D34)*L25+INTERCEPT(F32:F34,D32:D34)</f>
        <v>-16.961507916348037</v>
      </c>
      <c r="N25" s="3">
        <f t="shared" si="1"/>
        <v>4.3023992301796634E-8</v>
      </c>
    </row>
    <row r="26" spans="1:14" hidden="1" x14ac:dyDescent="0.25">
      <c r="A26" s="11"/>
      <c r="B26">
        <v>495</v>
      </c>
      <c r="C26">
        <f>Table1[T Cell]+273</f>
        <v>768</v>
      </c>
      <c r="D26">
        <f>10000/Table1[Temp K]</f>
        <v>13.020833333333334</v>
      </c>
      <c r="E26" s="3">
        <v>2.33E-8</v>
      </c>
      <c r="F26" s="16">
        <f>LN(Table1[[#This Row],[Bi Flux]])</f>
        <v>-17.574812476374756</v>
      </c>
      <c r="G26" s="16"/>
      <c r="H26" s="16"/>
      <c r="J26" s="6">
        <v>42982</v>
      </c>
      <c r="K26">
        <v>490</v>
      </c>
      <c r="L26">
        <f t="shared" si="0"/>
        <v>13.106159895150721</v>
      </c>
      <c r="M26" s="3">
        <f>SLOPE(F35:F38,D35:D38)*L26+INTERCEPT(F35:F38,D35:D38)</f>
        <v>-17.735995875756839</v>
      </c>
      <c r="N26" s="3">
        <f t="shared" si="1"/>
        <v>1.9831467844308784E-8</v>
      </c>
    </row>
    <row r="27" spans="1:14" hidden="1" x14ac:dyDescent="0.25">
      <c r="A27" s="7">
        <v>42877</v>
      </c>
      <c r="B27">
        <v>510</v>
      </c>
      <c r="C27">
        <f>Table1[T Cell]+273</f>
        <v>783</v>
      </c>
      <c r="D27">
        <f>10000/Table1[Temp K]</f>
        <v>12.771392081736909</v>
      </c>
      <c r="E27" s="3">
        <v>4.3800000000000002E-8</v>
      </c>
      <c r="F27" s="16">
        <f>LN(Table1[[#This Row],[Bi Flux]])</f>
        <v>-16.94363201956401</v>
      </c>
      <c r="G27" s="16"/>
      <c r="H27" s="16"/>
      <c r="J27" s="6">
        <v>42985</v>
      </c>
      <c r="K27">
        <v>515</v>
      </c>
      <c r="L27" s="18">
        <f t="shared" si="0"/>
        <v>12.690355329949238</v>
      </c>
      <c r="M27" s="3">
        <f>L27*SLOPE(F39:F58,D39:D58)+INTERCEPT(F39:F58,D39:D58)</f>
        <v>-16.774046978543936</v>
      </c>
      <c r="N27" s="3">
        <f t="shared" si="1"/>
        <v>5.1894813800307188E-8</v>
      </c>
    </row>
    <row r="28" spans="1:14" hidden="1" x14ac:dyDescent="0.25">
      <c r="A28" s="11"/>
      <c r="B28">
        <v>495</v>
      </c>
      <c r="C28">
        <f>Table1[T Cell]+273</f>
        <v>768</v>
      </c>
      <c r="D28">
        <f>10000/Table1[Temp K]</f>
        <v>13.020833333333334</v>
      </c>
      <c r="E28" s="3">
        <v>2.51E-8</v>
      </c>
      <c r="F28" s="16">
        <f>LN(Table1[[#This Row],[Bi Flux]])</f>
        <v>-17.500397990808672</v>
      </c>
      <c r="G28" s="16"/>
      <c r="H28" s="16"/>
      <c r="J28" s="6">
        <v>43055</v>
      </c>
      <c r="K28">
        <v>520</v>
      </c>
      <c r="L28">
        <f t="shared" si="0"/>
        <v>12.610340479192939</v>
      </c>
      <c r="M28" s="3">
        <f>L28*SLOPE(F61:F65,D61:D65)+INTERCEPT(F61:F65,D61:D65)</f>
        <v>-16.754756671114816</v>
      </c>
      <c r="N28" s="3">
        <f>EXP(M28)</f>
        <v>5.2905598542805555E-8</v>
      </c>
    </row>
    <row r="29" spans="1:14" hidden="1" x14ac:dyDescent="0.25">
      <c r="A29" s="11"/>
      <c r="B29">
        <v>515</v>
      </c>
      <c r="C29">
        <f>Table1[T Cell]+273</f>
        <v>788</v>
      </c>
      <c r="D29">
        <f>10000/Table1[Temp K]</f>
        <v>12.690355329949238</v>
      </c>
      <c r="E29" s="3">
        <v>5.2800000000000003E-8</v>
      </c>
      <c r="F29" s="16">
        <f>LN(Table1[[#This Row],[Bi Flux]])</f>
        <v>-16.756754646234196</v>
      </c>
      <c r="G29" s="16"/>
      <c r="H29" s="16"/>
      <c r="J29" s="6">
        <v>43067</v>
      </c>
      <c r="K29">
        <v>521</v>
      </c>
      <c r="L29">
        <f t="shared" si="0"/>
        <v>12.594458438287154</v>
      </c>
      <c r="M29">
        <f>-2.3288*L29+12.801</f>
        <v>-16.528974811083124</v>
      </c>
      <c r="N29" s="3">
        <f>EXP(M29)</f>
        <v>6.630670516995523E-8</v>
      </c>
    </row>
    <row r="30" spans="1:14" hidden="1" x14ac:dyDescent="0.25">
      <c r="A30" s="7">
        <v>42879</v>
      </c>
      <c r="B30">
        <v>510</v>
      </c>
      <c r="C30">
        <f>Table1[T Cell]+273</f>
        <v>783</v>
      </c>
      <c r="D30">
        <f>10000/Table1[Temp K]</f>
        <v>12.771392081736909</v>
      </c>
      <c r="E30" s="3">
        <v>4.1500000000000001E-8</v>
      </c>
      <c r="F30" s="16">
        <f>LN(Table1[[#This Row],[Bi Flux]])</f>
        <v>-16.997572409709758</v>
      </c>
      <c r="G30" s="16"/>
      <c r="H30" s="16"/>
    </row>
    <row r="31" spans="1:14" hidden="1" x14ac:dyDescent="0.25">
      <c r="A31" s="7">
        <v>42881</v>
      </c>
      <c r="B31">
        <v>510</v>
      </c>
      <c r="C31">
        <f>Table1[T Cell]+273</f>
        <v>783</v>
      </c>
      <c r="D31">
        <f>10000/Table1[Temp K]</f>
        <v>12.771392081736909</v>
      </c>
      <c r="E31" s="3">
        <v>3.3799999999999998E-8</v>
      </c>
      <c r="F31" s="16">
        <f>LN(Table1[[#This Row],[Bi Flux]])</f>
        <v>-17.202805034457437</v>
      </c>
      <c r="G31" s="16"/>
      <c r="H31" s="16"/>
    </row>
    <row r="32" spans="1:14" hidden="1" x14ac:dyDescent="0.25">
      <c r="A32" s="7">
        <v>42972</v>
      </c>
      <c r="B32">
        <v>500</v>
      </c>
      <c r="C32">
        <f>Table1[T Cell]+273</f>
        <v>773</v>
      </c>
      <c r="D32">
        <f>10000/Table1[Temp K]</f>
        <v>12.936610608020699</v>
      </c>
      <c r="E32" s="3">
        <v>3.5299999999999998E-8</v>
      </c>
      <c r="F32" s="16">
        <f>LN(Table1[[#This Row],[Bi Flux]])</f>
        <v>-17.159382873007161</v>
      </c>
      <c r="G32" s="16"/>
      <c r="H32" s="16"/>
    </row>
    <row r="33" spans="1:8" hidden="1" x14ac:dyDescent="0.25">
      <c r="A33" s="11"/>
      <c r="B33">
        <v>495</v>
      </c>
      <c r="C33">
        <f>Table1[T Cell]+273</f>
        <v>768</v>
      </c>
      <c r="D33">
        <f>10000/Table1[Temp K]</f>
        <v>13.020833333333334</v>
      </c>
      <c r="E33" s="3">
        <v>2.8699999999999999E-8</v>
      </c>
      <c r="F33" s="16">
        <f>LN(Table1[[#This Row],[Bi Flux]])</f>
        <v>-17.366368714180837</v>
      </c>
      <c r="G33" s="16"/>
      <c r="H33" s="16"/>
    </row>
    <row r="34" spans="1:8" hidden="1" x14ac:dyDescent="0.25">
      <c r="A34" s="11"/>
      <c r="B34">
        <v>490</v>
      </c>
      <c r="C34">
        <f>Table1[T Cell]+273</f>
        <v>763</v>
      </c>
      <c r="D34">
        <f>10000/Table1[Temp K]</f>
        <v>13.106159895150721</v>
      </c>
      <c r="E34" s="3">
        <v>2.3499999999999999E-8</v>
      </c>
      <c r="F34" s="16">
        <f>LN(Table1[[#This Row],[Bi Flux]])</f>
        <v>-17.566265415796298</v>
      </c>
      <c r="G34" s="16"/>
      <c r="H34" s="16"/>
    </row>
    <row r="35" spans="1:8" hidden="1" x14ac:dyDescent="0.25">
      <c r="A35" s="7">
        <v>42982</v>
      </c>
      <c r="B35">
        <v>500</v>
      </c>
      <c r="C35">
        <f>Table1[T Cell]+273</f>
        <v>773</v>
      </c>
      <c r="D35">
        <f>10000/Table1[Temp K]</f>
        <v>12.936610608020699</v>
      </c>
      <c r="E35" s="3">
        <v>3.1100000000000001E-8</v>
      </c>
      <c r="F35" s="16">
        <f>LN(Table1[[#This Row],[Bi Flux]])</f>
        <v>-17.286058017761224</v>
      </c>
      <c r="G35" s="16"/>
      <c r="H35" s="16"/>
    </row>
    <row r="36" spans="1:8" hidden="1" x14ac:dyDescent="0.25">
      <c r="A36" s="11"/>
      <c r="B36">
        <v>495</v>
      </c>
      <c r="C36">
        <f>Table1[T Cell]+273</f>
        <v>768</v>
      </c>
      <c r="D36">
        <f>10000/Table1[Temp K]</f>
        <v>13.020833333333334</v>
      </c>
      <c r="E36" s="3">
        <v>2.6099999999999999E-8</v>
      </c>
      <c r="F36" s="16">
        <f>LN(Table1[[#This Row],[Bi Flux]])</f>
        <v>-17.461330522617764</v>
      </c>
      <c r="G36" s="16"/>
      <c r="H36" s="16"/>
    </row>
    <row r="37" spans="1:8" hidden="1" x14ac:dyDescent="0.25">
      <c r="A37" s="11"/>
      <c r="B37">
        <v>492</v>
      </c>
      <c r="C37">
        <f>Table1[T Cell]+273</f>
        <v>765</v>
      </c>
      <c r="D37">
        <f>10000/Table1[Temp K]</f>
        <v>13.071895424836601</v>
      </c>
      <c r="E37" s="3">
        <v>2.0999999999999999E-8</v>
      </c>
      <c r="F37" s="16">
        <f>LN(Table1[[#This Row],[Bi Flux]])</f>
        <v>-17.678743399222988</v>
      </c>
      <c r="G37" s="16"/>
      <c r="H37" s="16"/>
    </row>
    <row r="38" spans="1:8" hidden="1" x14ac:dyDescent="0.25">
      <c r="A38" s="11"/>
      <c r="B38">
        <v>490</v>
      </c>
      <c r="C38">
        <f>Table1[T Cell]+273</f>
        <v>763</v>
      </c>
      <c r="D38">
        <f>10000/Table1[Temp K]</f>
        <v>13.106159895150721</v>
      </c>
      <c r="E38" s="3">
        <v>2E-8</v>
      </c>
      <c r="F38" s="16">
        <f>LN(Table1[[#This Row],[Bi Flux]])</f>
        <v>-17.72753356339242</v>
      </c>
      <c r="G38" s="16"/>
      <c r="H38" s="16"/>
    </row>
    <row r="39" spans="1:8" hidden="1" x14ac:dyDescent="0.25">
      <c r="A39" s="7">
        <v>42985</v>
      </c>
      <c r="B39">
        <v>525</v>
      </c>
      <c r="C39">
        <f>Table1[T Cell]+273</f>
        <v>798</v>
      </c>
      <c r="D39">
        <f>10000/Table1[Temp K]</f>
        <v>12.531328320802006</v>
      </c>
      <c r="E39" s="3">
        <v>7.3799999999999999E-8</v>
      </c>
      <c r="F39" s="16">
        <f>LN(Table1[[#This Row],[Bi Flux]])</f>
        <v>-16.421907105339983</v>
      </c>
      <c r="G39" s="16"/>
      <c r="H39" s="16"/>
    </row>
    <row r="40" spans="1:8" hidden="1" x14ac:dyDescent="0.25">
      <c r="A40" s="11"/>
      <c r="B40">
        <v>515</v>
      </c>
      <c r="C40">
        <f>Table1[T Cell]+273</f>
        <v>788</v>
      </c>
      <c r="D40">
        <f>10000/Table1[Temp K]</f>
        <v>12.690355329949238</v>
      </c>
      <c r="E40" s="3">
        <v>5.2600000000000001E-8</v>
      </c>
      <c r="F40" s="16">
        <f>LN(Table1[[#This Row],[Bi Flux]])</f>
        <v>-16.760549717202746</v>
      </c>
      <c r="G40" s="16"/>
      <c r="H40" s="16"/>
    </row>
    <row r="41" spans="1:8" hidden="1" x14ac:dyDescent="0.25">
      <c r="A41" s="11"/>
      <c r="B41">
        <v>505</v>
      </c>
      <c r="C41">
        <f>Table1[T Cell]+273</f>
        <v>778</v>
      </c>
      <c r="D41">
        <f>10000/Table1[Temp K]</f>
        <v>12.853470437017995</v>
      </c>
      <c r="E41" s="3">
        <v>3.627E-8</v>
      </c>
      <c r="F41" s="16">
        <f>LN(Table1[[#This Row],[Bi Flux]])</f>
        <v>-17.132274883651601</v>
      </c>
      <c r="G41" s="16"/>
      <c r="H41" s="16"/>
    </row>
    <row r="42" spans="1:8" hidden="1" x14ac:dyDescent="0.25">
      <c r="A42" s="11"/>
      <c r="B42">
        <v>501</v>
      </c>
      <c r="C42">
        <f>Table1[T Cell]+273</f>
        <v>774</v>
      </c>
      <c r="D42">
        <f>10000/Table1[Temp K]</f>
        <v>12.919896640826874</v>
      </c>
      <c r="E42" s="3">
        <v>3.1400000000000003E-8</v>
      </c>
      <c r="F42" s="16">
        <f>LN(Table1[[#This Row],[Bi Flux]])</f>
        <v>-17.276457944032202</v>
      </c>
      <c r="G42" s="16"/>
      <c r="H42" s="16"/>
    </row>
    <row r="43" spans="1:8" hidden="1" x14ac:dyDescent="0.25">
      <c r="A43" s="7">
        <v>42989</v>
      </c>
      <c r="B43">
        <v>490</v>
      </c>
      <c r="C43">
        <f>Table1[T Cell]+273</f>
        <v>763</v>
      </c>
      <c r="D43">
        <f>10000/Table1[Temp K]</f>
        <v>13.106159895150721</v>
      </c>
      <c r="E43" s="3">
        <v>2.0999999999999999E-8</v>
      </c>
      <c r="F43" s="16">
        <f>LN(Table1[[#This Row],[Bi Flux]])</f>
        <v>-17.678743399222988</v>
      </c>
      <c r="G43" s="16"/>
      <c r="H43" s="16"/>
    </row>
    <row r="44" spans="1:8" hidden="1" x14ac:dyDescent="0.25">
      <c r="A44" s="7">
        <v>42992</v>
      </c>
      <c r="B44">
        <v>490</v>
      </c>
      <c r="C44">
        <f>Table1[T Cell]+273</f>
        <v>763</v>
      </c>
      <c r="D44">
        <f>10000/Table1[Temp K]</f>
        <v>13.106159895150721</v>
      </c>
      <c r="E44" s="3">
        <v>2.14E-8</v>
      </c>
      <c r="F44" s="16">
        <f>LN(Table1[[#This Row],[Bi Flux]])</f>
        <v>-17.659874914918607</v>
      </c>
      <c r="G44" s="16"/>
      <c r="H44" s="16"/>
    </row>
    <row r="45" spans="1:8" hidden="1" x14ac:dyDescent="0.25">
      <c r="A45" s="7">
        <v>42996</v>
      </c>
      <c r="B45">
        <v>507</v>
      </c>
      <c r="C45">
        <f>Table1[T Cell]+273</f>
        <v>780</v>
      </c>
      <c r="D45">
        <f>10000/Table1[Temp K]</f>
        <v>12.820512820512821</v>
      </c>
      <c r="E45" s="3">
        <v>4.06E-8</v>
      </c>
      <c r="F45" s="16">
        <f>LN(Table1[[#This Row],[Bi Flux]])</f>
        <v>-17.019497770338724</v>
      </c>
      <c r="G45" s="16"/>
      <c r="H45" s="16"/>
    </row>
    <row r="46" spans="1:8" hidden="1" x14ac:dyDescent="0.25">
      <c r="A46" s="7">
        <v>43007</v>
      </c>
      <c r="B46">
        <v>490</v>
      </c>
      <c r="C46">
        <f>Table1[T Cell]+273</f>
        <v>763</v>
      </c>
      <c r="D46">
        <f>10000/Table1[Temp K]</f>
        <v>13.106159895150721</v>
      </c>
      <c r="E46" s="3">
        <v>2.2399999999999999E-8</v>
      </c>
      <c r="F46" s="16">
        <f>LN(Table1[[#This Row],[Bi Flux]])</f>
        <v>-17.614204878085417</v>
      </c>
      <c r="G46" s="16"/>
      <c r="H46" s="16"/>
    </row>
    <row r="47" spans="1:8" hidden="1" x14ac:dyDescent="0.25">
      <c r="A47" s="11"/>
      <c r="B47">
        <v>488</v>
      </c>
      <c r="C47">
        <f>Table1[T Cell]+273</f>
        <v>761</v>
      </c>
      <c r="D47">
        <f>10000/Table1[Temp K]</f>
        <v>13.140604467805518</v>
      </c>
      <c r="E47" s="3">
        <v>1.99E-8</v>
      </c>
      <c r="F47" s="16">
        <f>LN(Table1[[#This Row],[Bi Flux]])</f>
        <v>-17.732546105215963</v>
      </c>
      <c r="G47" s="16"/>
      <c r="H47" s="16"/>
    </row>
    <row r="48" spans="1:8" hidden="1" x14ac:dyDescent="0.25">
      <c r="A48" s="7">
        <v>43012</v>
      </c>
      <c r="B48">
        <v>490</v>
      </c>
      <c r="C48">
        <f>Table1[T Cell]+273</f>
        <v>763</v>
      </c>
      <c r="D48">
        <f>10000/Table1[Temp K]</f>
        <v>13.106159895150721</v>
      </c>
      <c r="E48" s="3">
        <v>2.25E-8</v>
      </c>
      <c r="F48" s="16">
        <f>LN(Table1[[#This Row],[Bi Flux]])</f>
        <v>-17.609750527736036</v>
      </c>
      <c r="G48" s="16"/>
      <c r="H48" s="16"/>
    </row>
    <row r="49" spans="1:15" hidden="1" x14ac:dyDescent="0.25">
      <c r="A49" s="7">
        <v>43017</v>
      </c>
      <c r="B49">
        <v>490</v>
      </c>
      <c r="C49">
        <f>Table1[T Cell]+273</f>
        <v>763</v>
      </c>
      <c r="D49">
        <f>10000/Table1[Temp K]</f>
        <v>13.106159895150721</v>
      </c>
      <c r="E49" s="3">
        <v>2.0999999999999999E-8</v>
      </c>
      <c r="F49" s="16">
        <f>LN(Table1[[#This Row],[Bi Flux]])</f>
        <v>-17.678743399222988</v>
      </c>
      <c r="G49" s="16"/>
      <c r="H49" s="16"/>
      <c r="I49" s="3"/>
      <c r="J49" s="3"/>
      <c r="K49" s="3"/>
    </row>
    <row r="50" spans="1:15" hidden="1" x14ac:dyDescent="0.25">
      <c r="A50" s="7">
        <v>43032</v>
      </c>
      <c r="B50">
        <v>490</v>
      </c>
      <c r="C50">
        <f>Table1[T Cell]+273</f>
        <v>763</v>
      </c>
      <c r="D50">
        <f>10000/Table1[Temp K]</f>
        <v>13.106159895150721</v>
      </c>
      <c r="E50" s="3">
        <v>2.1200000000000001E-8</v>
      </c>
      <c r="F50" s="16">
        <f>LN(Table1[[#This Row],[Bi Flux]])</f>
        <v>-17.669264655268446</v>
      </c>
      <c r="G50" s="16"/>
      <c r="H50" s="16"/>
    </row>
    <row r="51" spans="1:15" hidden="1" x14ac:dyDescent="0.25">
      <c r="A51" s="7">
        <v>43035</v>
      </c>
      <c r="B51">
        <v>490</v>
      </c>
      <c r="C51">
        <f>Table1[T Cell]+273</f>
        <v>763</v>
      </c>
      <c r="D51">
        <f>10000/Table1[Temp K]</f>
        <v>13.106159895150721</v>
      </c>
      <c r="E51" s="3">
        <v>2.0999999999999999E-8</v>
      </c>
      <c r="F51" s="16">
        <f>LN(Table1[[#This Row],[Bi Flux]])</f>
        <v>-17.678743399222988</v>
      </c>
      <c r="G51" s="16"/>
      <c r="H51" s="16"/>
      <c r="K51" s="3"/>
    </row>
    <row r="52" spans="1:15" hidden="1" x14ac:dyDescent="0.25">
      <c r="A52" s="11"/>
      <c r="B52">
        <v>501</v>
      </c>
      <c r="C52">
        <f>Table1[T Cell]+273</f>
        <v>774</v>
      </c>
      <c r="D52">
        <f>10000/Table1[Temp K]</f>
        <v>12.919896640826874</v>
      </c>
      <c r="E52" s="3">
        <v>3.0899999999999999E-8</v>
      </c>
      <c r="F52" s="16">
        <f>LN(Table1[[#This Row],[Bi Flux]])</f>
        <v>-17.29250965304271</v>
      </c>
      <c r="G52" s="16"/>
      <c r="H52" s="16"/>
    </row>
    <row r="53" spans="1:15" hidden="1" x14ac:dyDescent="0.25">
      <c r="A53" s="7">
        <v>43038</v>
      </c>
      <c r="B53">
        <v>501</v>
      </c>
      <c r="C53">
        <f>Table1[T Cell]+273</f>
        <v>774</v>
      </c>
      <c r="D53">
        <f>10000/Table1[Temp K]</f>
        <v>12.919896640826874</v>
      </c>
      <c r="E53" s="3">
        <v>3.1300000000000002E-8</v>
      </c>
      <c r="F53" s="16">
        <f>LN(Table1[[#This Row],[Bi Flux]])</f>
        <v>-17.279647739400303</v>
      </c>
      <c r="G53" s="16"/>
      <c r="H53" s="16"/>
    </row>
    <row r="54" spans="1:15" hidden="1" x14ac:dyDescent="0.25">
      <c r="A54" s="7">
        <v>43041</v>
      </c>
      <c r="B54">
        <v>513</v>
      </c>
      <c r="C54">
        <f>Table1[T Cell]+273</f>
        <v>786</v>
      </c>
      <c r="D54">
        <f>10000/Table1[Temp K]</f>
        <v>12.72264631043257</v>
      </c>
      <c r="E54" s="3">
        <v>4.8300000000000002E-8</v>
      </c>
      <c r="F54" s="16">
        <f>LN(Table1[[#This Row],[Bi Flux]])</f>
        <v>-16.845834276287885</v>
      </c>
      <c r="G54" s="16"/>
      <c r="H54" s="16"/>
    </row>
    <row r="55" spans="1:15" hidden="1" x14ac:dyDescent="0.25">
      <c r="A55" s="11"/>
      <c r="B55">
        <v>501</v>
      </c>
      <c r="C55">
        <f>Table1[T Cell]+273</f>
        <v>774</v>
      </c>
      <c r="D55">
        <f>10000/Table1[Temp K]</f>
        <v>12.919896640826874</v>
      </c>
      <c r="E55" s="3">
        <v>3.0899999999999999E-8</v>
      </c>
      <c r="F55" s="16">
        <f>LN(Table1[[#This Row],[Bi Flux]])</f>
        <v>-17.29250965304271</v>
      </c>
      <c r="G55" s="16"/>
      <c r="H55" s="16"/>
    </row>
    <row r="56" spans="1:15" hidden="1" x14ac:dyDescent="0.25">
      <c r="A56" s="7">
        <v>43046</v>
      </c>
      <c r="B56">
        <v>535</v>
      </c>
      <c r="C56">
        <f>Table1[T Cell]+273</f>
        <v>808</v>
      </c>
      <c r="D56">
        <f>10000/Table1[Temp K]</f>
        <v>12.376237623762377</v>
      </c>
      <c r="E56" s="3">
        <v>9.9999999999999995E-8</v>
      </c>
      <c r="F56" s="16">
        <f>LN(Table1[[#This Row],[Bi Flux]])</f>
        <v>-16.11809565095832</v>
      </c>
      <c r="G56" s="16"/>
      <c r="H56" s="16"/>
    </row>
    <row r="57" spans="1:15" hidden="1" x14ac:dyDescent="0.25">
      <c r="A57" s="11"/>
      <c r="B57">
        <v>520</v>
      </c>
      <c r="C57">
        <f>Table1[T Cell]+273</f>
        <v>793</v>
      </c>
      <c r="D57">
        <f>10000/Table1[Temp K]</f>
        <v>12.610340479192939</v>
      </c>
      <c r="E57" s="3">
        <v>6.2299999999999995E-8</v>
      </c>
      <c r="F57" s="16">
        <f>LN(Table1[[#This Row],[Bi Flux]])</f>
        <v>-16.591304411153004</v>
      </c>
      <c r="G57" s="16"/>
      <c r="H57" s="16"/>
    </row>
    <row r="58" spans="1:15" hidden="1" x14ac:dyDescent="0.25">
      <c r="A58" s="11"/>
      <c r="B58">
        <v>525</v>
      </c>
      <c r="C58">
        <f>Table1[T Cell]+273</f>
        <v>798</v>
      </c>
      <c r="D58">
        <f>10000/Table1[Temp K]</f>
        <v>12.531328320802006</v>
      </c>
      <c r="E58" s="3">
        <v>7.3099999999999999E-8</v>
      </c>
      <c r="F58" s="16">
        <f>LN(Table1[[#This Row],[Bi Flux]])</f>
        <v>-16.43143747019068</v>
      </c>
      <c r="G58" s="16"/>
      <c r="H58" s="16"/>
    </row>
    <row r="59" spans="1:15" hidden="1" x14ac:dyDescent="0.25">
      <c r="A59" s="7">
        <v>43048</v>
      </c>
      <c r="B59">
        <v>517</v>
      </c>
      <c r="C59">
        <f>Table1[T Cell]+273</f>
        <v>790</v>
      </c>
      <c r="D59">
        <f>10000/Table1[Temp K]</f>
        <v>12.658227848101266</v>
      </c>
      <c r="E59" s="3">
        <v>3.32E-8</v>
      </c>
      <c r="F59" s="16">
        <f>LN(Table1[[#This Row],[Bi Flux]])</f>
        <v>-17.22071596102397</v>
      </c>
      <c r="G59" s="16"/>
      <c r="H59" s="16"/>
    </row>
    <row r="60" spans="1:15" hidden="1" x14ac:dyDescent="0.25">
      <c r="A60" s="11"/>
      <c r="B60">
        <v>522</v>
      </c>
      <c r="C60">
        <f>Table1[T Cell]+273</f>
        <v>795</v>
      </c>
      <c r="D60">
        <f>10000/Table1[Temp K]</f>
        <v>12.578616352201259</v>
      </c>
      <c r="E60" s="3">
        <v>4.5130000000000001E-8</v>
      </c>
      <c r="F60" s="16">
        <f>LN(Table1[[#This Row],[Bi Flux]])</f>
        <v>-16.913718623107503</v>
      </c>
      <c r="G60" s="16"/>
      <c r="H60" s="16"/>
      <c r="L60" s="12" t="s">
        <v>10</v>
      </c>
      <c r="M60" s="12"/>
      <c r="N60" s="12" t="s">
        <v>7</v>
      </c>
      <c r="O60" s="12" t="s">
        <v>12</v>
      </c>
    </row>
    <row r="61" spans="1:15" hidden="1" x14ac:dyDescent="0.25">
      <c r="A61" s="11"/>
      <c r="B61">
        <v>516</v>
      </c>
      <c r="C61">
        <f>Table1[T Cell]+273</f>
        <v>789</v>
      </c>
      <c r="D61">
        <f>10000/Table1[Temp K]</f>
        <v>12.67427122940431</v>
      </c>
      <c r="E61" s="3">
        <v>4.5300000000000002E-8</v>
      </c>
      <c r="F61" s="16">
        <f>LN(Table1[[#This Row],[Bi Flux]])</f>
        <v>-16.909958804457421</v>
      </c>
      <c r="G61" s="16"/>
      <c r="H61" s="16"/>
      <c r="K61" s="6">
        <v>42865</v>
      </c>
      <c r="L61">
        <v>510</v>
      </c>
      <c r="M61">
        <f t="shared" ref="M61:M71" si="2">10000/(L61+273)</f>
        <v>12.771392081736909</v>
      </c>
      <c r="N61">
        <f>-2.3727*M61 + 13.247</f>
        <v>-17.055681992337167</v>
      </c>
      <c r="O61" s="3">
        <f t="shared" ref="O61:O66" si="3">EXP(N61)</f>
        <v>3.9157181636666279E-8</v>
      </c>
    </row>
    <row r="62" spans="1:15" hidden="1" x14ac:dyDescent="0.25">
      <c r="A62" s="7">
        <v>43053</v>
      </c>
      <c r="B62">
        <v>507</v>
      </c>
      <c r="C62">
        <f>Table1[T Cell]+273</f>
        <v>780</v>
      </c>
      <c r="D62">
        <f>10000/Table1[Temp K]</f>
        <v>12.820512820512821</v>
      </c>
      <c r="E62" s="3">
        <v>3.62E-8</v>
      </c>
      <c r="F62" s="16">
        <f>LN(Table1[[#This Row],[Bi Flux]])</f>
        <v>-17.134206718114687</v>
      </c>
      <c r="G62" s="16"/>
      <c r="H62" s="16"/>
      <c r="K62" s="6">
        <v>42867</v>
      </c>
      <c r="L62">
        <v>510</v>
      </c>
      <c r="M62">
        <f t="shared" si="2"/>
        <v>12.771392081736909</v>
      </c>
      <c r="N62" s="3" t="e">
        <f>SLOPE(I50:I55,E50:E55)*M62+INTERCEPT(I50:I55,E50:E55)</f>
        <v>#DIV/0!</v>
      </c>
      <c r="O62" s="3" t="e">
        <f t="shared" si="3"/>
        <v>#DIV/0!</v>
      </c>
    </row>
    <row r="63" spans="1:15" hidden="1" x14ac:dyDescent="0.25">
      <c r="A63" s="11"/>
      <c r="B63">
        <v>509</v>
      </c>
      <c r="C63">
        <f>Table1[T Cell]+273</f>
        <v>782</v>
      </c>
      <c r="D63">
        <f>10000/Table1[Temp K]</f>
        <v>12.787723785166241</v>
      </c>
      <c r="E63" s="3">
        <v>3.7900000000000002E-8</v>
      </c>
      <c r="F63" s="16">
        <f>LN(Table1[[#This Row],[Bi Flux]])</f>
        <v>-17.08831472485803</v>
      </c>
      <c r="G63" s="16"/>
      <c r="H63" s="16"/>
      <c r="K63" s="6">
        <v>42877</v>
      </c>
      <c r="L63">
        <v>510</v>
      </c>
      <c r="M63">
        <f t="shared" si="2"/>
        <v>12.771392081736909</v>
      </c>
      <c r="N63" s="3" t="e">
        <f>SLOPE(I66:I68,E66:E68)*M63+INTERCEPT(I66:I68,E66:E68)</f>
        <v>#DIV/0!</v>
      </c>
      <c r="O63" s="3" t="e">
        <f t="shared" si="3"/>
        <v>#DIV/0!</v>
      </c>
    </row>
    <row r="64" spans="1:15" hidden="1" x14ac:dyDescent="0.25">
      <c r="A64" s="11"/>
      <c r="B64">
        <v>500</v>
      </c>
      <c r="C64">
        <f>Table1[T Cell]+273</f>
        <v>773</v>
      </c>
      <c r="D64">
        <f>10000/Table1[Temp K]</f>
        <v>12.936610608020699</v>
      </c>
      <c r="E64" s="3">
        <v>2.7100000000000001E-8</v>
      </c>
      <c r="F64" s="16">
        <f>LN(Table1[[#This Row],[Bi Flux]])</f>
        <v>-17.423732109060754</v>
      </c>
      <c r="G64" s="16"/>
      <c r="H64" s="16"/>
      <c r="K64" s="6">
        <v>42972</v>
      </c>
      <c r="L64">
        <v>505</v>
      </c>
      <c r="M64">
        <f t="shared" si="2"/>
        <v>12.853470437017995</v>
      </c>
      <c r="N64" s="3" t="e">
        <f>SLOPE(I71:I73,E71:E73)*M64+INTERCEPT(I71:I73,E71:E73)</f>
        <v>#DIV/0!</v>
      </c>
      <c r="O64" s="3" t="e">
        <f t="shared" si="3"/>
        <v>#DIV/0!</v>
      </c>
    </row>
    <row r="65" spans="1:17" hidden="1" x14ac:dyDescent="0.25">
      <c r="A65" s="7" t="s">
        <v>55</v>
      </c>
      <c r="B65" s="23" t="s">
        <v>56</v>
      </c>
      <c r="C65">
        <f>Table1[T Cell]+273</f>
        <v>782</v>
      </c>
      <c r="D65">
        <f>10000/Table1[Temp K]</f>
        <v>12.787723785166241</v>
      </c>
      <c r="E65" s="3">
        <v>3.7900000000000002E-8</v>
      </c>
      <c r="F65" s="16">
        <f>LN(Table1[[#This Row],[Bi Flux]])</f>
        <v>-17.08831472485803</v>
      </c>
      <c r="G65" s="16"/>
      <c r="H65" s="16"/>
      <c r="K65" s="6">
        <v>42982</v>
      </c>
      <c r="L65">
        <v>490</v>
      </c>
      <c r="M65">
        <f t="shared" si="2"/>
        <v>13.106159895150721</v>
      </c>
      <c r="N65" s="3" t="e">
        <f>SLOPE(I74:I77,E74:E77)*M65+INTERCEPT(I74:I77,E74:E77)</f>
        <v>#DIV/0!</v>
      </c>
      <c r="O65" s="3" t="e">
        <f t="shared" si="3"/>
        <v>#DIV/0!</v>
      </c>
    </row>
    <row r="66" spans="1:17" hidden="1" x14ac:dyDescent="0.25">
      <c r="A66" s="11"/>
      <c r="B66">
        <v>500</v>
      </c>
      <c r="C66">
        <f>Table1[T Cell]+273</f>
        <v>773</v>
      </c>
      <c r="D66">
        <f>10000/Table1[Temp K]</f>
        <v>12.936610608020699</v>
      </c>
      <c r="E66" s="3">
        <v>2.6899999999999999E-8</v>
      </c>
      <c r="F66" s="16">
        <f>LN(Table1[[#This Row],[Bi Flux]])</f>
        <v>-17.431139550338617</v>
      </c>
      <c r="G66" s="16"/>
      <c r="H66" s="16"/>
      <c r="K66" s="6">
        <v>42985</v>
      </c>
      <c r="L66">
        <v>515</v>
      </c>
      <c r="M66" s="18">
        <f t="shared" si="2"/>
        <v>12.690355329949238</v>
      </c>
      <c r="N66" s="3" t="e">
        <f>M66*SLOPE(I78:I176,E78:E176)+INTERCEPT(I78:I176,E78:E176)</f>
        <v>#DIV/0!</v>
      </c>
      <c r="O66" s="3" t="e">
        <f t="shared" si="3"/>
        <v>#DIV/0!</v>
      </c>
    </row>
    <row r="67" spans="1:17" hidden="1" x14ac:dyDescent="0.25">
      <c r="A67" s="7">
        <v>43056</v>
      </c>
      <c r="B67">
        <v>509</v>
      </c>
      <c r="C67">
        <f>Table1[T Cell]+273</f>
        <v>782</v>
      </c>
      <c r="D67">
        <f>10000/Table1[Temp K]</f>
        <v>12.787723785166241</v>
      </c>
      <c r="E67" s="3">
        <v>3.9500000000000003E-8</v>
      </c>
      <c r="F67" s="16">
        <f>LN(Table1[[#This Row],[Bi Flux]])</f>
        <v>-17.046965165039335</v>
      </c>
      <c r="G67" s="16"/>
      <c r="H67" s="16"/>
      <c r="K67" s="6">
        <v>43055</v>
      </c>
      <c r="L67">
        <v>520</v>
      </c>
      <c r="M67">
        <f t="shared" si="2"/>
        <v>12.610340479192939</v>
      </c>
      <c r="N67" s="3" t="e">
        <f>M67*SLOPE(I179:I185,E179:E185)+INTERCEPT(I179:I185,E179:E185)</f>
        <v>#DIV/0!</v>
      </c>
      <c r="O67" s="3" t="e">
        <f>EXP(N67)</f>
        <v>#DIV/0!</v>
      </c>
    </row>
    <row r="68" spans="1:17" hidden="1" x14ac:dyDescent="0.25">
      <c r="A68" s="11"/>
      <c r="B68">
        <v>500</v>
      </c>
      <c r="C68">
        <f>Table1[T Cell]+273</f>
        <v>773</v>
      </c>
      <c r="D68">
        <f>10000/Table1[Temp K]</f>
        <v>12.936610608020699</v>
      </c>
      <c r="E68" s="3">
        <v>2.77E-8</v>
      </c>
      <c r="F68" s="16">
        <f>LN(Table1[[#This Row],[Bi Flux]])</f>
        <v>-17.401833423753118</v>
      </c>
      <c r="G68" s="16"/>
      <c r="H68" s="16"/>
      <c r="K68" s="6">
        <v>43067</v>
      </c>
      <c r="L68">
        <v>516</v>
      </c>
      <c r="M68">
        <f t="shared" si="2"/>
        <v>12.67427122940431</v>
      </c>
      <c r="N68">
        <f>-2.3288*M68+12.801</f>
        <v>-16.714842839036763</v>
      </c>
      <c r="O68" s="3">
        <f>EXP(N68)</f>
        <v>5.5059972370633939E-8</v>
      </c>
    </row>
    <row r="69" spans="1:17" hidden="1" x14ac:dyDescent="0.25">
      <c r="A69" s="7">
        <v>43067</v>
      </c>
      <c r="B69">
        <v>520</v>
      </c>
      <c r="C69">
        <f>Table1[T Cell]+273</f>
        <v>793</v>
      </c>
      <c r="D69">
        <f>10000/Table1[Temp K]</f>
        <v>12.610340479192939</v>
      </c>
      <c r="E69" s="3">
        <v>6.4700000000000004E-8</v>
      </c>
      <c r="F69" s="16">
        <f>LN(Table1[[#This Row],[Bi Flux]])</f>
        <v>-16.553504635439555</v>
      </c>
      <c r="G69" s="16"/>
      <c r="H69" s="16"/>
      <c r="K69" s="6">
        <v>43073</v>
      </c>
      <c r="L69">
        <v>516</v>
      </c>
      <c r="M69">
        <f t="shared" si="2"/>
        <v>12.67427122940431</v>
      </c>
      <c r="N69">
        <f>-2.4767*M69+14.575</f>
        <v>-16.815367553865656</v>
      </c>
      <c r="O69" s="3">
        <f>EXP(N69)</f>
        <v>4.9794188631800072E-8</v>
      </c>
    </row>
    <row r="70" spans="1:17" hidden="1" x14ac:dyDescent="0.25">
      <c r="A70" s="11"/>
      <c r="B70">
        <v>519</v>
      </c>
      <c r="C70">
        <f>Table1[T Cell]+273</f>
        <v>792</v>
      </c>
      <c r="D70">
        <f>10000/Table1[Temp K]</f>
        <v>12.626262626262626</v>
      </c>
      <c r="E70" s="3">
        <v>6.0199999999999996E-8</v>
      </c>
      <c r="F70" s="16">
        <f>LN(Table1[[#This Row],[Bi Flux]])</f>
        <v>-16.625593484631636</v>
      </c>
      <c r="G70" s="16"/>
      <c r="H70" s="16"/>
      <c r="K70" s="6">
        <v>43115</v>
      </c>
      <c r="L70">
        <v>519</v>
      </c>
      <c r="M70">
        <f t="shared" si="2"/>
        <v>12.626262626262626</v>
      </c>
      <c r="N70">
        <f>-3.34887*M70+25.734</f>
        <v>-16.549712121212117</v>
      </c>
      <c r="O70" s="3">
        <f>EXP(N70)</f>
        <v>6.4945841554647269E-8</v>
      </c>
    </row>
    <row r="71" spans="1:17" hidden="1" x14ac:dyDescent="0.25">
      <c r="A71" s="11"/>
      <c r="B71">
        <v>516</v>
      </c>
      <c r="C71">
        <f>Table1[T Cell]+273</f>
        <v>789</v>
      </c>
      <c r="D71">
        <f>10000/Table1[Temp K]</f>
        <v>12.67427122940431</v>
      </c>
      <c r="E71" s="3">
        <v>5.62E-8</v>
      </c>
      <c r="F71" s="16">
        <f>LN(Table1[[#This Row],[Bi Flux]])</f>
        <v>-16.694349080046766</v>
      </c>
      <c r="G71" s="16"/>
      <c r="H71" s="16"/>
      <c r="J71" s="3"/>
      <c r="K71" s="6">
        <v>43167</v>
      </c>
      <c r="L71" s="15">
        <v>518</v>
      </c>
      <c r="M71" s="22">
        <f t="shared" si="2"/>
        <v>12.642225031605562</v>
      </c>
      <c r="N71" s="3">
        <f>-2.3179*M71+12.72</f>
        <v>-16.583413400758531</v>
      </c>
      <c r="O71" s="3">
        <f>EXP(N71)</f>
        <v>6.2793554709191328E-8</v>
      </c>
      <c r="P71" s="3"/>
      <c r="Q71" s="3"/>
    </row>
    <row r="72" spans="1:17" hidden="1" x14ac:dyDescent="0.25">
      <c r="A72" s="11"/>
      <c r="B72">
        <v>514</v>
      </c>
      <c r="C72">
        <f>Table1[T Cell]+273</f>
        <v>787</v>
      </c>
      <c r="D72">
        <f>10000/Table1[Temp K]</f>
        <v>12.706480304955527</v>
      </c>
      <c r="E72" s="3">
        <v>5.0600000000000003E-8</v>
      </c>
      <c r="F72" s="16">
        <f>LN(Table1[[#This Row],[Bi Flux]])</f>
        <v>-16.799314260652991</v>
      </c>
      <c r="G72" s="16"/>
      <c r="H72" s="16"/>
    </row>
    <row r="73" spans="1:17" hidden="1" x14ac:dyDescent="0.25">
      <c r="A73" s="7">
        <v>43069</v>
      </c>
      <c r="B73">
        <v>516</v>
      </c>
      <c r="C73">
        <f>Table1[T Cell]+273</f>
        <v>789</v>
      </c>
      <c r="D73">
        <f>10000/Table1[Temp K]</f>
        <v>12.67427122940431</v>
      </c>
      <c r="E73" s="3">
        <v>4.7799999999999998E-8</v>
      </c>
      <c r="F73" s="16">
        <f>LN(Table1[[#This Row],[Bi Flux]])</f>
        <v>-16.856240197449001</v>
      </c>
      <c r="G73" s="16"/>
      <c r="H73" s="16"/>
    </row>
    <row r="74" spans="1:17" hidden="1" x14ac:dyDescent="0.25">
      <c r="A74" s="7">
        <v>43073</v>
      </c>
      <c r="B74">
        <v>520</v>
      </c>
      <c r="C74">
        <f>Table1[T Cell]+273</f>
        <v>793</v>
      </c>
      <c r="D74">
        <f>10000/Table1[Temp K]</f>
        <v>12.610340479192939</v>
      </c>
      <c r="E74" s="3">
        <v>5.91E-8</v>
      </c>
      <c r="F74" s="16">
        <f>LN(Table1[[#This Row],[Bi Flux]])</f>
        <v>-16.644034912534359</v>
      </c>
      <c r="G74" s="16"/>
      <c r="H74" s="16"/>
    </row>
    <row r="75" spans="1:17" hidden="1" x14ac:dyDescent="0.25">
      <c r="A75" s="11"/>
      <c r="B75">
        <v>516</v>
      </c>
      <c r="C75">
        <f>Table1[T Cell]+273</f>
        <v>789</v>
      </c>
      <c r="D75">
        <f>10000/Table1[Temp K]</f>
        <v>12.67427122940431</v>
      </c>
      <c r="E75" s="3">
        <v>5.0799999999999998E-8</v>
      </c>
      <c r="F75" s="16">
        <f>LN(Table1[[#This Row],[Bi Flux]])</f>
        <v>-16.795369482361973</v>
      </c>
      <c r="G75" s="16"/>
      <c r="H75" s="16"/>
    </row>
    <row r="76" spans="1:17" hidden="1" x14ac:dyDescent="0.25">
      <c r="A76" s="7">
        <v>43077</v>
      </c>
      <c r="B76">
        <v>516</v>
      </c>
      <c r="C76">
        <f>Table1[T Cell]+273</f>
        <v>789</v>
      </c>
      <c r="D76">
        <f>10000/Table1[Temp K]</f>
        <v>12.67427122940431</v>
      </c>
      <c r="E76" s="3">
        <v>5.1100000000000001E-8</v>
      </c>
      <c r="F76" s="16">
        <f>LN(Table1[[#This Row],[Bi Flux]])</f>
        <v>-16.789481339736753</v>
      </c>
      <c r="G76" s="16"/>
      <c r="H76" s="16"/>
    </row>
    <row r="77" spans="1:17" hidden="1" x14ac:dyDescent="0.25">
      <c r="A77" s="7" t="s">
        <v>57</v>
      </c>
      <c r="B77" s="24" t="s">
        <v>58</v>
      </c>
      <c r="C77">
        <f>Table1[T Cell]+273</f>
        <v>789</v>
      </c>
      <c r="D77">
        <f>10000/Table1[Temp K]</f>
        <v>12.67427122940431</v>
      </c>
      <c r="E77" s="3">
        <v>4.9399999999999999E-8</v>
      </c>
      <c r="F77" s="16">
        <f>LN(Table1[[#This Row],[Bi Flux]])</f>
        <v>-16.823315412752535</v>
      </c>
      <c r="G77" s="16"/>
      <c r="H77" s="16"/>
    </row>
    <row r="78" spans="1:17" hidden="1" x14ac:dyDescent="0.25">
      <c r="A78" s="11"/>
      <c r="B78">
        <v>514</v>
      </c>
      <c r="C78">
        <f>Table1[T Cell]+273</f>
        <v>787</v>
      </c>
      <c r="D78">
        <f>10000/Table1[Temp K]</f>
        <v>12.706480304955527</v>
      </c>
      <c r="E78" s="3">
        <v>4.6000000000000002E-8</v>
      </c>
      <c r="F78" s="16">
        <f>LN(Table1[[#This Row],[Bi Flux]])</f>
        <v>-16.894624440457317</v>
      </c>
      <c r="G78" s="16"/>
      <c r="H78" s="16"/>
    </row>
    <row r="79" spans="1:17" hidden="1" x14ac:dyDescent="0.25">
      <c r="A79" s="7" t="s">
        <v>59</v>
      </c>
      <c r="B79" s="23" t="s">
        <v>60</v>
      </c>
      <c r="C79">
        <f>Table1[T Cell]+273</f>
        <v>791</v>
      </c>
      <c r="D79">
        <f>10000/Table1[Temp K]</f>
        <v>12.642225031605562</v>
      </c>
      <c r="E79" s="3">
        <v>5.47E-8</v>
      </c>
      <c r="F79" s="16">
        <f>LN(Table1[[#This Row],[Bi Flux]])</f>
        <v>-16.721402127518477</v>
      </c>
      <c r="G79" s="16"/>
      <c r="H79" s="16"/>
    </row>
    <row r="80" spans="1:17" hidden="1" x14ac:dyDescent="0.25">
      <c r="A80" s="11"/>
      <c r="B80">
        <v>520</v>
      </c>
      <c r="C80">
        <f>Table1[T Cell]+273</f>
        <v>793</v>
      </c>
      <c r="D80">
        <f>10000/Table1[Temp K]</f>
        <v>12.610340479192939</v>
      </c>
      <c r="E80" s="3">
        <v>5.7499999999999999E-8</v>
      </c>
      <c r="F80" s="16">
        <f>LN(Table1[[#This Row],[Bi Flux]])</f>
        <v>-16.671480889143105</v>
      </c>
      <c r="G80" s="16"/>
      <c r="H80" s="16"/>
    </row>
    <row r="81" spans="1:8" hidden="1" x14ac:dyDescent="0.25">
      <c r="A81" s="11"/>
      <c r="B81">
        <v>521</v>
      </c>
      <c r="C81">
        <f>Table1[T Cell]+273</f>
        <v>794</v>
      </c>
      <c r="D81">
        <f>10000/Table1[Temp K]</f>
        <v>12.594458438287154</v>
      </c>
      <c r="E81" s="3">
        <v>6.0199999999999996E-8</v>
      </c>
      <c r="F81" s="16">
        <f>LN(Table1[[#This Row],[Bi Flux]])</f>
        <v>-16.625593484631636</v>
      </c>
      <c r="G81" s="16"/>
      <c r="H81" s="16"/>
    </row>
    <row r="82" spans="1:8" hidden="1" x14ac:dyDescent="0.25">
      <c r="A82" s="7">
        <v>43088</v>
      </c>
      <c r="B82">
        <v>522</v>
      </c>
      <c r="C82">
        <f>Table1[T Cell]+273</f>
        <v>795</v>
      </c>
      <c r="D82">
        <f>10000/Table1[Temp K]</f>
        <v>12.578616352201259</v>
      </c>
      <c r="E82" s="3">
        <v>6.2800000000000006E-8</v>
      </c>
      <c r="F82" s="16">
        <f>LN(Table1[[#This Row],[Bi Flux]])</f>
        <v>-16.583310763472259</v>
      </c>
      <c r="G82" s="16"/>
      <c r="H82" s="16"/>
    </row>
    <row r="83" spans="1:8" hidden="1" x14ac:dyDescent="0.25">
      <c r="A83" s="11"/>
      <c r="B83">
        <v>524</v>
      </c>
      <c r="C83">
        <f>Table1[T Cell]+273</f>
        <v>797</v>
      </c>
      <c r="D83">
        <f>10000/Table1[Temp K]</f>
        <v>12.547051442910917</v>
      </c>
      <c r="E83" s="3">
        <v>6.7700000000000004E-8</v>
      </c>
      <c r="F83" s="16">
        <f>LN(Table1[[#This Row],[Bi Flux]])</f>
        <v>-16.508179657028183</v>
      </c>
      <c r="G83" s="16"/>
      <c r="H83" s="16"/>
    </row>
    <row r="84" spans="1:8" hidden="1" x14ac:dyDescent="0.25">
      <c r="A84" s="7">
        <v>43089</v>
      </c>
      <c r="B84">
        <v>513</v>
      </c>
      <c r="C84">
        <f>Table1[T Cell]+273</f>
        <v>786</v>
      </c>
      <c r="D84">
        <f>10000/Table1[Temp K]</f>
        <v>12.72264631043257</v>
      </c>
      <c r="E84" s="3">
        <v>4.2699999999999999E-8</v>
      </c>
      <c r="F84" s="16">
        <f>LN(Table1[[#This Row],[Bi Flux]])</f>
        <v>-16.969066916711832</v>
      </c>
      <c r="G84" s="16"/>
      <c r="H84" s="16"/>
    </row>
    <row r="85" spans="1:8" hidden="1" x14ac:dyDescent="0.25">
      <c r="A85" s="7" t="s">
        <v>62</v>
      </c>
      <c r="B85" s="23" t="s">
        <v>63</v>
      </c>
      <c r="C85">
        <f>Table1[T Cell]+273</f>
        <v>795</v>
      </c>
      <c r="D85">
        <f>10000/Table1[Temp K]</f>
        <v>12.578616352201259</v>
      </c>
      <c r="E85" s="3">
        <v>7.6399999999999996E-8</v>
      </c>
      <c r="F85" s="16">
        <f>LN(Table1[[#This Row],[Bi Flux]])</f>
        <v>-16.387283140773935</v>
      </c>
      <c r="G85" s="16"/>
      <c r="H85" s="16"/>
    </row>
    <row r="86" spans="1:8" hidden="1" x14ac:dyDescent="0.25">
      <c r="A86" s="7"/>
      <c r="B86">
        <v>520</v>
      </c>
      <c r="C86">
        <f>Table1[T Cell]+273</f>
        <v>793</v>
      </c>
      <c r="D86">
        <f>10000/Table1[Temp K]</f>
        <v>12.610340479192939</v>
      </c>
      <c r="E86" s="3">
        <v>6.87E-8</v>
      </c>
      <c r="F86" s="16">
        <f>LN(Table1[[#This Row],[Bi Flux]])</f>
        <v>-16.493516637718109</v>
      </c>
      <c r="G86" s="16"/>
      <c r="H86" s="16"/>
    </row>
    <row r="87" spans="1:8" hidden="1" x14ac:dyDescent="0.25">
      <c r="A87" s="7">
        <v>43117</v>
      </c>
      <c r="B87">
        <v>518</v>
      </c>
      <c r="C87">
        <f>Table1[T Cell]+273</f>
        <v>791</v>
      </c>
      <c r="D87">
        <f>10000/Table1[Temp K]</f>
        <v>12.642225031605562</v>
      </c>
      <c r="E87" s="3">
        <v>6.2499999999999997E-8</v>
      </c>
      <c r="F87" s="16">
        <f>LN(Table1[[#This Row],[Bi Flux]])</f>
        <v>-16.588099280204055</v>
      </c>
      <c r="G87" s="16"/>
      <c r="H87" s="16"/>
    </row>
    <row r="88" spans="1:8" hidden="1" x14ac:dyDescent="0.25">
      <c r="A88" s="7">
        <v>43123</v>
      </c>
      <c r="B88">
        <v>518</v>
      </c>
      <c r="C88">
        <f>Table1[T Cell]+273</f>
        <v>791</v>
      </c>
      <c r="D88">
        <f>10000/Table1[Temp K]</f>
        <v>12.642225031605562</v>
      </c>
      <c r="E88" s="3">
        <v>6.2400000000000003E-8</v>
      </c>
      <c r="F88" s="16">
        <f>LN(Table1[[#This Row],[Bi Flux]])</f>
        <v>-16.589700561571028</v>
      </c>
      <c r="G88" s="16"/>
      <c r="H88" s="16"/>
    </row>
    <row r="89" spans="1:8" hidden="1" x14ac:dyDescent="0.25">
      <c r="A89" s="7">
        <v>43124</v>
      </c>
      <c r="B89">
        <v>518</v>
      </c>
      <c r="C89">
        <f>Table1[T Cell]+273</f>
        <v>791</v>
      </c>
      <c r="D89">
        <f>10000/Table1[Temp K]</f>
        <v>12.642225031605562</v>
      </c>
      <c r="E89" s="3">
        <v>6.0100000000000002E-8</v>
      </c>
      <c r="F89" s="16">
        <f>LN(Table1[[#This Row],[Bi Flux]])</f>
        <v>-16.62725599540525</v>
      </c>
      <c r="G89" s="16"/>
      <c r="H89" s="16"/>
    </row>
    <row r="90" spans="1:8" hidden="1" x14ac:dyDescent="0.25">
      <c r="A90" s="7"/>
      <c r="B90">
        <v>519</v>
      </c>
      <c r="C90">
        <f>Table1[T Cell]+273</f>
        <v>792</v>
      </c>
      <c r="D90">
        <f>10000/Table1[Temp K]</f>
        <v>12.626262626262626</v>
      </c>
      <c r="E90" s="3">
        <v>6.2200000000000001E-8</v>
      </c>
      <c r="F90" s="16">
        <f>LN(Table1[[#This Row],[Bi Flux]])</f>
        <v>-16.592910837201277</v>
      </c>
      <c r="G90" s="16"/>
      <c r="H90" s="16"/>
    </row>
    <row r="91" spans="1:8" hidden="1" x14ac:dyDescent="0.25">
      <c r="A91" s="7">
        <v>43126</v>
      </c>
      <c r="B91">
        <v>518</v>
      </c>
      <c r="C91">
        <f>Table1[T Cell]+273</f>
        <v>791</v>
      </c>
      <c r="D91">
        <f>10000/Table1[Temp K]</f>
        <v>12.642225031605562</v>
      </c>
      <c r="E91" s="3">
        <v>6.1099999999999998E-8</v>
      </c>
      <c r="F91" s="16">
        <f>LN(Table1[[#This Row],[Bi Flux]])</f>
        <v>-16.610753970768862</v>
      </c>
      <c r="G91" s="16"/>
      <c r="H91" s="16"/>
    </row>
    <row r="92" spans="1:8" hidden="1" x14ac:dyDescent="0.25">
      <c r="A92" s="25" t="s">
        <v>65</v>
      </c>
      <c r="B92" s="23" t="s">
        <v>63</v>
      </c>
      <c r="C92">
        <f>Table1[T Cell]+273</f>
        <v>795</v>
      </c>
      <c r="D92">
        <f>10000/Table1[Temp K]</f>
        <v>12.578616352201259</v>
      </c>
      <c r="E92" s="3">
        <v>7.2800000000000003E-8</v>
      </c>
      <c r="F92" s="16">
        <f>LN(Table1[[#This Row],[Bi Flux]])</f>
        <v>-16.435549881743771</v>
      </c>
      <c r="G92" s="16"/>
      <c r="H92" s="16"/>
    </row>
    <row r="93" spans="1:8" hidden="1" x14ac:dyDescent="0.25">
      <c r="A93" s="7"/>
      <c r="B93">
        <v>519</v>
      </c>
      <c r="C93">
        <f>Table1[T Cell]+273</f>
        <v>792</v>
      </c>
      <c r="D93">
        <f>10000/Table1[Temp K]</f>
        <v>12.626262626262626</v>
      </c>
      <c r="E93" s="3">
        <v>6.5499999999999998E-8</v>
      </c>
      <c r="F93" s="16">
        <f>LN(Table1[[#This Row],[Bi Flux]])</f>
        <v>-16.541215694305205</v>
      </c>
      <c r="G93" s="16"/>
      <c r="H93" s="16"/>
    </row>
    <row r="94" spans="1:8" hidden="1" x14ac:dyDescent="0.25">
      <c r="A94" s="7">
        <v>43161</v>
      </c>
      <c r="B94">
        <v>519</v>
      </c>
      <c r="C94">
        <f>Table1[T Cell]+273</f>
        <v>792</v>
      </c>
      <c r="D94">
        <f>10000/Table1[Temp K]</f>
        <v>12.626262626262626</v>
      </c>
      <c r="E94" s="3">
        <v>6.5799999999999994E-8</v>
      </c>
      <c r="F94" s="16">
        <f>LN(Table1[[#This Row],[Bi Flux]])</f>
        <v>-16.536645998615139</v>
      </c>
      <c r="G94" s="16"/>
      <c r="H94" s="16"/>
    </row>
    <row r="95" spans="1:8" hidden="1" x14ac:dyDescent="0.25">
      <c r="A95" s="7">
        <v>43167</v>
      </c>
      <c r="B95">
        <v>519</v>
      </c>
      <c r="C95">
        <f>Table1[T Cell]+273</f>
        <v>792</v>
      </c>
      <c r="D95">
        <f>10000/Table1[Temp K]</f>
        <v>12.626262626262626</v>
      </c>
      <c r="E95" s="3">
        <v>6.5600000000000005E-8</v>
      </c>
      <c r="F95" s="16">
        <f>LN(Table1[[#This Row],[Bi Flux]])</f>
        <v>-16.539690140996367</v>
      </c>
      <c r="G95" s="16"/>
      <c r="H95" s="16"/>
    </row>
    <row r="96" spans="1:8" hidden="1" x14ac:dyDescent="0.25">
      <c r="A96" s="7"/>
      <c r="B96">
        <v>518</v>
      </c>
      <c r="C96">
        <f>Table1[T Cell]+273</f>
        <v>791</v>
      </c>
      <c r="D96">
        <f>10000/Table1[Temp K]</f>
        <v>12.642225031605562</v>
      </c>
      <c r="E96" s="3">
        <v>6.2400000000000003E-8</v>
      </c>
      <c r="F96" s="16">
        <f>LN(Table1[[#This Row],[Bi Flux]])</f>
        <v>-16.589700561571028</v>
      </c>
      <c r="G96" s="16"/>
      <c r="H96" s="16"/>
    </row>
    <row r="97" spans="1:17" hidden="1" x14ac:dyDescent="0.25">
      <c r="A97" s="7">
        <v>43173</v>
      </c>
      <c r="B97">
        <v>519</v>
      </c>
      <c r="C97">
        <f>Table1[T Cell]+273</f>
        <v>792</v>
      </c>
      <c r="D97">
        <f>10000/Table1[Temp K]</f>
        <v>12.626262626262626</v>
      </c>
      <c r="E97" s="3">
        <v>6.4599999999999996E-8</v>
      </c>
      <c r="F97" s="16">
        <f>LN(Table1[[#This Row],[Bi Flux]])</f>
        <v>-16.555051426157856</v>
      </c>
      <c r="G97" s="16"/>
      <c r="H97" s="16"/>
    </row>
    <row r="98" spans="1:17" hidden="1" x14ac:dyDescent="0.25">
      <c r="A98" s="25" t="s">
        <v>67</v>
      </c>
      <c r="B98">
        <v>519</v>
      </c>
      <c r="C98">
        <f>Table1[T Cell]+273</f>
        <v>792</v>
      </c>
      <c r="D98">
        <f>10000/Table1[Temp K]</f>
        <v>12.626262626262626</v>
      </c>
      <c r="E98" s="3">
        <v>6.5600000000000005E-8</v>
      </c>
      <c r="F98" s="16">
        <f>LN(Table1[[#This Row],[Bi Flux]])</f>
        <v>-16.539690140996367</v>
      </c>
      <c r="G98" s="16"/>
      <c r="H98" s="16"/>
    </row>
    <row r="99" spans="1:17" hidden="1" x14ac:dyDescent="0.25">
      <c r="A99" s="7"/>
      <c r="B99">
        <v>520</v>
      </c>
      <c r="C99">
        <f>Table1[T Cell]+273</f>
        <v>793</v>
      </c>
      <c r="D99">
        <f>10000/Table1[Temp K]</f>
        <v>12.610340479192939</v>
      </c>
      <c r="E99" s="3">
        <v>6.6399999999999999E-8</v>
      </c>
      <c r="F99" s="16">
        <f>LN(Table1[[#This Row],[Bi Flux]])</f>
        <v>-16.527568780464023</v>
      </c>
      <c r="G99" s="16"/>
      <c r="H99" s="16"/>
    </row>
    <row r="100" spans="1:17" hidden="1" x14ac:dyDescent="0.25">
      <c r="A100" s="7">
        <v>43182</v>
      </c>
      <c r="B100">
        <v>519</v>
      </c>
      <c r="C100">
        <f>Table1[T Cell]+273</f>
        <v>792</v>
      </c>
      <c r="D100">
        <f>10000/Table1[Temp K]</f>
        <v>12.626262626262626</v>
      </c>
      <c r="E100" s="3">
        <v>6.5699999999999999E-8</v>
      </c>
      <c r="F100" s="16">
        <f>LN(Table1[[#This Row],[Bi Flux]])</f>
        <v>-16.538166911455846</v>
      </c>
      <c r="G100" s="16"/>
      <c r="H100" s="16"/>
    </row>
    <row r="101" spans="1:17" hidden="1" x14ac:dyDescent="0.25">
      <c r="A101" s="7"/>
      <c r="B101">
        <v>517</v>
      </c>
      <c r="C101">
        <f>Table1[T Cell]+273</f>
        <v>790</v>
      </c>
      <c r="D101">
        <f>10000/Table1[Temp K]</f>
        <v>12.658227848101266</v>
      </c>
      <c r="E101" s="3">
        <v>6.0899999999999996E-8</v>
      </c>
      <c r="F101" s="16">
        <f>LN(Table1[[#This Row],[Bi Flux]])</f>
        <v>-16.61403266223056</v>
      </c>
      <c r="G101" s="16"/>
      <c r="H101" s="16"/>
    </row>
    <row r="102" spans="1:17" hidden="1" x14ac:dyDescent="0.25">
      <c r="A102" s="7">
        <v>43189</v>
      </c>
      <c r="B102">
        <v>517</v>
      </c>
      <c r="C102">
        <f>Table1[T Cell]+273</f>
        <v>790</v>
      </c>
      <c r="D102">
        <f>10000/Table1[Temp K]</f>
        <v>12.658227848101266</v>
      </c>
      <c r="E102" s="3">
        <v>5.9800000000000006E-8</v>
      </c>
      <c r="F102" s="16">
        <f>LN(Table1[[#This Row],[Bi Flux]])</f>
        <v>-16.632260175989824</v>
      </c>
      <c r="G102" s="16"/>
      <c r="H102" s="16"/>
    </row>
    <row r="103" spans="1:17" hidden="1" x14ac:dyDescent="0.25">
      <c r="A103" s="7">
        <v>43194</v>
      </c>
      <c r="B103">
        <v>517</v>
      </c>
      <c r="C103">
        <f>Table1[T Cell]+273</f>
        <v>790</v>
      </c>
      <c r="D103">
        <f>10000/Table1[Temp K]</f>
        <v>12.658227848101266</v>
      </c>
      <c r="E103" s="3">
        <v>5.9800000000000006E-8</v>
      </c>
      <c r="F103" s="16">
        <f>LN(Table1[[#This Row],[Bi Flux]])</f>
        <v>-16.632260175989824</v>
      </c>
      <c r="G103" s="16"/>
      <c r="H103" s="16"/>
    </row>
    <row r="104" spans="1:17" hidden="1" x14ac:dyDescent="0.25">
      <c r="A104" s="7">
        <v>43217</v>
      </c>
      <c r="B104">
        <v>517</v>
      </c>
      <c r="C104">
        <f>Table1[T Cell]+273</f>
        <v>790</v>
      </c>
      <c r="D104">
        <f>10000/Table1[Temp K]</f>
        <v>12.658227848101266</v>
      </c>
      <c r="E104" s="3">
        <v>5.983E-8</v>
      </c>
      <c r="F104" s="16">
        <f>LN(Table1[[#This Row],[Bi Flux]])</f>
        <v>-16.631758629544471</v>
      </c>
      <c r="G104" s="16"/>
      <c r="H104" s="16"/>
    </row>
    <row r="105" spans="1:17" hidden="1" x14ac:dyDescent="0.25">
      <c r="A105" s="7">
        <v>43220</v>
      </c>
      <c r="B105">
        <v>517</v>
      </c>
      <c r="C105">
        <f>Table1[T Cell]+273</f>
        <v>790</v>
      </c>
      <c r="D105">
        <f>10000/Table1[Temp K]</f>
        <v>12.658227848101266</v>
      </c>
      <c r="E105" s="3">
        <v>6.0199999999999996E-8</v>
      </c>
      <c r="F105" s="16">
        <f>LN(Table1[[#This Row],[Bi Flux]])</f>
        <v>-16.625593484631636</v>
      </c>
      <c r="G105" s="16"/>
      <c r="H105" s="16"/>
    </row>
    <row r="106" spans="1:17" hidden="1" x14ac:dyDescent="0.25">
      <c r="A106" s="7"/>
      <c r="B106">
        <v>495</v>
      </c>
      <c r="C106">
        <f>Table1[T Cell]+273</f>
        <v>768</v>
      </c>
      <c r="D106">
        <f>10000/Table1[Temp K]</f>
        <v>13.020833333333334</v>
      </c>
      <c r="E106" s="3">
        <v>2.7199999999999999E-8</v>
      </c>
      <c r="F106" s="16">
        <f>LN(Table1[[#This Row],[Bi Flux]])</f>
        <v>-17.42004886364446</v>
      </c>
      <c r="G106" s="16"/>
      <c r="H106" s="16"/>
    </row>
    <row r="107" spans="1:17" hidden="1" x14ac:dyDescent="0.25">
      <c r="A107" s="7">
        <v>43223</v>
      </c>
      <c r="B107">
        <v>517</v>
      </c>
      <c r="C107">
        <f>Table1[T Cell]+273</f>
        <v>790</v>
      </c>
      <c r="D107">
        <f>10000/Table1[Temp K]</f>
        <v>12.658227848101266</v>
      </c>
      <c r="E107" s="3">
        <v>6.0899999999999996E-8</v>
      </c>
      <c r="F107" s="16">
        <f>LN(Table1[[#This Row],[Bi Flux]])</f>
        <v>-16.61403266223056</v>
      </c>
      <c r="G107" s="16"/>
      <c r="H107" s="16"/>
    </row>
    <row r="108" spans="1:17" hidden="1" x14ac:dyDescent="0.25">
      <c r="A108" s="7"/>
      <c r="B108">
        <v>520</v>
      </c>
      <c r="C108">
        <f>Table1[T Cell]+273</f>
        <v>793</v>
      </c>
      <c r="D108">
        <f>10000/Table1[Temp K]</f>
        <v>12.610340479192939</v>
      </c>
      <c r="E108" s="3">
        <v>6.6399999999999999E-8</v>
      </c>
      <c r="F108" s="16">
        <f>LN(Table1[[#This Row],[Bi Flux]])</f>
        <v>-16.527568780464023</v>
      </c>
      <c r="G108" s="16"/>
      <c r="H108" s="16"/>
    </row>
    <row r="109" spans="1:17" hidden="1" x14ac:dyDescent="0.25">
      <c r="A109" s="7">
        <v>43350</v>
      </c>
      <c r="B109">
        <v>500</v>
      </c>
      <c r="C109">
        <f>Table1[T Cell]+273</f>
        <v>773</v>
      </c>
      <c r="D109">
        <f>10000/Table1[Temp K]</f>
        <v>12.936610608020699</v>
      </c>
      <c r="E109" s="3">
        <v>3.6699999999999998E-8</v>
      </c>
      <c r="F109" s="16">
        <f>LN(Table1[[#This Row],[Bi Flux]])</f>
        <v>-17.120489081885886</v>
      </c>
      <c r="G109" s="16"/>
      <c r="H109" s="16"/>
      <c r="I109" t="s">
        <v>75</v>
      </c>
      <c r="L109" s="12" t="s">
        <v>10</v>
      </c>
      <c r="M109" s="12"/>
      <c r="N109" s="12" t="s">
        <v>7</v>
      </c>
      <c r="O109" s="12" t="s">
        <v>12</v>
      </c>
      <c r="P109" s="12" t="s">
        <v>86</v>
      </c>
      <c r="Q109" s="12" t="s">
        <v>87</v>
      </c>
    </row>
    <row r="110" spans="1:17" hidden="1" x14ac:dyDescent="0.25">
      <c r="A110" s="7"/>
      <c r="B110">
        <v>510</v>
      </c>
      <c r="C110">
        <f>Table1[T Cell]+273</f>
        <v>783</v>
      </c>
      <c r="D110">
        <f>10000/Table1[Temp K]</f>
        <v>12.771392081736909</v>
      </c>
      <c r="E110" s="3">
        <v>6.3199999999999997E-8</v>
      </c>
      <c r="F110" s="16">
        <f>LN(Table1[[#This Row],[Bi Flux]])</f>
        <v>-16.5769615357936</v>
      </c>
      <c r="G110" s="16"/>
      <c r="H110" s="16"/>
      <c r="I110" t="s">
        <v>77</v>
      </c>
      <c r="K110" s="6"/>
      <c r="L110" s="15">
        <v>532</v>
      </c>
      <c r="M110" s="22">
        <f>10000/(L110+273)</f>
        <v>12.422360248447205</v>
      </c>
      <c r="N110" s="3">
        <f>-2.1849*M110+11.684</f>
        <v>-15.457614906832299</v>
      </c>
      <c r="O110" s="3">
        <f>EXP(N110)</f>
        <v>1.9357226980673798E-7</v>
      </c>
      <c r="P110" s="3">
        <v>3.1899999999999998E-7</v>
      </c>
      <c r="Q110" s="22">
        <f>O110/P110</f>
        <v>0.60680962321861442</v>
      </c>
    </row>
    <row r="111" spans="1:17" hidden="1" x14ac:dyDescent="0.25">
      <c r="A111" s="7"/>
      <c r="B111">
        <v>490</v>
      </c>
      <c r="C111">
        <f>Table1[T Cell]+273</f>
        <v>763</v>
      </c>
      <c r="D111">
        <f>10000/Table1[Temp K]</f>
        <v>13.106159895150721</v>
      </c>
      <c r="E111" s="3">
        <v>2.4599999999999999E-8</v>
      </c>
      <c r="F111" s="16">
        <f>LN(Table1[[#This Row],[Bi Flux]])</f>
        <v>-17.520519394008094</v>
      </c>
      <c r="G111" s="16"/>
      <c r="H111" s="16"/>
      <c r="L111" s="15"/>
      <c r="M111" s="22"/>
      <c r="N111" s="3"/>
      <c r="O111" s="3"/>
      <c r="P111" s="3"/>
      <c r="Q111" s="22"/>
    </row>
    <row r="112" spans="1:17" hidden="1" x14ac:dyDescent="0.25">
      <c r="A112" s="25" t="s">
        <v>82</v>
      </c>
      <c r="B112">
        <v>517</v>
      </c>
      <c r="C112">
        <f>Table1[T Cell]+273</f>
        <v>790</v>
      </c>
      <c r="D112">
        <f>10000/Table1[Temp K]</f>
        <v>12.658227848101266</v>
      </c>
      <c r="E112" s="3">
        <v>1.2599999999999999E-7</v>
      </c>
      <c r="F112" s="16">
        <f>LN(Table1[[#This Row],[Bi Flux]])</f>
        <v>-15.886983929994933</v>
      </c>
      <c r="G112" s="16"/>
      <c r="H112" s="16"/>
    </row>
    <row r="113" spans="1:8" hidden="1" x14ac:dyDescent="0.25">
      <c r="A113" s="7"/>
      <c r="B113">
        <v>512</v>
      </c>
      <c r="C113">
        <f>Table1[T Cell]+273</f>
        <v>785</v>
      </c>
      <c r="D113">
        <f>10000/Table1[Temp K]</f>
        <v>12.738853503184714</v>
      </c>
      <c r="E113" s="3">
        <v>1.0700000000000001E-7</v>
      </c>
      <c r="F113" s="16">
        <f>LN(Table1[[#This Row],[Bi Flux]])</f>
        <v>-16.050437002484504</v>
      </c>
      <c r="G113" s="16"/>
      <c r="H113" s="16"/>
    </row>
    <row r="114" spans="1:8" hidden="1" x14ac:dyDescent="0.25">
      <c r="A114" s="7"/>
      <c r="B114">
        <v>510</v>
      </c>
      <c r="C114">
        <f>Table1[T Cell]+273</f>
        <v>783</v>
      </c>
      <c r="D114">
        <f>10000/Table1[Temp K]</f>
        <v>12.771392081736909</v>
      </c>
      <c r="E114" s="3">
        <v>1.01E-7</v>
      </c>
      <c r="F114" s="16">
        <f>LN(Table1[[#This Row],[Bi Flux]])</f>
        <v>-16.108145320105152</v>
      </c>
      <c r="G114" s="16"/>
      <c r="H114" s="16"/>
    </row>
    <row r="115" spans="1:8" hidden="1" x14ac:dyDescent="0.25">
      <c r="A115" s="7"/>
      <c r="B115">
        <v>507</v>
      </c>
      <c r="C115">
        <f>Table1[T Cell]+273</f>
        <v>780</v>
      </c>
      <c r="D115">
        <f>10000/Table1[Temp K]</f>
        <v>12.820512820512821</v>
      </c>
      <c r="E115" s="3">
        <v>9.0400000000000002E-8</v>
      </c>
      <c r="F115" s="16">
        <f>LN(Table1[[#This Row],[Bi Flux]])</f>
        <v>-16.219021569548282</v>
      </c>
      <c r="G115" s="16"/>
      <c r="H115" s="16"/>
    </row>
    <row r="116" spans="1:8" hidden="1" x14ac:dyDescent="0.25">
      <c r="A116" s="7"/>
      <c r="B116">
        <v>508</v>
      </c>
      <c r="C116">
        <f>Table1[T Cell]+273</f>
        <v>781</v>
      </c>
      <c r="D116">
        <f>10000/Table1[Temp K]</f>
        <v>12.804097311139564</v>
      </c>
      <c r="E116" s="3">
        <v>9.3299999999999995E-8</v>
      </c>
      <c r="F116" s="16">
        <f>LN(Table1[[#This Row],[Bi Flux]])</f>
        <v>-16.187445729093113</v>
      </c>
      <c r="G116" s="16"/>
      <c r="H116" s="16"/>
    </row>
    <row r="117" spans="1:8" hidden="1" x14ac:dyDescent="0.25">
      <c r="A117" s="7">
        <v>43355</v>
      </c>
      <c r="B117">
        <v>517</v>
      </c>
      <c r="C117">
        <f>Table1[T Cell]+273</f>
        <v>790</v>
      </c>
      <c r="D117">
        <f>10000/Table1[Temp K]</f>
        <v>12.658227848101266</v>
      </c>
      <c r="E117" s="3">
        <v>1.2200000000000001E-7</v>
      </c>
      <c r="F117" s="16">
        <f>LN(Table1[[#This Row],[Bi Flux]])</f>
        <v>-15.919244792213155</v>
      </c>
      <c r="G117" s="16"/>
      <c r="H117" s="16"/>
    </row>
    <row r="118" spans="1:8" hidden="1" x14ac:dyDescent="0.25">
      <c r="A118" s="7"/>
      <c r="B118">
        <v>510</v>
      </c>
      <c r="C118">
        <f>Table1[T Cell]+273</f>
        <v>783</v>
      </c>
      <c r="D118">
        <f>10000/Table1[Temp K]</f>
        <v>12.771392081736909</v>
      </c>
      <c r="E118" s="3">
        <v>9.6999999999999995E-8</v>
      </c>
      <c r="F118" s="16">
        <f>LN(Table1[[#This Row],[Bi Flux]])</f>
        <v>-16.148554858443028</v>
      </c>
      <c r="G118" s="16"/>
      <c r="H118" s="16"/>
    </row>
    <row r="119" spans="1:8" hidden="1" x14ac:dyDescent="0.25">
      <c r="A119" s="7"/>
      <c r="B119">
        <v>484</v>
      </c>
      <c r="C119">
        <f>Table1[T Cell]+273</f>
        <v>757</v>
      </c>
      <c r="D119">
        <f>10000/Table1[Temp K]</f>
        <v>13.21003963011889</v>
      </c>
      <c r="E119" s="3">
        <v>3.6300000000000001E-8</v>
      </c>
      <c r="F119" s="16">
        <f>LN(Table1[[#This Row],[Bi Flux]])</f>
        <v>-17.131448095675605</v>
      </c>
      <c r="G119" s="16"/>
      <c r="H119" s="16"/>
    </row>
    <row r="120" spans="1:8" hidden="1" x14ac:dyDescent="0.25">
      <c r="A120" s="7">
        <v>43360</v>
      </c>
      <c r="B120">
        <v>515</v>
      </c>
      <c r="C120">
        <f>Table1[T Cell]+273</f>
        <v>788</v>
      </c>
      <c r="D120">
        <f>10000/Table1[Temp K]</f>
        <v>12.690355329949238</v>
      </c>
      <c r="E120" s="3">
        <v>1.1899999999999999E-7</v>
      </c>
      <c r="F120" s="16">
        <f>LN(Table1[[#This Row],[Bi Flux]])</f>
        <v>-15.944142343834882</v>
      </c>
      <c r="G120" s="16"/>
      <c r="H120" s="16"/>
    </row>
    <row r="121" spans="1:8" hidden="1" x14ac:dyDescent="0.25">
      <c r="A121" s="7"/>
      <c r="B121">
        <v>513</v>
      </c>
      <c r="C121">
        <f>Table1[T Cell]+273</f>
        <v>786</v>
      </c>
      <c r="D121">
        <f>10000/Table1[Temp K]</f>
        <v>12.72264631043257</v>
      </c>
      <c r="E121" s="3">
        <v>1.11E-7</v>
      </c>
      <c r="F121" s="16">
        <f>LN(Table1[[#This Row],[Bi Flux]])</f>
        <v>-16.013735635634077</v>
      </c>
      <c r="G121" s="16"/>
      <c r="H121" s="16"/>
    </row>
    <row r="122" spans="1:8" hidden="1" x14ac:dyDescent="0.25">
      <c r="A122" s="7">
        <v>43361</v>
      </c>
      <c r="B122">
        <v>518</v>
      </c>
      <c r="C122">
        <f>Table1[T Cell]+273</f>
        <v>791</v>
      </c>
      <c r="D122">
        <f>10000/Table1[Temp K]</f>
        <v>12.642225031605562</v>
      </c>
      <c r="E122" s="3">
        <v>1.3199999999999999E-7</v>
      </c>
      <c r="F122" s="16">
        <f>LN(Table1[[#This Row],[Bi Flux]])</f>
        <v>-15.84046391436004</v>
      </c>
      <c r="G122" s="16"/>
      <c r="H122" s="16"/>
    </row>
    <row r="123" spans="1:8" hidden="1" x14ac:dyDescent="0.25">
      <c r="A123" s="7"/>
      <c r="B123">
        <v>515</v>
      </c>
      <c r="C123">
        <f>Table1[T Cell]+273</f>
        <v>788</v>
      </c>
      <c r="D123">
        <f>10000/Table1[Temp K]</f>
        <v>12.690355329949238</v>
      </c>
      <c r="E123" s="3">
        <v>1.1899999999999999E-7</v>
      </c>
      <c r="F123" s="16">
        <f>LN(Table1[[#This Row],[Bi Flux]])</f>
        <v>-15.944142343834882</v>
      </c>
      <c r="G123" s="16"/>
      <c r="H123" s="16"/>
    </row>
    <row r="124" spans="1:8" hidden="1" x14ac:dyDescent="0.25">
      <c r="A124" s="7">
        <v>43367</v>
      </c>
      <c r="B124">
        <v>518</v>
      </c>
      <c r="C124">
        <f>Table1[T Cell]+273</f>
        <v>791</v>
      </c>
      <c r="D124">
        <f>10000/Table1[Temp K]</f>
        <v>12.642225031605562</v>
      </c>
      <c r="E124" s="3">
        <v>1.3199999999999999E-7</v>
      </c>
      <c r="F124" s="16">
        <f>LN(Table1[[#This Row],[Bi Flux]])</f>
        <v>-15.84046391436004</v>
      </c>
      <c r="G124" s="16"/>
      <c r="H124" s="16"/>
    </row>
    <row r="125" spans="1:8" hidden="1" x14ac:dyDescent="0.25">
      <c r="A125" s="7"/>
      <c r="B125">
        <v>492</v>
      </c>
      <c r="C125">
        <f>Table1[T Cell]+273</f>
        <v>765</v>
      </c>
      <c r="D125">
        <f>10000/Table1[Temp K]</f>
        <v>13.071895424836601</v>
      </c>
      <c r="E125" s="3">
        <v>5.1100000000000001E-8</v>
      </c>
      <c r="F125" s="16">
        <f>LN(Table1[[#This Row],[Bi Flux]])</f>
        <v>-16.789481339736753</v>
      </c>
      <c r="G125" s="16"/>
      <c r="H125" s="16"/>
    </row>
    <row r="126" spans="1:8" hidden="1" x14ac:dyDescent="0.25">
      <c r="A126" s="7">
        <v>43383</v>
      </c>
      <c r="B126">
        <v>510</v>
      </c>
      <c r="C126">
        <f>Table1[T Cell]+273</f>
        <v>783</v>
      </c>
      <c r="D126">
        <f>10000/Table1[Temp K]</f>
        <v>12.771392081736909</v>
      </c>
      <c r="E126" s="3">
        <v>9.8700000000000004E-8</v>
      </c>
      <c r="F126" s="16">
        <f>LN(Table1[[#This Row],[Bi Flux]])</f>
        <v>-16.131180890506975</v>
      </c>
      <c r="G126" s="16"/>
      <c r="H126" s="16"/>
    </row>
    <row r="127" spans="1:8" hidden="1" x14ac:dyDescent="0.25">
      <c r="A127" s="7"/>
      <c r="B127">
        <v>491</v>
      </c>
      <c r="C127">
        <f>Table1[T Cell]+273</f>
        <v>764</v>
      </c>
      <c r="D127">
        <f>10000/Table1[Temp K]</f>
        <v>13.089005235602095</v>
      </c>
      <c r="E127" s="3">
        <v>4.9100000000000003E-8</v>
      </c>
      <c r="F127" s="16">
        <f>LN(Table1[[#This Row],[Bi Flux]])</f>
        <v>-16.829406802145936</v>
      </c>
      <c r="G127" s="16"/>
      <c r="H127" s="16"/>
    </row>
    <row r="128" spans="1:8" hidden="1" x14ac:dyDescent="0.25">
      <c r="A128" s="7">
        <v>43388</v>
      </c>
      <c r="B128">
        <v>520</v>
      </c>
      <c r="C128">
        <f>Table1[T Cell]+273</f>
        <v>793</v>
      </c>
      <c r="D128">
        <f>10000/Table1[Temp K]</f>
        <v>12.610340479192939</v>
      </c>
      <c r="E128" s="3">
        <v>1.4000000000000001E-7</v>
      </c>
      <c r="F128" s="16">
        <f>LN(Table1[[#This Row],[Bi Flux]])</f>
        <v>-15.781623414337107</v>
      </c>
      <c r="G128" s="16"/>
      <c r="H128" s="16"/>
    </row>
    <row r="129" spans="1:12" hidden="1" x14ac:dyDescent="0.25">
      <c r="A129" s="7">
        <v>43396</v>
      </c>
      <c r="B129">
        <v>525</v>
      </c>
      <c r="C129">
        <f>Table1[T Cell]+273</f>
        <v>798</v>
      </c>
      <c r="D129">
        <f>10000/Table1[Temp K]</f>
        <v>12.531328320802006</v>
      </c>
      <c r="E129" s="3">
        <v>1.67E-7</v>
      </c>
      <c r="F129" s="16">
        <f>LN(Table1[[#This Row],[Bi Flux]])</f>
        <v>-15.605272024529656</v>
      </c>
      <c r="G129" s="16"/>
      <c r="H129" s="16"/>
    </row>
    <row r="130" spans="1:12" hidden="1" x14ac:dyDescent="0.25">
      <c r="A130" s="7"/>
      <c r="B130">
        <v>523</v>
      </c>
      <c r="C130">
        <f>Table1[T Cell]+273</f>
        <v>796</v>
      </c>
      <c r="D130">
        <f>10000/Table1[Temp K]</f>
        <v>12.562814070351759</v>
      </c>
      <c r="E130" s="3">
        <v>1.5599999999999999E-7</v>
      </c>
      <c r="F130" s="16">
        <f>LN(Table1[[#This Row],[Bi Flux]])</f>
        <v>-15.673409829696874</v>
      </c>
      <c r="G130" s="16"/>
      <c r="H130" s="16"/>
      <c r="L130">
        <f>22.9*0.22</f>
        <v>5.0379999999999994</v>
      </c>
    </row>
    <row r="131" spans="1:12" hidden="1" x14ac:dyDescent="0.25">
      <c r="A131" s="7">
        <v>43402</v>
      </c>
      <c r="B131">
        <v>523</v>
      </c>
      <c r="C131">
        <f>Table1[T Cell]+273</f>
        <v>796</v>
      </c>
      <c r="D131">
        <f>10000/Table1[Temp K]</f>
        <v>12.562814070351759</v>
      </c>
      <c r="E131" s="3">
        <v>1.54E-7</v>
      </c>
      <c r="F131" s="16">
        <f>LN(Table1[[#This Row],[Bi Flux]])</f>
        <v>-15.686313234532783</v>
      </c>
      <c r="G131" s="16"/>
      <c r="H131" s="16"/>
    </row>
    <row r="132" spans="1:12" hidden="1" x14ac:dyDescent="0.25">
      <c r="A132" s="7"/>
      <c r="B132">
        <v>518</v>
      </c>
      <c r="C132">
        <f>Table1[T Cell]+273</f>
        <v>791</v>
      </c>
      <c r="D132">
        <f>10000/Table1[Temp K]</f>
        <v>12.642225031605562</v>
      </c>
      <c r="E132" s="3">
        <v>1.31E-7</v>
      </c>
      <c r="F132" s="16">
        <f>LN(Table1[[#This Row],[Bi Flux]])</f>
        <v>-15.848068513745259</v>
      </c>
      <c r="G132" s="16"/>
      <c r="H132" s="16"/>
    </row>
    <row r="133" spans="1:12" hidden="1" x14ac:dyDescent="0.25">
      <c r="A133" s="7">
        <v>43415</v>
      </c>
      <c r="B133">
        <v>523</v>
      </c>
      <c r="C133">
        <f>Table1[T Cell]+273</f>
        <v>796</v>
      </c>
      <c r="D133">
        <f>10000/Table1[Temp K]</f>
        <v>12.562814070351759</v>
      </c>
      <c r="E133" s="3">
        <v>1.5300000000000001E-7</v>
      </c>
      <c r="F133" s="16">
        <f>LN(Table1[[#This Row],[Bi Flux]])</f>
        <v>-15.692827915553975</v>
      </c>
      <c r="G133" s="16"/>
      <c r="H133" s="16"/>
    </row>
    <row r="134" spans="1:12" hidden="1" x14ac:dyDescent="0.25">
      <c r="A134" s="7">
        <v>43418</v>
      </c>
      <c r="B134">
        <v>523</v>
      </c>
      <c r="C134">
        <f>Table1[T Cell]+273</f>
        <v>796</v>
      </c>
      <c r="D134">
        <f>10000/Table1[Temp K]</f>
        <v>12.562814070351759</v>
      </c>
      <c r="E134" s="3">
        <v>1.5300000000000001E-7</v>
      </c>
      <c r="F134" s="16">
        <f>LN(Table1[[#This Row],[Bi Flux]])</f>
        <v>-15.692827915553975</v>
      </c>
      <c r="G134" s="16"/>
      <c r="H134" s="16"/>
    </row>
    <row r="135" spans="1:12" hidden="1" x14ac:dyDescent="0.25">
      <c r="A135" s="7">
        <v>43431</v>
      </c>
      <c r="B135">
        <v>520</v>
      </c>
      <c r="C135">
        <f>Table1[T Cell]+273</f>
        <v>793</v>
      </c>
      <c r="D135">
        <f>10000/Table1[Temp K]</f>
        <v>12.610340479192939</v>
      </c>
      <c r="E135" s="3">
        <v>1.37E-7</v>
      </c>
      <c r="F135" s="16">
        <f>LN(Table1[[#This Row],[Bi Flux]])</f>
        <v>-15.803284911118286</v>
      </c>
      <c r="G135" s="16"/>
      <c r="H135" s="16"/>
    </row>
    <row r="136" spans="1:12" hidden="1" x14ac:dyDescent="0.25">
      <c r="A136" s="7">
        <v>43433</v>
      </c>
      <c r="B136">
        <v>518</v>
      </c>
      <c r="C136">
        <f>Table1[T Cell]+273</f>
        <v>791</v>
      </c>
      <c r="D136">
        <f>10000/Table1[Temp K]</f>
        <v>12.642225031605562</v>
      </c>
      <c r="E136" s="3">
        <v>1.2800000000000001E-7</v>
      </c>
      <c r="F136" s="16">
        <f>LN(Table1[[#This Row],[Bi Flux]])</f>
        <v>-15.871235573026794</v>
      </c>
      <c r="G136" s="16"/>
      <c r="H136" s="16"/>
    </row>
    <row r="137" spans="1:12" hidden="1" x14ac:dyDescent="0.25">
      <c r="A137" s="7">
        <v>43438</v>
      </c>
      <c r="B137">
        <v>518</v>
      </c>
      <c r="C137">
        <f>Table1[T Cell]+273</f>
        <v>791</v>
      </c>
      <c r="D137">
        <f>10000/Table1[Temp K]</f>
        <v>12.642225031605562</v>
      </c>
      <c r="E137" s="3">
        <v>1.2800000000000001E-7</v>
      </c>
      <c r="F137" s="16">
        <f>LN(Table1[[#This Row],[Bi Flux]])</f>
        <v>-15.871235573026794</v>
      </c>
      <c r="G137" s="16"/>
      <c r="H137" s="16"/>
    </row>
    <row r="138" spans="1:12" hidden="1" x14ac:dyDescent="0.25">
      <c r="A138" s="7"/>
      <c r="B138">
        <v>501</v>
      </c>
      <c r="C138">
        <f>Table1[T Cell]+273</f>
        <v>774</v>
      </c>
      <c r="D138">
        <f>10000/Table1[Temp K]</f>
        <v>12.919896640826874</v>
      </c>
      <c r="E138" s="3">
        <v>6.9399999999999999E-8</v>
      </c>
      <c r="F138" s="16">
        <f>LN(Table1[[#This Row],[Bi Flux]])</f>
        <v>-16.483378969433652</v>
      </c>
      <c r="G138" s="16"/>
      <c r="H138" s="16"/>
    </row>
    <row r="139" spans="1:12" hidden="1" x14ac:dyDescent="0.25">
      <c r="A139" s="7">
        <v>43446</v>
      </c>
      <c r="B139">
        <v>491</v>
      </c>
      <c r="C139">
        <f>Table1[T Cell]+273</f>
        <v>764</v>
      </c>
      <c r="D139">
        <f>10000/Table1[Temp K]</f>
        <v>13.089005235602095</v>
      </c>
      <c r="E139" s="3">
        <v>4.8599999999999998E-8</v>
      </c>
      <c r="F139" s="16">
        <f>LN(Table1[[#This Row],[Bi Flux]])</f>
        <v>-16.839642306039963</v>
      </c>
      <c r="G139" s="16"/>
      <c r="H139" s="16"/>
    </row>
    <row r="140" spans="1:12" hidden="1" x14ac:dyDescent="0.25">
      <c r="A140" s="7" t="s">
        <v>92</v>
      </c>
      <c r="B140">
        <v>518</v>
      </c>
      <c r="C140">
        <f>Table1[T Cell]+273</f>
        <v>791</v>
      </c>
      <c r="D140">
        <f>10000/Table1[Temp K]</f>
        <v>12.642225031605562</v>
      </c>
      <c r="E140" s="3">
        <v>1.29E-7</v>
      </c>
      <c r="F140" s="16">
        <f>LN(Table1[[#This Row],[Bi Flux]])</f>
        <v>-15.863453432584739</v>
      </c>
      <c r="G140" s="16"/>
      <c r="H140" s="16"/>
    </row>
    <row r="141" spans="1:12" hidden="1" x14ac:dyDescent="0.25">
      <c r="A141" s="7">
        <v>43495</v>
      </c>
      <c r="B141">
        <v>508</v>
      </c>
      <c r="C141">
        <f>Table1[T Cell]+273</f>
        <v>781</v>
      </c>
      <c r="D141">
        <f>10000/Table1[Temp K]</f>
        <v>12.804097311139564</v>
      </c>
      <c r="E141" s="3">
        <v>8.9400000000000006E-8</v>
      </c>
      <c r="F141" s="16">
        <f>LN(Table1[[#This Row],[Bi Flux]])</f>
        <v>-16.230145154766941</v>
      </c>
      <c r="G141" s="16"/>
      <c r="H141" s="16"/>
    </row>
    <row r="142" spans="1:12" hidden="1" x14ac:dyDescent="0.25">
      <c r="A142" s="7"/>
      <c r="B142">
        <v>520</v>
      </c>
      <c r="C142">
        <f>Table1[T Cell]+273</f>
        <v>793</v>
      </c>
      <c r="D142">
        <f>10000/Table1[Temp K]</f>
        <v>12.610340479192939</v>
      </c>
      <c r="E142" s="3">
        <v>1.37E-7</v>
      </c>
      <c r="F142" s="16">
        <f>LN(Table1[[#This Row],[Bi Flux]])</f>
        <v>-15.803284911118286</v>
      </c>
      <c r="G142" s="16"/>
      <c r="H142" s="16"/>
    </row>
    <row r="143" spans="1:12" hidden="1" x14ac:dyDescent="0.25">
      <c r="A143" s="7">
        <v>43503</v>
      </c>
      <c r="B143">
        <v>491</v>
      </c>
      <c r="C143">
        <f>Table1[T Cell]+273</f>
        <v>764</v>
      </c>
      <c r="D143">
        <f>10000/Table1[Temp K]</f>
        <v>13.089005235602095</v>
      </c>
      <c r="E143" s="3">
        <v>4.6900000000000003E-8</v>
      </c>
      <c r="F143" s="16">
        <f>LN(Table1[[#This Row],[Bi Flux]])</f>
        <v>-16.875248161494177</v>
      </c>
      <c r="G143" s="16"/>
      <c r="H143" s="16"/>
    </row>
    <row r="144" spans="1:12" hidden="1" x14ac:dyDescent="0.25">
      <c r="A144" s="7">
        <v>43539</v>
      </c>
      <c r="B144">
        <v>517</v>
      </c>
      <c r="C144">
        <f>Table1[T Cell]+273</f>
        <v>790</v>
      </c>
      <c r="D144">
        <f>10000/Table1[Temp K]</f>
        <v>12.658227848101266</v>
      </c>
      <c r="E144" s="3">
        <v>1.23E-7</v>
      </c>
      <c r="F144" s="16">
        <f>LN(Table1[[#This Row],[Bi Flux]])</f>
        <v>-15.911081481573994</v>
      </c>
      <c r="G144" s="16"/>
      <c r="H144" s="16"/>
    </row>
    <row r="145" spans="1:8" hidden="1" x14ac:dyDescent="0.25">
      <c r="A145" s="7"/>
      <c r="B145">
        <v>516</v>
      </c>
      <c r="C145">
        <f>Table1[T Cell]+273</f>
        <v>789</v>
      </c>
      <c r="D145">
        <f>10000/Table1[Temp K]</f>
        <v>12.67427122940431</v>
      </c>
      <c r="E145" s="3">
        <v>1.1899999999999999E-7</v>
      </c>
      <c r="F145" s="16">
        <f>LN(Table1[[#This Row],[Bi Flux]])</f>
        <v>-15.944142343834882</v>
      </c>
      <c r="G145" s="16"/>
      <c r="H145" s="16"/>
    </row>
    <row r="146" spans="1:8" hidden="1" x14ac:dyDescent="0.25">
      <c r="A146" s="7">
        <v>43546</v>
      </c>
      <c r="B146">
        <v>481</v>
      </c>
      <c r="C146">
        <f>Table1[T Cell]+273</f>
        <v>754</v>
      </c>
      <c r="D146">
        <f>10000/Table1[Temp K]</f>
        <v>13.262599469496021</v>
      </c>
      <c r="E146" s="3">
        <v>3.4E-8</v>
      </c>
      <c r="F146" s="16">
        <f>LN(Table1[[#This Row],[Bi Flux]])</f>
        <v>-17.196905312330248</v>
      </c>
      <c r="G146" s="16"/>
      <c r="H146" s="16"/>
    </row>
    <row r="147" spans="1:8" hidden="1" x14ac:dyDescent="0.25">
      <c r="A147" s="7"/>
      <c r="B147">
        <v>520</v>
      </c>
      <c r="C147">
        <f>Table1[T Cell]+273</f>
        <v>793</v>
      </c>
      <c r="D147">
        <f>10000/Table1[Temp K]</f>
        <v>12.610340479192939</v>
      </c>
      <c r="E147" s="3">
        <v>1.36E-7</v>
      </c>
      <c r="F147" s="16">
        <f>LN(Table1[[#This Row],[Bi Flux]])</f>
        <v>-15.810610951210359</v>
      </c>
      <c r="G147" s="16"/>
      <c r="H147" s="16"/>
    </row>
    <row r="148" spans="1:8" hidden="1" x14ac:dyDescent="0.25">
      <c r="A148" s="7"/>
      <c r="B148">
        <v>505</v>
      </c>
      <c r="C148">
        <f>Table1[T Cell]+273</f>
        <v>778</v>
      </c>
      <c r="D148">
        <f>10000/Table1[Temp K]</f>
        <v>12.853470437017995</v>
      </c>
      <c r="E148" s="3">
        <v>8.05E-8</v>
      </c>
      <c r="F148" s="16">
        <f>LN(Table1[[#This Row],[Bi Flux]])</f>
        <v>-16.335008652521893</v>
      </c>
      <c r="G148" s="16"/>
      <c r="H148" s="16"/>
    </row>
    <row r="149" spans="1:8" hidden="1" x14ac:dyDescent="0.25">
      <c r="A149" s="7">
        <v>43571</v>
      </c>
      <c r="B149">
        <v>510</v>
      </c>
      <c r="C149">
        <f>Table1[T Cell]+273</f>
        <v>783</v>
      </c>
      <c r="D149">
        <f>10000/Table1[Temp K]</f>
        <v>12.771392081736909</v>
      </c>
      <c r="E149" s="3">
        <v>9.53E-8</v>
      </c>
      <c r="F149" s="16">
        <f>LN(Table1[[#This Row],[Bi Flux]])</f>
        <v>-16.166236026286256</v>
      </c>
      <c r="G149" s="16"/>
      <c r="H149" s="16"/>
    </row>
    <row r="150" spans="1:8" hidden="1" x14ac:dyDescent="0.25">
      <c r="A150" s="7">
        <v>43572</v>
      </c>
      <c r="B150">
        <v>480</v>
      </c>
      <c r="C150">
        <f>Table1[T Cell]+273</f>
        <v>753</v>
      </c>
      <c r="D150">
        <f>10000/Table1[Temp K]</f>
        <v>13.280212483399735</v>
      </c>
      <c r="E150" s="3">
        <v>3.0899999999999999E-8</v>
      </c>
      <c r="F150" s="16">
        <f>LN(Table1[[#This Row],[Bi Flux]])</f>
        <v>-17.29250965304271</v>
      </c>
      <c r="G150" s="16"/>
      <c r="H150" s="16"/>
    </row>
    <row r="151" spans="1:8" hidden="1" x14ac:dyDescent="0.25">
      <c r="A151" s="7">
        <v>43575</v>
      </c>
      <c r="B151">
        <v>490</v>
      </c>
      <c r="C151">
        <f>Table1[T Cell]+273</f>
        <v>763</v>
      </c>
      <c r="D151">
        <f>10000/Table1[Temp K]</f>
        <v>13.106159895150721</v>
      </c>
      <c r="E151" s="3">
        <v>4.4999999999999999E-8</v>
      </c>
      <c r="F151" s="16">
        <f>LN(Table1[[#This Row],[Bi Flux]])</f>
        <v>-16.916603347176093</v>
      </c>
      <c r="G151" s="16"/>
      <c r="H151" s="16"/>
    </row>
    <row r="152" spans="1:8" hidden="1" x14ac:dyDescent="0.25">
      <c r="A152" s="7"/>
      <c r="B152">
        <v>500</v>
      </c>
      <c r="C152">
        <f>Table1[T Cell]+273</f>
        <v>773</v>
      </c>
      <c r="D152">
        <f>10000/Table1[Temp K]</f>
        <v>12.936610608020699</v>
      </c>
      <c r="E152" s="21">
        <v>6.7000000000000004E-8</v>
      </c>
      <c r="F152" s="16">
        <f>LN(Table1[[#This Row],[Bi Flux]])</f>
        <v>-16.518573217555446</v>
      </c>
      <c r="G152" s="16"/>
      <c r="H152" s="16"/>
    </row>
    <row r="153" spans="1:8" hidden="1" x14ac:dyDescent="0.25">
      <c r="A153" s="7">
        <v>43579</v>
      </c>
      <c r="B153">
        <v>525</v>
      </c>
      <c r="C153">
        <f>Table1[T Cell]+273</f>
        <v>798</v>
      </c>
      <c r="D153">
        <f>10000/Table1[Temp K]</f>
        <v>12.531328320802006</v>
      </c>
      <c r="E153" s="3">
        <v>1.2800000000000001E-7</v>
      </c>
      <c r="F153" s="16">
        <f>LN(Table1[[#This Row],[Bi Flux]])</f>
        <v>-15.871235573026794</v>
      </c>
      <c r="G153" s="16"/>
      <c r="H153" s="16"/>
    </row>
    <row r="154" spans="1:8" hidden="1" x14ac:dyDescent="0.25">
      <c r="A154" s="7"/>
      <c r="B154">
        <v>530</v>
      </c>
      <c r="C154">
        <f>Table1[T Cell]+273</f>
        <v>803</v>
      </c>
      <c r="D154">
        <f>10000/Table1[Temp K]</f>
        <v>12.453300124533001</v>
      </c>
      <c r="E154" s="3">
        <v>1.49E-7</v>
      </c>
      <c r="F154" s="16">
        <f>LN(Table1[[#This Row],[Bi Flux]])</f>
        <v>-15.719319531000952</v>
      </c>
      <c r="G154" s="16"/>
      <c r="H154" s="16"/>
    </row>
    <row r="155" spans="1:8" hidden="1" x14ac:dyDescent="0.25">
      <c r="A155" s="7"/>
      <c r="B155">
        <v>535</v>
      </c>
      <c r="C155">
        <f>Table1[T Cell]+273</f>
        <v>808</v>
      </c>
      <c r="D155">
        <f>10000/Table1[Temp K]</f>
        <v>12.376237623762377</v>
      </c>
      <c r="E155" s="3">
        <v>1.72E-7</v>
      </c>
      <c r="F155" s="16">
        <f>LN(Table1[[#This Row],[Bi Flux]])</f>
        <v>-15.575771360132958</v>
      </c>
      <c r="G155" s="16"/>
      <c r="H155" s="16"/>
    </row>
    <row r="156" spans="1:8" hidden="1" x14ac:dyDescent="0.25">
      <c r="A156" s="7"/>
      <c r="B156">
        <v>534</v>
      </c>
      <c r="C156">
        <f>Table1[T Cell]+273</f>
        <v>807</v>
      </c>
      <c r="D156">
        <f>10000/Table1[Temp K]</f>
        <v>12.391573729863692</v>
      </c>
      <c r="E156" s="3">
        <v>1.68E-7</v>
      </c>
      <c r="F156" s="16">
        <f>LN(Table1[[#This Row],[Bi Flux]])</f>
        <v>-15.599301857543152</v>
      </c>
      <c r="G156" s="16"/>
      <c r="H156" s="16"/>
    </row>
    <row r="157" spans="1:8" hidden="1" x14ac:dyDescent="0.25">
      <c r="A157" s="7">
        <v>43592</v>
      </c>
      <c r="B157">
        <v>481</v>
      </c>
      <c r="C157">
        <f>Table1[T Cell]+273</f>
        <v>754</v>
      </c>
      <c r="D157">
        <f>10000/Table1[Temp K]</f>
        <v>13.262599469496021</v>
      </c>
      <c r="E157" s="3">
        <v>3.1E-8</v>
      </c>
      <c r="F157" s="16">
        <f>LN(Table1[[#This Row],[Bi Flux]])</f>
        <v>-17.289278632461265</v>
      </c>
      <c r="G157" s="16"/>
      <c r="H157" s="16"/>
    </row>
    <row r="158" spans="1:8" hidden="1" x14ac:dyDescent="0.25">
      <c r="A158" s="7">
        <v>43600</v>
      </c>
      <c r="B158">
        <v>481</v>
      </c>
      <c r="C158">
        <f>Table1[T Cell]+273</f>
        <v>754</v>
      </c>
      <c r="D158">
        <f>10000/Table1[Temp K]</f>
        <v>13.262599469496021</v>
      </c>
      <c r="E158" s="3">
        <v>3.2000000000000002E-8</v>
      </c>
      <c r="F158" s="16">
        <f>LN(Table1[[#This Row],[Bi Flux]])</f>
        <v>-17.257529934146685</v>
      </c>
      <c r="G158" s="16"/>
      <c r="H158" s="16"/>
    </row>
    <row r="159" spans="1:8" hidden="1" x14ac:dyDescent="0.25">
      <c r="A159" s="7">
        <v>43601</v>
      </c>
      <c r="B159">
        <v>481</v>
      </c>
      <c r="C159">
        <f>Table1[T Cell]+273</f>
        <v>754</v>
      </c>
      <c r="D159">
        <f>10000/Table1[Temp K]</f>
        <v>13.262599469496021</v>
      </c>
      <c r="E159" s="3">
        <v>3.18E-8</v>
      </c>
      <c r="F159" s="16">
        <f>LN(Table1[[#This Row],[Bi Flux]])</f>
        <v>-17.263799547160279</v>
      </c>
      <c r="G159" s="16"/>
      <c r="H159" s="16"/>
    </row>
    <row r="160" spans="1:8" hidden="1" x14ac:dyDescent="0.25">
      <c r="A160" s="7">
        <v>43606</v>
      </c>
      <c r="B160">
        <v>525</v>
      </c>
      <c r="C160">
        <f>Table1[T Cell]+273</f>
        <v>798</v>
      </c>
      <c r="D160">
        <f>10000/Table1[Temp K]</f>
        <v>12.531328320802006</v>
      </c>
      <c r="E160" s="3">
        <v>1.5599999999999999E-7</v>
      </c>
      <c r="F160" s="16">
        <f>LN(Table1[[#This Row],[Bi Flux]])</f>
        <v>-15.673409829696874</v>
      </c>
      <c r="G160" s="16"/>
      <c r="H160" s="16"/>
    </row>
    <row r="161" spans="1:17" hidden="1" x14ac:dyDescent="0.25">
      <c r="A161" s="7">
        <v>43613</v>
      </c>
      <c r="B161">
        <v>525</v>
      </c>
      <c r="C161">
        <f>Table1[T Cell]+273</f>
        <v>798</v>
      </c>
      <c r="D161">
        <f>10000/Table1[Temp K]</f>
        <v>12.531328320802006</v>
      </c>
      <c r="E161" s="3">
        <v>1.5200000000000001E-7</v>
      </c>
      <c r="F161" s="16">
        <f>LN(Table1[[#This Row],[Bi Flux]])</f>
        <v>-15.699385316100134</v>
      </c>
      <c r="G161" s="16"/>
      <c r="H161" s="16"/>
    </row>
    <row r="162" spans="1:17" hidden="1" x14ac:dyDescent="0.25">
      <c r="A162" s="7">
        <v>43614</v>
      </c>
      <c r="B162">
        <v>481</v>
      </c>
      <c r="C162">
        <f>Table1[T Cell]+273</f>
        <v>754</v>
      </c>
      <c r="D162">
        <f>10000/Table1[Temp K]</f>
        <v>13.262599469496021</v>
      </c>
      <c r="E162" s="3">
        <v>3.1030000000000001E-8</v>
      </c>
      <c r="F162" s="16">
        <f>LN(Table1[[#This Row],[Bi Flux]])</f>
        <v>-17.288311358486123</v>
      </c>
      <c r="G162" s="16"/>
      <c r="H162" s="16"/>
    </row>
    <row r="163" spans="1:17" hidden="1" x14ac:dyDescent="0.25">
      <c r="A163" s="7">
        <v>43615</v>
      </c>
      <c r="B163">
        <v>490</v>
      </c>
      <c r="C163">
        <f>Table1[T Cell]+273</f>
        <v>763</v>
      </c>
      <c r="D163">
        <f>10000/Table1[Temp K]</f>
        <v>13.106159895150721</v>
      </c>
      <c r="E163" s="3">
        <v>4.36E-8</v>
      </c>
      <c r="F163" s="16">
        <f>LN(Table1[[#This Row],[Bi Flux]])</f>
        <v>-16.948208686591421</v>
      </c>
      <c r="G163" s="16"/>
      <c r="H163" s="16"/>
    </row>
    <row r="164" spans="1:17" hidden="1" x14ac:dyDescent="0.25">
      <c r="A164" s="7">
        <v>43634</v>
      </c>
      <c r="B164">
        <v>490</v>
      </c>
      <c r="C164">
        <f>Table1[T Cell]+273</f>
        <v>763</v>
      </c>
      <c r="D164">
        <f>10000/Table1[Temp K]</f>
        <v>13.106159895150721</v>
      </c>
      <c r="E164" s="3">
        <v>4.3499999999999999E-8</v>
      </c>
      <c r="F164" s="16">
        <f>LN(Table1[[#This Row],[Bi Flux]])</f>
        <v>-16.950504898851772</v>
      </c>
      <c r="G164" s="16"/>
      <c r="H164" s="16"/>
      <c r="K164" s="38"/>
      <c r="L164" s="39"/>
      <c r="M164" s="39"/>
      <c r="N164" s="39"/>
      <c r="O164" s="40"/>
      <c r="P164" s="41"/>
      <c r="Q164" s="42"/>
    </row>
    <row r="165" spans="1:17" hidden="1" x14ac:dyDescent="0.25">
      <c r="A165" s="7">
        <v>43636</v>
      </c>
      <c r="B165">
        <v>480</v>
      </c>
      <c r="C165">
        <f>Table1[T Cell]+273</f>
        <v>753</v>
      </c>
      <c r="D165">
        <f>10000/Table1[Temp K]</f>
        <v>13.280212483399735</v>
      </c>
      <c r="E165" s="3">
        <v>2.9900000000000003E-8</v>
      </c>
      <c r="F165" s="16">
        <f>LN(Table1[[#This Row],[Bi Flux]])</f>
        <v>-17.325407356549771</v>
      </c>
      <c r="G165" s="16"/>
      <c r="H165" s="16"/>
      <c r="K165" s="38"/>
      <c r="L165" s="39"/>
      <c r="M165" s="39"/>
      <c r="N165" s="39"/>
      <c r="O165" s="40"/>
      <c r="P165" s="41"/>
      <c r="Q165" s="42"/>
    </row>
    <row r="166" spans="1:17" hidden="1" x14ac:dyDescent="0.25">
      <c r="A166" s="7">
        <v>43642</v>
      </c>
      <c r="B166">
        <v>510</v>
      </c>
      <c r="C166">
        <f>Table1[T Cell]+273</f>
        <v>783</v>
      </c>
      <c r="D166">
        <f>10000/Table1[Temp K]</f>
        <v>12.771392081736909</v>
      </c>
      <c r="E166" s="3">
        <v>8.9999999999999999E-8</v>
      </c>
      <c r="F166" s="16">
        <f>LN(Table1[[#This Row],[Bi Flux]])</f>
        <v>-16.223456166616145</v>
      </c>
      <c r="G166" s="16"/>
      <c r="H166" s="16"/>
      <c r="K166" s="38"/>
      <c r="L166" s="39"/>
      <c r="M166" s="39"/>
      <c r="N166" s="39"/>
      <c r="O166" s="40"/>
      <c r="P166" s="41"/>
      <c r="Q166" s="42"/>
    </row>
    <row r="167" spans="1:17" hidden="1" x14ac:dyDescent="0.25">
      <c r="A167" s="7"/>
      <c r="B167">
        <v>500</v>
      </c>
      <c r="C167">
        <f>Table1[T Cell]+273</f>
        <v>773</v>
      </c>
      <c r="D167">
        <f>10000/Table1[Temp K]</f>
        <v>12.936610608020699</v>
      </c>
      <c r="E167" s="3">
        <v>6.2499999999999997E-8</v>
      </c>
      <c r="F167" s="16">
        <f>LN(Table1[[#This Row],[Bi Flux]])</f>
        <v>-16.588099280204055</v>
      </c>
      <c r="G167" s="16"/>
      <c r="H167" s="16"/>
      <c r="K167" s="38"/>
      <c r="L167" s="39"/>
      <c r="M167" s="39"/>
      <c r="N167" s="39"/>
      <c r="O167" s="40"/>
      <c r="P167" s="41"/>
      <c r="Q167" s="42"/>
    </row>
    <row r="168" spans="1:17" hidden="1" x14ac:dyDescent="0.25">
      <c r="A168" s="7">
        <v>43658</v>
      </c>
      <c r="B168">
        <v>482</v>
      </c>
      <c r="C168">
        <f>Table1[T Cell]+273</f>
        <v>755</v>
      </c>
      <c r="D168">
        <f>10000/Table1[Temp K]</f>
        <v>13.245033112582782</v>
      </c>
      <c r="E168" s="3">
        <v>3.1400000000000003E-8</v>
      </c>
      <c r="F168" s="16">
        <f>LN(Table1[[#This Row],[Bi Flux]])</f>
        <v>-17.276457944032202</v>
      </c>
      <c r="G168" s="16"/>
      <c r="H168" s="16"/>
      <c r="K168" s="38"/>
      <c r="L168" s="39"/>
      <c r="M168" s="39"/>
      <c r="N168" s="39"/>
      <c r="O168" s="40"/>
      <c r="P168" s="41"/>
      <c r="Q168" s="42"/>
    </row>
    <row r="169" spans="1:17" hidden="1" x14ac:dyDescent="0.25">
      <c r="A169" s="7">
        <v>43663</v>
      </c>
      <c r="B169">
        <v>527</v>
      </c>
      <c r="C169">
        <f>Table1[T Cell]+273</f>
        <v>800</v>
      </c>
      <c r="D169">
        <f>10000/Table1[Temp K]</f>
        <v>12.5</v>
      </c>
      <c r="E169" s="3">
        <v>1.6500000000000001E-7</v>
      </c>
      <c r="F169" s="16">
        <f>LN(Table1[[#This Row],[Bi Flux]])</f>
        <v>-15.617320363045831</v>
      </c>
      <c r="G169" s="16"/>
      <c r="H169" s="16"/>
      <c r="K169" s="38"/>
      <c r="L169" s="39"/>
      <c r="M169" s="39"/>
      <c r="N169" s="39"/>
      <c r="O169" s="40"/>
      <c r="P169" s="41"/>
      <c r="Q169" s="42"/>
    </row>
    <row r="170" spans="1:17" hidden="1" x14ac:dyDescent="0.25">
      <c r="A170" s="7"/>
      <c r="B170">
        <v>525</v>
      </c>
      <c r="C170">
        <f>Table1[T Cell]+273</f>
        <v>798</v>
      </c>
      <c r="D170">
        <f>10000/Table1[Temp K]</f>
        <v>12.531328320802006</v>
      </c>
      <c r="E170" s="3">
        <v>1.55E-7</v>
      </c>
      <c r="F170" s="16">
        <f>LN(Table1[[#This Row],[Bi Flux]])</f>
        <v>-15.679840720027164</v>
      </c>
      <c r="G170" s="16"/>
      <c r="H170" s="16"/>
      <c r="K170" s="38"/>
      <c r="L170" s="39"/>
      <c r="M170" s="39"/>
      <c r="N170" s="39"/>
      <c r="O170" s="40"/>
      <c r="P170" s="41"/>
      <c r="Q170" s="42"/>
    </row>
    <row r="171" spans="1:17" hidden="1" x14ac:dyDescent="0.25">
      <c r="A171" s="7">
        <v>43664</v>
      </c>
      <c r="B171">
        <v>497</v>
      </c>
      <c r="C171">
        <f>Table1[T Cell]+273</f>
        <v>770</v>
      </c>
      <c r="D171">
        <f>10000/Table1[Temp K]</f>
        <v>12.987012987012987</v>
      </c>
      <c r="E171" s="3">
        <v>5.5299999999999999E-8</v>
      </c>
      <c r="F171" s="16">
        <f>LN(Table1[[#This Row],[Bi Flux]])</f>
        <v>-16.710492928418123</v>
      </c>
      <c r="G171" s="16"/>
      <c r="H171" s="16"/>
    </row>
    <row r="172" spans="1:17" hidden="1" x14ac:dyDescent="0.25">
      <c r="A172" s="7"/>
      <c r="B172">
        <v>488</v>
      </c>
      <c r="C172">
        <f>Table1[T Cell]+273</f>
        <v>761</v>
      </c>
      <c r="D172">
        <f>10000/Table1[Temp K]</f>
        <v>13.140604467805518</v>
      </c>
      <c r="E172" s="3">
        <v>3.9500000000000003E-8</v>
      </c>
      <c r="F172" s="16">
        <f>LN(Table1[[#This Row],[Bi Flux]])</f>
        <v>-17.046965165039335</v>
      </c>
      <c r="G172" s="16"/>
      <c r="H172" s="16"/>
    </row>
    <row r="173" spans="1:17" hidden="1" x14ac:dyDescent="0.25">
      <c r="A173" s="7">
        <v>43669</v>
      </c>
      <c r="B173">
        <v>543</v>
      </c>
      <c r="C173">
        <f>Table1[T Cell]+273</f>
        <v>816</v>
      </c>
      <c r="D173">
        <f>10000/Table1[Temp K]</f>
        <v>12.254901960784315</v>
      </c>
      <c r="E173" s="3">
        <v>2.7500000000000001E-7</v>
      </c>
      <c r="F173" s="16">
        <f>LN(Table1[[#This Row],[Bi Flux]])</f>
        <v>-15.106494739279841</v>
      </c>
      <c r="G173" s="16"/>
      <c r="H173" s="16"/>
    </row>
    <row r="174" spans="1:17" hidden="1" x14ac:dyDescent="0.25">
      <c r="A174" s="7"/>
      <c r="B174">
        <v>481</v>
      </c>
      <c r="C174">
        <f>Table1[T Cell]+273</f>
        <v>754</v>
      </c>
      <c r="D174">
        <f>10000/Table1[Temp K]</f>
        <v>13.262599469496021</v>
      </c>
      <c r="E174" s="3">
        <v>3.0199999999999999E-8</v>
      </c>
      <c r="F174" s="16">
        <f>LN(Table1[[#This Row],[Bi Flux]])</f>
        <v>-17.315423912565588</v>
      </c>
      <c r="G174" s="16"/>
      <c r="H174" s="16"/>
    </row>
    <row r="175" spans="1:17" hidden="1" x14ac:dyDescent="0.25">
      <c r="A175" s="7">
        <v>43675</v>
      </c>
      <c r="B175">
        <v>497</v>
      </c>
      <c r="C175">
        <f>Table1[T Cell]+273</f>
        <v>770</v>
      </c>
      <c r="D175">
        <f>10000/Table1[Temp K]</f>
        <v>12.987012987012987</v>
      </c>
      <c r="E175" s="3">
        <v>5.5299999999999999E-8</v>
      </c>
      <c r="F175" s="16">
        <f>LN(Table1[[#This Row],[Bi Flux]])</f>
        <v>-16.710492928418123</v>
      </c>
      <c r="G175" s="16"/>
      <c r="H175" s="16"/>
    </row>
    <row r="176" spans="1:17" hidden="1" x14ac:dyDescent="0.25">
      <c r="A176" s="7">
        <v>43676</v>
      </c>
      <c r="B176">
        <v>499</v>
      </c>
      <c r="C176">
        <f>Table1[T Cell]+273</f>
        <v>772</v>
      </c>
      <c r="D176">
        <f>10000/Table1[Temp K]</f>
        <v>12.953367875647668</v>
      </c>
      <c r="E176" s="3">
        <v>5.9599999999999998E-8</v>
      </c>
      <c r="F176" s="16">
        <f>LN(Table1[[#This Row],[Bi Flux]])</f>
        <v>-16.635610262875108</v>
      </c>
      <c r="G176" s="16"/>
      <c r="H176" s="16"/>
    </row>
    <row r="177" spans="1:14" hidden="1" x14ac:dyDescent="0.25">
      <c r="A177" s="7"/>
      <c r="B177">
        <v>504</v>
      </c>
      <c r="C177">
        <f>Table1[T Cell]+273</f>
        <v>777</v>
      </c>
      <c r="D177">
        <f>10000/Table1[Temp K]</f>
        <v>12.87001287001287</v>
      </c>
      <c r="E177" s="3">
        <v>7.1799999999999994E-8</v>
      </c>
      <c r="F177" s="16">
        <f>LN(Table1[[#This Row],[Bi Flux]])</f>
        <v>-16.449381360892232</v>
      </c>
      <c r="G177" s="16"/>
      <c r="H177" s="16"/>
    </row>
    <row r="178" spans="1:14" hidden="1" x14ac:dyDescent="0.25">
      <c r="A178" s="7">
        <v>43683</v>
      </c>
      <c r="B178">
        <v>517</v>
      </c>
      <c r="C178">
        <f>Table1[T Cell]+273</f>
        <v>790</v>
      </c>
      <c r="D178">
        <f>10000/Table1[Temp K]</f>
        <v>12.658227848101266</v>
      </c>
      <c r="E178" s="3">
        <v>1.1300000000000001E-7</v>
      </c>
      <c r="F178" s="16">
        <f>LN(Table1[[#This Row],[Bi Flux]])</f>
        <v>-15.995878018234071</v>
      </c>
      <c r="G178" s="16"/>
      <c r="H178" s="16"/>
      <c r="N178">
        <v>508</v>
      </c>
    </row>
    <row r="179" spans="1:14" hidden="1" x14ac:dyDescent="0.25">
      <c r="A179" s="7"/>
      <c r="B179">
        <v>512</v>
      </c>
      <c r="C179">
        <f>Table1[T Cell]+273</f>
        <v>785</v>
      </c>
      <c r="D179">
        <f>10000/Table1[Temp K]</f>
        <v>12.738853503184714</v>
      </c>
      <c r="E179" s="3">
        <v>9.5799999999999998E-8</v>
      </c>
      <c r="F179" s="16">
        <f>LN(Table1[[#This Row],[Bi Flux]])</f>
        <v>-16.161003151969595</v>
      </c>
      <c r="G179" s="16"/>
      <c r="H179" s="16"/>
      <c r="K179" s="3">
        <v>5.4592E-11</v>
      </c>
      <c r="L179" s="3">
        <v>-5.2100000000000003E-8</v>
      </c>
      <c r="M179" s="3">
        <v>1.2462E-5</v>
      </c>
      <c r="N179" s="3">
        <f>K179*N178^2+L179*N178+M179</f>
        <v>8.3429887999998217E-8</v>
      </c>
    </row>
    <row r="180" spans="1:14" hidden="1" x14ac:dyDescent="0.25">
      <c r="A180" s="7"/>
      <c r="B180">
        <v>503</v>
      </c>
      <c r="C180">
        <f>Table1[T Cell]+273</f>
        <v>776</v>
      </c>
      <c r="D180">
        <f>10000/Table1[Temp K]</f>
        <v>12.88659793814433</v>
      </c>
      <c r="E180" s="3">
        <v>6.9199999999999998E-8</v>
      </c>
      <c r="F180" s="16">
        <f>LN(Table1[[#This Row],[Bi Flux]])</f>
        <v>-16.486264974322786</v>
      </c>
      <c r="G180" s="16"/>
      <c r="H180" s="16"/>
    </row>
    <row r="181" spans="1:14" hidden="1" x14ac:dyDescent="0.25">
      <c r="A181" s="7"/>
      <c r="B181">
        <v>497</v>
      </c>
      <c r="C181">
        <f>Table1[T Cell]+273</f>
        <v>770</v>
      </c>
      <c r="D181">
        <f>10000/Table1[Temp K]</f>
        <v>12.987012987012987</v>
      </c>
      <c r="E181" s="3">
        <v>5.5600000000000002E-8</v>
      </c>
      <c r="F181" s="16">
        <f>LN(Table1[[#This Row],[Bi Flux]])</f>
        <v>-16.705082635689873</v>
      </c>
      <c r="G181" s="16"/>
      <c r="H181" s="16"/>
    </row>
    <row r="182" spans="1:14" hidden="1" x14ac:dyDescent="0.25">
      <c r="A182" s="7">
        <v>43684</v>
      </c>
      <c r="B182">
        <v>512</v>
      </c>
      <c r="C182">
        <f>Table1[T Cell]+273</f>
        <v>785</v>
      </c>
      <c r="D182">
        <f>10000/Table1[Temp K]</f>
        <v>12.738853503184714</v>
      </c>
      <c r="E182" s="3">
        <v>9.4899999999999996E-8</v>
      </c>
      <c r="F182" s="16">
        <f>LN(Table1[[#This Row],[Bi Flux]])</f>
        <v>-16.170442131330528</v>
      </c>
      <c r="G182" s="16"/>
      <c r="H182" s="16"/>
    </row>
    <row r="183" spans="1:14" hidden="1" x14ac:dyDescent="0.25">
      <c r="A183" s="7">
        <v>43691</v>
      </c>
      <c r="B183">
        <v>531</v>
      </c>
      <c r="C183">
        <f>Table1[T Cell]+273</f>
        <v>804</v>
      </c>
      <c r="D183">
        <f>10000/Table1[Temp K]</f>
        <v>12.437810945273633</v>
      </c>
      <c r="E183" s="3">
        <v>1.8799999999999999E-7</v>
      </c>
      <c r="F183" s="16">
        <f>LN(Table1[[#This Row],[Bi Flux]])</f>
        <v>-15.486823874116462</v>
      </c>
      <c r="G183" s="16"/>
      <c r="H183" s="16"/>
    </row>
    <row r="184" spans="1:14" hidden="1" x14ac:dyDescent="0.25">
      <c r="A184" s="7">
        <v>43697</v>
      </c>
      <c r="B184">
        <v>481</v>
      </c>
      <c r="C184">
        <f>Table1[T Cell]+273</f>
        <v>754</v>
      </c>
      <c r="D184">
        <f>10000/Table1[Temp K]</f>
        <v>13.262599469496021</v>
      </c>
      <c r="E184" s="3">
        <v>3.0099999999999998E-8</v>
      </c>
      <c r="F184" s="16">
        <f>LN(Table1[[#This Row],[Bi Flux]])</f>
        <v>-17.31874066519158</v>
      </c>
      <c r="G184" s="16"/>
      <c r="H184" s="16"/>
    </row>
    <row r="185" spans="1:14" hidden="1" x14ac:dyDescent="0.25">
      <c r="A185" s="7">
        <v>43698</v>
      </c>
      <c r="B185">
        <v>503</v>
      </c>
      <c r="C185">
        <f>Table1[T Cell]+273</f>
        <v>776</v>
      </c>
      <c r="D185">
        <f>10000/Table1[Temp K]</f>
        <v>12.88659793814433</v>
      </c>
      <c r="E185" s="3">
        <v>6.9499999999999994E-8</v>
      </c>
      <c r="F185" s="16">
        <f>LN(Table1[[#This Row],[Bi Flux]])</f>
        <v>-16.481939084375664</v>
      </c>
      <c r="G185" s="16"/>
      <c r="H185" s="16"/>
    </row>
    <row r="186" spans="1:14" hidden="1" x14ac:dyDescent="0.25">
      <c r="A186" s="7"/>
      <c r="B186">
        <v>497</v>
      </c>
      <c r="C186">
        <f>Table1[T Cell]+273</f>
        <v>770</v>
      </c>
      <c r="D186">
        <f>10000/Table1[Temp K]</f>
        <v>12.987012987012987</v>
      </c>
      <c r="E186" s="3">
        <v>5.54E-8</v>
      </c>
      <c r="F186" s="16">
        <f>LN(Table1[[#This Row],[Bi Flux]])</f>
        <v>-16.708686243193174</v>
      </c>
      <c r="G186" s="16"/>
      <c r="H186" s="16"/>
    </row>
    <row r="187" spans="1:14" hidden="1" x14ac:dyDescent="0.25">
      <c r="A187" s="7">
        <v>43701</v>
      </c>
      <c r="B187">
        <v>503</v>
      </c>
      <c r="C187">
        <f>Table1[T Cell]+273</f>
        <v>776</v>
      </c>
      <c r="D187">
        <f>10000/Table1[Temp K]</f>
        <v>12.88659793814433</v>
      </c>
      <c r="E187" s="3">
        <v>6.8200000000000002E-8</v>
      </c>
      <c r="F187" s="16">
        <f>LN(Table1[[#This Row],[Bi Flux]])</f>
        <v>-16.500821272096996</v>
      </c>
      <c r="G187" s="16"/>
      <c r="H187" s="16"/>
    </row>
    <row r="188" spans="1:14" hidden="1" x14ac:dyDescent="0.25">
      <c r="A188" s="7">
        <v>43704</v>
      </c>
      <c r="B188">
        <v>503</v>
      </c>
      <c r="C188">
        <f>Table1[T Cell]+273</f>
        <v>776</v>
      </c>
      <c r="D188">
        <f>10000/Table1[Temp K]</f>
        <v>12.88659793814433</v>
      </c>
      <c r="E188" s="3">
        <v>6.8200000000000002E-8</v>
      </c>
      <c r="F188" s="16">
        <f>LN(Table1[[#This Row],[Bi Flux]])</f>
        <v>-16.500821272096996</v>
      </c>
      <c r="G188" s="16"/>
      <c r="H188" s="16"/>
    </row>
    <row r="189" spans="1:14" hidden="1" x14ac:dyDescent="0.25">
      <c r="A189" s="7">
        <v>43708</v>
      </c>
      <c r="B189">
        <v>508</v>
      </c>
      <c r="C189">
        <f>Table1[T Cell]+273</f>
        <v>781</v>
      </c>
      <c r="D189">
        <f>10000/Table1[Temp K]</f>
        <v>12.804097311139564</v>
      </c>
      <c r="E189" s="3">
        <v>8.1100000000000005E-8</v>
      </c>
      <c r="F189" s="16">
        <f>LN(Table1[[#This Row],[Bi Flux]])</f>
        <v>-16.327582875825044</v>
      </c>
      <c r="G189" s="16"/>
      <c r="H189" s="16"/>
    </row>
    <row r="190" spans="1:14" hidden="1" x14ac:dyDescent="0.25">
      <c r="A190" s="7"/>
      <c r="B190">
        <v>513</v>
      </c>
      <c r="C190">
        <f>Table1[T Cell]+273</f>
        <v>786</v>
      </c>
      <c r="D190">
        <f>10000/Table1[Temp K]</f>
        <v>12.72264631043257</v>
      </c>
      <c r="E190" s="3">
        <v>9.7199999999999997E-8</v>
      </c>
      <c r="F190" s="16">
        <f>LN(Table1[[#This Row],[Bi Flux]])</f>
        <v>-16.146495125480019</v>
      </c>
      <c r="G190" s="16"/>
      <c r="H190" s="16"/>
    </row>
    <row r="191" spans="1:14" hidden="1" x14ac:dyDescent="0.25">
      <c r="A191" s="7">
        <v>43715</v>
      </c>
      <c r="B191">
        <v>513</v>
      </c>
      <c r="C191">
        <f>Table1[T Cell]+273</f>
        <v>786</v>
      </c>
      <c r="D191">
        <f>10000/Table1[Temp K]</f>
        <v>12.72264631043257</v>
      </c>
      <c r="E191" s="3">
        <v>9.6900000000000001E-8</v>
      </c>
      <c r="F191" s="16">
        <f>LN(Table1[[#This Row],[Bi Flux]])</f>
        <v>-16.149586318049689</v>
      </c>
      <c r="G191" s="16"/>
      <c r="H191" s="16"/>
    </row>
    <row r="192" spans="1:14" hidden="1" x14ac:dyDescent="0.25">
      <c r="A192" s="7">
        <v>43722</v>
      </c>
      <c r="B192">
        <v>508</v>
      </c>
      <c r="C192">
        <f>Table1[T Cell]+273</f>
        <v>781</v>
      </c>
      <c r="D192">
        <f>10000/Table1[Temp K]</f>
        <v>12.804097311139564</v>
      </c>
      <c r="E192" s="3">
        <v>8.0599999999999994E-8</v>
      </c>
      <c r="F192" s="16">
        <f>LN(Table1[[#This Row],[Bi Flux]])</f>
        <v>-16.333767187433828</v>
      </c>
      <c r="G192" s="16"/>
      <c r="H192" s="16"/>
    </row>
    <row r="193" spans="1:18" x14ac:dyDescent="0.25">
      <c r="A193" s="7">
        <v>43802</v>
      </c>
      <c r="B193">
        <v>500</v>
      </c>
      <c r="C193">
        <f>Table1[T Cell]+273</f>
        <v>773</v>
      </c>
      <c r="D193">
        <f>10000/Table1[Temp K]</f>
        <v>12.936610608020699</v>
      </c>
      <c r="E193" s="3">
        <v>1.6099999999999999E-8</v>
      </c>
      <c r="F193" s="16">
        <f>LN(Table1[[#This Row],[Bi Flux]])</f>
        <v>-17.944446564955992</v>
      </c>
      <c r="G193" s="13"/>
      <c r="H193" s="16"/>
      <c r="I193" s="14" t="s">
        <v>120</v>
      </c>
      <c r="M193" s="12" t="s">
        <v>10</v>
      </c>
      <c r="N193" s="12"/>
      <c r="O193" s="12" t="s">
        <v>7</v>
      </c>
      <c r="P193" s="12" t="s">
        <v>12</v>
      </c>
      <c r="Q193" s="12" t="s">
        <v>86</v>
      </c>
      <c r="R193" s="12" t="s">
        <v>87</v>
      </c>
    </row>
    <row r="194" spans="1:18" s="14" customFormat="1" x14ac:dyDescent="0.25">
      <c r="A194" s="7">
        <v>43805</v>
      </c>
      <c r="B194">
        <v>540</v>
      </c>
      <c r="C194">
        <f>Table1[T Cell]+273</f>
        <v>813</v>
      </c>
      <c r="D194">
        <f>10000/Table1[Temp K]</f>
        <v>12.300123001230013</v>
      </c>
      <c r="E194" s="26">
        <v>6.1799999999999998E-8</v>
      </c>
      <c r="F194" s="16">
        <f>LN(Table1[[#This Row],[Bi Flux]])</f>
        <v>-16.599362472482767</v>
      </c>
      <c r="G194" s="13"/>
      <c r="H194" s="16"/>
      <c r="I194" s="14" t="s">
        <v>77</v>
      </c>
      <c r="M194" s="15">
        <v>568</v>
      </c>
      <c r="N194" s="22">
        <f>10000/(M194+273)</f>
        <v>11.890606420927467</v>
      </c>
      <c r="O194" s="3">
        <f>-2.7493*N194+16.38</f>
        <v>-16.310844233055885</v>
      </c>
      <c r="P194" s="3">
        <f>EXP(O194)</f>
        <v>8.246892897279746E-8</v>
      </c>
      <c r="Q194" s="3">
        <v>3.1399999999999998E-7</v>
      </c>
      <c r="R194" s="22">
        <f>P194/Q194</f>
        <v>0.26263990118725306</v>
      </c>
    </row>
    <row r="195" spans="1:18" x14ac:dyDescent="0.25">
      <c r="A195" s="7"/>
      <c r="B195">
        <v>550</v>
      </c>
      <c r="C195">
        <f>Table1[T Cell]+273</f>
        <v>823</v>
      </c>
      <c r="D195">
        <f>10000/Table1[Temp K]</f>
        <v>12.150668286755771</v>
      </c>
      <c r="E195" s="3">
        <v>8.72E-8</v>
      </c>
      <c r="F195" s="16">
        <f>LN(Table1[[#This Row],[Bi Flux]])</f>
        <v>-16.255061506031478</v>
      </c>
      <c r="G195" s="13"/>
      <c r="H195" s="16"/>
      <c r="P195" s="3">
        <v>7.9399999999999996E-8</v>
      </c>
      <c r="Q195" s="3">
        <v>3.1399999999999998E-7</v>
      </c>
      <c r="R195" s="22">
        <f>P195/Q195</f>
        <v>0.25286624203821656</v>
      </c>
    </row>
    <row r="196" spans="1:18" x14ac:dyDescent="0.25">
      <c r="A196" s="7"/>
      <c r="B196">
        <v>560</v>
      </c>
      <c r="C196">
        <f>Table1[T Cell]+273</f>
        <v>833</v>
      </c>
      <c r="D196">
        <f>10000/Table1[Temp K]</f>
        <v>12.004801920768307</v>
      </c>
      <c r="E196" s="3">
        <v>1.3799999999999999E-7</v>
      </c>
      <c r="F196" s="16">
        <f>LN(Table1[[#This Row],[Bi Flux]])</f>
        <v>-15.796012151789206</v>
      </c>
      <c r="G196" s="2">
        <f>Table1[[#This Row],[Bi Flux]]/0.00000034</f>
        <v>0.40588235294117647</v>
      </c>
      <c r="H196" s="2">
        <v>8.5999999999999993E-2</v>
      </c>
    </row>
    <row r="197" spans="1:18" x14ac:dyDescent="0.25">
      <c r="A197" s="7">
        <v>43809</v>
      </c>
      <c r="B197">
        <v>512</v>
      </c>
      <c r="C197">
        <f>Table1[T Cell]+273</f>
        <v>785</v>
      </c>
      <c r="D197">
        <f>10000/Table1[Temp K]</f>
        <v>12.738853503184714</v>
      </c>
      <c r="E197" s="3">
        <v>2.3099999999999998E-8</v>
      </c>
      <c r="F197" s="16">
        <f>LN(Table1[[#This Row],[Bi Flux]])</f>
        <v>-17.583433219418662</v>
      </c>
      <c r="G197" s="2">
        <f>Table1[[#This Row],[Bi Flux]]/0.00000034</f>
        <v>6.7941176470588241E-2</v>
      </c>
      <c r="H197" s="2">
        <v>1.4E-2</v>
      </c>
    </row>
    <row r="198" spans="1:18" x14ac:dyDescent="0.25">
      <c r="A198" s="7">
        <v>43812</v>
      </c>
      <c r="B198">
        <v>555</v>
      </c>
      <c r="C198">
        <f>Table1[T Cell]+273</f>
        <v>828</v>
      </c>
      <c r="D198">
        <f>10000/Table1[Temp K]</f>
        <v>12.077294685990339</v>
      </c>
      <c r="E198" s="3">
        <v>1.11E-7</v>
      </c>
      <c r="F198" s="16">
        <f>LN(Table1[[#This Row],[Bi Flux]])</f>
        <v>-16.013735635634077</v>
      </c>
      <c r="G198" s="16"/>
      <c r="H198" s="16"/>
    </row>
    <row r="199" spans="1:18" x14ac:dyDescent="0.25">
      <c r="A199" s="7"/>
      <c r="B199">
        <v>557</v>
      </c>
      <c r="C199">
        <f>Table1[T Cell]+273</f>
        <v>830</v>
      </c>
      <c r="D199">
        <f>10000/Table1[Temp K]</f>
        <v>12.048192771084338</v>
      </c>
      <c r="E199" s="3">
        <v>1.2100000000000001E-7</v>
      </c>
      <c r="F199" s="16">
        <f>LN(Table1[[#This Row],[Bi Flux]])</f>
        <v>-15.927475291349669</v>
      </c>
      <c r="G199" s="16"/>
      <c r="H199" s="16"/>
    </row>
    <row r="200" spans="1:18" x14ac:dyDescent="0.25">
      <c r="A200" s="7">
        <v>43815</v>
      </c>
      <c r="B200">
        <v>521</v>
      </c>
      <c r="C200">
        <f>Table1[T Cell]+273</f>
        <v>794</v>
      </c>
      <c r="D200">
        <f>10000/Table1[Temp K]</f>
        <v>12.594458438287154</v>
      </c>
      <c r="E200" s="3">
        <v>2.4299999999999999E-8</v>
      </c>
      <c r="F200" s="16">
        <f>LN(Table1[[#This Row],[Bi Flux]])</f>
        <v>-17.53278948659991</v>
      </c>
      <c r="G200" s="16"/>
      <c r="H200" s="16"/>
      <c r="I200" t="s">
        <v>131</v>
      </c>
    </row>
    <row r="201" spans="1:18" x14ac:dyDescent="0.25">
      <c r="A201" s="7"/>
      <c r="B201">
        <v>526</v>
      </c>
      <c r="C201">
        <f>Table1[T Cell]+273</f>
        <v>799</v>
      </c>
      <c r="D201">
        <f>10000/Table1[Temp K]</f>
        <v>12.515644555694617</v>
      </c>
      <c r="E201" s="3">
        <v>2.8900000000000001E-8</v>
      </c>
      <c r="F201" s="16">
        <f>LN(Table1[[#This Row],[Bi Flux]])</f>
        <v>-17.359424241828023</v>
      </c>
      <c r="G201" s="16"/>
      <c r="H201" s="16"/>
    </row>
    <row r="202" spans="1:18" x14ac:dyDescent="0.25">
      <c r="A202" s="7"/>
      <c r="B202">
        <v>528</v>
      </c>
      <c r="C202">
        <f>Table1[T Cell]+273</f>
        <v>801</v>
      </c>
      <c r="D202">
        <f>10000/Table1[Temp K]</f>
        <v>12.484394506866417</v>
      </c>
      <c r="E202" s="3">
        <v>3.1E-8</v>
      </c>
      <c r="F202" s="16">
        <f>LN(Table1[[#This Row],[Bi Flux]])</f>
        <v>-17.289278632461265</v>
      </c>
      <c r="G202" s="16"/>
      <c r="H202" s="16"/>
    </row>
    <row r="203" spans="1:18" x14ac:dyDescent="0.25">
      <c r="A203" s="7">
        <v>43817</v>
      </c>
      <c r="B203">
        <v>555</v>
      </c>
      <c r="C203">
        <f>Table1[T Cell]+273</f>
        <v>828</v>
      </c>
      <c r="D203">
        <f>10000/Table1[Temp K]</f>
        <v>12.077294685990339</v>
      </c>
      <c r="E203" s="3">
        <v>7.8300000000000006E-8</v>
      </c>
      <c r="F203" s="16">
        <f>LN(Table1[[#This Row],[Bi Flux]])</f>
        <v>-16.362718233949654</v>
      </c>
      <c r="G203" s="16"/>
      <c r="H203" s="16"/>
    </row>
    <row r="204" spans="1:18" x14ac:dyDescent="0.25">
      <c r="A204" s="7"/>
      <c r="B204">
        <v>564</v>
      </c>
      <c r="C204">
        <f>Table1[T Cell]+273</f>
        <v>837</v>
      </c>
      <c r="D204">
        <f>10000/Table1[Temp K]</f>
        <v>11.947431302270012</v>
      </c>
      <c r="E204" s="3">
        <v>1.05E-7</v>
      </c>
      <c r="F204" s="16">
        <f>LN(Table1[[#This Row],[Bi Flux]])</f>
        <v>-16.069305486788888</v>
      </c>
      <c r="G204" s="16"/>
      <c r="H204" s="16"/>
    </row>
    <row r="205" spans="1:18" x14ac:dyDescent="0.25">
      <c r="A205" s="7">
        <v>43844</v>
      </c>
      <c r="B205">
        <v>528</v>
      </c>
      <c r="C205">
        <f>Table1[T Cell]+273</f>
        <v>801</v>
      </c>
      <c r="D205">
        <f>10000/Table1[Temp K]</f>
        <v>12.484394506866417</v>
      </c>
      <c r="E205" s="3">
        <v>2.4E-8</v>
      </c>
      <c r="F205" s="16">
        <f>LN(Table1[[#This Row],[Bi Flux]])</f>
        <v>-17.545212006598465</v>
      </c>
      <c r="G205" s="16"/>
      <c r="H205" s="16"/>
    </row>
    <row r="206" spans="1:18" x14ac:dyDescent="0.25">
      <c r="A206" s="7"/>
      <c r="B206">
        <v>532</v>
      </c>
      <c r="C206">
        <f>Table1[T Cell]+273</f>
        <v>805</v>
      </c>
      <c r="D206">
        <f>10000/Table1[Temp K]</f>
        <v>12.422360248447205</v>
      </c>
      <c r="E206" s="3">
        <v>2.7899999999999998E-8</v>
      </c>
      <c r="F206" s="16">
        <f>LN(Table1[[#This Row],[Bi Flux]])</f>
        <v>-17.39463914811909</v>
      </c>
      <c r="G206" s="16"/>
      <c r="H206" s="16"/>
    </row>
    <row r="207" spans="1:18" x14ac:dyDescent="0.25">
      <c r="A207" s="7"/>
      <c r="B207">
        <v>535</v>
      </c>
      <c r="C207">
        <f>Table1[T Cell]+273</f>
        <v>808</v>
      </c>
      <c r="D207">
        <f>10000/Table1[Temp K]</f>
        <v>12.376237623762377</v>
      </c>
      <c r="E207" s="3">
        <v>3.1100000000000001E-8</v>
      </c>
      <c r="F207" s="16">
        <f>LN(Table1[[#This Row],[Bi Flux]])</f>
        <v>-17.286058017761224</v>
      </c>
      <c r="G207" s="16"/>
      <c r="H207" s="16"/>
    </row>
    <row r="208" spans="1:18" x14ac:dyDescent="0.25">
      <c r="A208" s="7">
        <v>43847</v>
      </c>
      <c r="B208">
        <v>530</v>
      </c>
      <c r="C208">
        <f>Table1[T Cell]+273</f>
        <v>803</v>
      </c>
      <c r="D208">
        <f>10000/Table1[Temp K]</f>
        <v>12.453300124533001</v>
      </c>
      <c r="E208" s="3">
        <v>2.6300000000000001E-8</v>
      </c>
      <c r="F208" s="16">
        <f>LN(Table1[[#This Row],[Bi Flux]])</f>
        <v>-17.453696897762693</v>
      </c>
      <c r="G208" s="16"/>
      <c r="H208" s="16"/>
    </row>
    <row r="209" spans="1:8" x14ac:dyDescent="0.25">
      <c r="A209" s="7"/>
      <c r="B209">
        <v>535</v>
      </c>
      <c r="C209">
        <f>Table1[T Cell]+273</f>
        <v>808</v>
      </c>
      <c r="D209">
        <f>10000/Table1[Temp K]</f>
        <v>12.376237623762377</v>
      </c>
      <c r="E209" s="3">
        <v>3.1400000000000003E-8</v>
      </c>
      <c r="F209" s="16">
        <f>LN(Table1[[#This Row],[Bi Flux]])</f>
        <v>-17.276457944032202</v>
      </c>
      <c r="G209" s="16"/>
      <c r="H209" s="16"/>
    </row>
    <row r="210" spans="1:8" x14ac:dyDescent="0.25">
      <c r="A210" s="7">
        <v>43850</v>
      </c>
      <c r="B210">
        <v>535</v>
      </c>
      <c r="C210">
        <f>Table1[T Cell]+273</f>
        <v>808</v>
      </c>
      <c r="D210">
        <f>10000/Table1[Temp K]</f>
        <v>12.376237623762377</v>
      </c>
      <c r="E210" s="3">
        <v>3.1400000000000003E-8</v>
      </c>
      <c r="F210" s="16">
        <f>LN(Table1[[#This Row],[Bi Flux]])</f>
        <v>-17.276457944032202</v>
      </c>
      <c r="G210" s="16">
        <v>0.10199999999999999</v>
      </c>
      <c r="H210" s="16">
        <v>0.02</v>
      </c>
    </row>
    <row r="211" spans="1:8" x14ac:dyDescent="0.25">
      <c r="A211" s="7" t="s">
        <v>132</v>
      </c>
      <c r="B211">
        <v>537</v>
      </c>
      <c r="C211">
        <f>Table1[T Cell]+273</f>
        <v>810</v>
      </c>
      <c r="D211">
        <f>10000/Table1[Temp K]</f>
        <v>12.345679012345679</v>
      </c>
      <c r="E211" s="3">
        <v>3.25E-8</v>
      </c>
      <c r="F211" s="16">
        <f>LN(Table1[[#This Row],[Bi Flux]])</f>
        <v>-17.242025747610718</v>
      </c>
      <c r="G211" s="16"/>
      <c r="H211" s="16"/>
    </row>
    <row r="212" spans="1:8" x14ac:dyDescent="0.25">
      <c r="A212" s="7"/>
      <c r="B212">
        <v>535</v>
      </c>
      <c r="C212">
        <f>Table1[T Cell]+273</f>
        <v>808</v>
      </c>
      <c r="D212">
        <f>10000/Table1[Temp K]</f>
        <v>12.376237623762377</v>
      </c>
      <c r="E212" s="3">
        <v>3.0199999999999999E-8</v>
      </c>
      <c r="F212" s="16">
        <f>LN(Table1[[#This Row],[Bi Flux]])</f>
        <v>-17.315423912565588</v>
      </c>
      <c r="G212" s="16"/>
      <c r="H212" s="16"/>
    </row>
    <row r="213" spans="1:8" x14ac:dyDescent="0.25">
      <c r="A213" s="7">
        <v>43858</v>
      </c>
      <c r="B213" s="45">
        <v>535</v>
      </c>
      <c r="C213">
        <f>Table1[T Cell]+273</f>
        <v>808</v>
      </c>
      <c r="D213" s="45">
        <f>10000/Table1[Temp K]</f>
        <v>12.376237623762377</v>
      </c>
      <c r="E213" s="46">
        <v>2.9499999999999999E-8</v>
      </c>
      <c r="F213" s="47">
        <f>LN(Table1[[#This Row],[Bi Flux]])</f>
        <v>-17.338875573600639</v>
      </c>
      <c r="G213" s="47"/>
      <c r="H213" s="47"/>
    </row>
    <row r="214" spans="1:8" x14ac:dyDescent="0.25">
      <c r="A214" s="7"/>
      <c r="B214">
        <v>537</v>
      </c>
      <c r="C214">
        <f>Table1[T Cell]+273</f>
        <v>810</v>
      </c>
      <c r="D214">
        <f>10000/Table1[Temp K]</f>
        <v>12.345679012345679</v>
      </c>
      <c r="E214" s="3">
        <v>3.1699999999999999E-8</v>
      </c>
      <c r="F214" s="16">
        <f>LN(Table1[[#This Row],[Bi Flux]])</f>
        <v>-17.266949156063177</v>
      </c>
      <c r="G214" s="16"/>
      <c r="H214" s="16"/>
    </row>
    <row r="215" spans="1:8" x14ac:dyDescent="0.25">
      <c r="A215" s="7">
        <v>43865</v>
      </c>
      <c r="B215">
        <v>560</v>
      </c>
      <c r="C215">
        <f>Table1[T Cell]+273</f>
        <v>833</v>
      </c>
      <c r="D215">
        <f>10000/Table1[Temp K]</f>
        <v>12.004801920768307</v>
      </c>
      <c r="E215" s="3">
        <v>6.7500000000000002E-8</v>
      </c>
      <c r="F215" s="16">
        <f>LN(Table1[[#This Row],[Bi Flux]])</f>
        <v>-16.511138239067925</v>
      </c>
      <c r="G215" s="16"/>
      <c r="H215" s="16"/>
    </row>
    <row r="216" spans="1:8" x14ac:dyDescent="0.25">
      <c r="A216" s="7"/>
      <c r="B216">
        <v>572</v>
      </c>
      <c r="C216">
        <f>Table1[T Cell]+273</f>
        <v>845</v>
      </c>
      <c r="D216">
        <f>10000/Table1[Temp K]</f>
        <v>11.834319526627219</v>
      </c>
      <c r="E216" s="3">
        <v>1.03E-7</v>
      </c>
      <c r="F216" s="16">
        <f>LN(Table1[[#This Row],[Bi Flux]])</f>
        <v>-16.088536848716775</v>
      </c>
      <c r="G216" s="16"/>
      <c r="H216" s="16"/>
    </row>
    <row r="217" spans="1:8" x14ac:dyDescent="0.25">
      <c r="A217" s="7" t="s">
        <v>136</v>
      </c>
      <c r="B217">
        <v>560</v>
      </c>
      <c r="C217">
        <f>Table1[T Cell]+273</f>
        <v>833</v>
      </c>
      <c r="D217">
        <f>10000/Table1[Temp K]</f>
        <v>12.004801920768307</v>
      </c>
      <c r="E217" s="3">
        <v>6.5400000000000003E-8</v>
      </c>
      <c r="F217" s="16">
        <f>LN(Table1[[#This Row],[Bi Flux]])</f>
        <v>-16.542743578483257</v>
      </c>
      <c r="G217" s="16"/>
      <c r="H217" s="16"/>
    </row>
    <row r="218" spans="1:8" x14ac:dyDescent="0.25">
      <c r="A218" s="7"/>
      <c r="B218">
        <v>570</v>
      </c>
      <c r="C218">
        <f>Table1[T Cell]+273</f>
        <v>843</v>
      </c>
      <c r="D218">
        <f>10000/Table1[Temp K]</f>
        <v>11.862396204033216</v>
      </c>
      <c r="E218" s="3">
        <v>9.0699999999999998E-8</v>
      </c>
      <c r="F218" s="16">
        <f>LN(Table1[[#This Row],[Bi Flux]])</f>
        <v>-16.21570847982532</v>
      </c>
      <c r="G218" s="16"/>
      <c r="H218" s="16"/>
    </row>
    <row r="219" spans="1:8" x14ac:dyDescent="0.25">
      <c r="A219" s="7"/>
      <c r="B219">
        <v>572</v>
      </c>
      <c r="C219">
        <f>Table1[T Cell]+273</f>
        <v>845</v>
      </c>
      <c r="D219">
        <f>10000/Table1[Temp K]</f>
        <v>11.834319526627219</v>
      </c>
      <c r="E219" s="3">
        <v>9.7500000000000006E-8</v>
      </c>
      <c r="F219" s="16">
        <f>LN(Table1[[#This Row],[Bi Flux]])</f>
        <v>-16.143413458942611</v>
      </c>
      <c r="G219" s="16"/>
      <c r="H219" s="16"/>
    </row>
    <row r="220" spans="1:8" x14ac:dyDescent="0.25">
      <c r="A220" s="7">
        <v>43879</v>
      </c>
      <c r="B220">
        <v>572</v>
      </c>
      <c r="C220">
        <f>Table1[T Cell]+273</f>
        <v>845</v>
      </c>
      <c r="D220">
        <f>10000/Table1[Temp K]</f>
        <v>11.834319526627219</v>
      </c>
      <c r="E220" s="3">
        <v>9.6800000000000007E-8</v>
      </c>
      <c r="F220" s="16">
        <f>LN(Table1[[#This Row],[Bi Flux]])</f>
        <v>-16.150618842663881</v>
      </c>
      <c r="G220" s="16"/>
      <c r="H220" s="16"/>
    </row>
    <row r="221" spans="1:8" x14ac:dyDescent="0.25">
      <c r="A221" s="7">
        <v>43881</v>
      </c>
      <c r="B221">
        <v>572</v>
      </c>
      <c r="C221">
        <f>Table1[T Cell]+273</f>
        <v>845</v>
      </c>
      <c r="D221">
        <f>10000/Table1[Temp K]</f>
        <v>11.834319526627219</v>
      </c>
      <c r="E221" s="3">
        <v>9.5799999999999998E-8</v>
      </c>
      <c r="F221" s="16">
        <f>LN(Table1[[#This Row],[Bi Flux]])</f>
        <v>-16.161003151969595</v>
      </c>
      <c r="G221" s="16">
        <v>0.30099999999999999</v>
      </c>
      <c r="H221" s="16">
        <v>6.9000000000000006E-2</v>
      </c>
    </row>
    <row r="222" spans="1:8" x14ac:dyDescent="0.25">
      <c r="A222" s="7">
        <v>43888</v>
      </c>
      <c r="B222">
        <v>567</v>
      </c>
      <c r="C222">
        <f>Table1[T Cell]+273</f>
        <v>840</v>
      </c>
      <c r="D222">
        <f>10000/Table1[Temp K]</f>
        <v>11.904761904761905</v>
      </c>
      <c r="E222" s="3">
        <v>7.9399999999999996E-8</v>
      </c>
      <c r="F222" s="16">
        <f>LN(Table1[[#This Row],[Bi Flux]])</f>
        <v>-16.348767468693321</v>
      </c>
      <c r="G222" s="16"/>
      <c r="H222" s="16"/>
    </row>
    <row r="223" spans="1:8" x14ac:dyDescent="0.25">
      <c r="A223" s="7"/>
      <c r="B223">
        <v>568</v>
      </c>
      <c r="C223">
        <f>Table1[T Cell]+273</f>
        <v>841</v>
      </c>
      <c r="D223">
        <f>10000/Table1[Temp K]</f>
        <v>11.890606420927467</v>
      </c>
      <c r="E223" s="3">
        <v>8.2399999999999997E-8</v>
      </c>
      <c r="F223" s="16">
        <f>LN(Table1[[#This Row],[Bi Flux]])</f>
        <v>-16.311680400030983</v>
      </c>
      <c r="G223" s="16"/>
      <c r="H223" s="16"/>
    </row>
    <row r="224" spans="1:8" x14ac:dyDescent="0.25">
      <c r="A224" s="7">
        <v>43900</v>
      </c>
      <c r="B224">
        <v>567</v>
      </c>
      <c r="C224">
        <f>Table1[T Cell]+273</f>
        <v>840</v>
      </c>
      <c r="D224">
        <f>10000/Table1[Temp K]</f>
        <v>11.904761904761905</v>
      </c>
      <c r="E224" s="3">
        <v>7.4999999999999997E-8</v>
      </c>
      <c r="F224" s="16">
        <f>LN(Table1[[#This Row],[Bi Flux]])</f>
        <v>-16.4057777234101</v>
      </c>
      <c r="G224" s="16"/>
      <c r="H224" s="16"/>
    </row>
    <row r="225" spans="1:15" x14ac:dyDescent="0.25">
      <c r="A225" s="7"/>
      <c r="B225">
        <v>568</v>
      </c>
      <c r="C225">
        <f>Table1[T Cell]+273</f>
        <v>841</v>
      </c>
      <c r="D225">
        <f>10000/Table1[Temp K]</f>
        <v>11.890606420927467</v>
      </c>
      <c r="E225" s="3">
        <v>7.7999999999999997E-8</v>
      </c>
      <c r="F225" s="16">
        <f>LN(Table1[[#This Row],[Bi Flux]])</f>
        <v>-16.36655701025682</v>
      </c>
      <c r="G225" s="16"/>
      <c r="H225" s="16"/>
      <c r="N225" s="12" t="s">
        <v>87</v>
      </c>
      <c r="O225" s="12" t="s">
        <v>130</v>
      </c>
    </row>
    <row r="226" spans="1:15" x14ac:dyDescent="0.25">
      <c r="A226" s="7">
        <v>44551</v>
      </c>
      <c r="B226">
        <v>580</v>
      </c>
      <c r="C226">
        <f>Table1[T Cell]+273</f>
        <v>853</v>
      </c>
      <c r="D226">
        <f>10000/Table1[Temp K]</f>
        <v>11.723329425556859</v>
      </c>
      <c r="E226" s="3">
        <v>1.1999999999999999E-7</v>
      </c>
      <c r="F226" s="16">
        <f>LN(Table1[[#This Row],[Bi Flux]])</f>
        <v>-15.935774094164366</v>
      </c>
      <c r="G226" s="16"/>
      <c r="H226" s="16"/>
      <c r="N226" s="2">
        <v>0.26400000000000001</v>
      </c>
      <c r="O226" s="22">
        <f>0.2258*N226</f>
        <v>5.9611200000000003E-2</v>
      </c>
    </row>
    <row r="227" spans="1:15" x14ac:dyDescent="0.25">
      <c r="A227" s="7"/>
      <c r="B227">
        <v>570</v>
      </c>
      <c r="C227">
        <f>Table1[T Cell]+273</f>
        <v>843</v>
      </c>
      <c r="D227">
        <f>10000/Table1[Temp K]</f>
        <v>11.862396204033216</v>
      </c>
      <c r="E227" s="3">
        <v>8.9999999999999999E-8</v>
      </c>
      <c r="F227" s="16">
        <f>LN(Table1[[#This Row],[Bi Flux]])</f>
        <v>-16.223456166616145</v>
      </c>
      <c r="G227" s="16"/>
      <c r="H227" s="16"/>
    </row>
    <row r="228" spans="1:15" x14ac:dyDescent="0.25">
      <c r="A228" s="7"/>
      <c r="B228">
        <v>560</v>
      </c>
      <c r="C228">
        <f>Table1[T Cell]+273</f>
        <v>833</v>
      </c>
      <c r="D228">
        <f>10000/Table1[Temp K]</f>
        <v>12.004801920768307</v>
      </c>
      <c r="E228" s="3">
        <v>6.4399999999999994E-8</v>
      </c>
      <c r="F228" s="16">
        <f>LN(Table1[[#This Row],[Bi Flux]])</f>
        <v>-16.558152203836105</v>
      </c>
      <c r="G228" s="16"/>
      <c r="H228" s="16"/>
    </row>
    <row r="229" spans="1:15" x14ac:dyDescent="0.25">
      <c r="A229" s="7"/>
      <c r="B229">
        <v>550</v>
      </c>
      <c r="C229">
        <f>Table1[T Cell]+273</f>
        <v>823</v>
      </c>
      <c r="D229">
        <f>10000/Table1[Temp K]</f>
        <v>12.150668286755771</v>
      </c>
      <c r="E229" s="3">
        <v>4.6100000000000003E-8</v>
      </c>
      <c r="F229" s="16">
        <f>LN(Table1[[#This Row],[Bi Flux]])</f>
        <v>-16.892452886943808</v>
      </c>
      <c r="G229" s="16"/>
      <c r="H229" s="16"/>
    </row>
    <row r="230" spans="1:15" x14ac:dyDescent="0.25">
      <c r="A230" s="7">
        <v>44315</v>
      </c>
      <c r="B230">
        <v>562</v>
      </c>
      <c r="C230">
        <f>Table1[T Cell]+273</f>
        <v>835</v>
      </c>
      <c r="D230">
        <f>10000/Table1[Temp K]</f>
        <v>11.976047904191617</v>
      </c>
      <c r="E230" s="3">
        <v>7.1999999999999996E-8</v>
      </c>
      <c r="F230" s="16">
        <f>LN(Table1[[#This Row],[Bi Flux]])</f>
        <v>-16.446599717930354</v>
      </c>
      <c r="G230" s="16"/>
      <c r="H230" s="16"/>
    </row>
    <row r="231" spans="1:15" x14ac:dyDescent="0.25">
      <c r="A231" s="7">
        <v>44354</v>
      </c>
      <c r="B231">
        <v>548</v>
      </c>
      <c r="C231">
        <f>Table1[T Cell]+273</f>
        <v>821</v>
      </c>
      <c r="D231">
        <f>10000/Table1[Temp K]</f>
        <v>12.180267965895249</v>
      </c>
      <c r="E231" s="3">
        <v>4.2699999999999999E-8</v>
      </c>
      <c r="F231" s="16">
        <f>LN(Table1[[#This Row],[Bi Flux]])</f>
        <v>-16.969066916711832</v>
      </c>
      <c r="G231" s="16"/>
      <c r="H231" s="16"/>
    </row>
    <row r="232" spans="1:15" x14ac:dyDescent="0.25">
      <c r="A232" s="7">
        <v>44357</v>
      </c>
      <c r="B232">
        <v>548</v>
      </c>
      <c r="C232">
        <f>Table1[T Cell]+273</f>
        <v>821</v>
      </c>
      <c r="D232">
        <f>10000/Table1[Temp K]</f>
        <v>12.180267965895249</v>
      </c>
      <c r="E232" s="3">
        <v>4.2400000000000002E-8</v>
      </c>
      <c r="F232" s="16">
        <f>LN(Table1[[#This Row],[Bi Flux]])</f>
        <v>-16.976117474708499</v>
      </c>
      <c r="G232" s="16"/>
      <c r="H232" s="16"/>
    </row>
    <row r="233" spans="1:15" x14ac:dyDescent="0.25">
      <c r="A233" s="7">
        <v>44358</v>
      </c>
      <c r="B233">
        <v>531</v>
      </c>
      <c r="C233">
        <f>Table1[T Cell]+273</f>
        <v>804</v>
      </c>
      <c r="D233">
        <f>10000/Table1[Temp K]</f>
        <v>12.437810945273633</v>
      </c>
      <c r="E233" s="3">
        <v>2.2799999999999999E-8</v>
      </c>
      <c r="F233" s="16">
        <f>LN(Table1[[#This Row],[Bi Flux]])</f>
        <v>-17.596505300986017</v>
      </c>
      <c r="G233" s="16"/>
      <c r="H233" s="16"/>
    </row>
    <row r="234" spans="1:15" x14ac:dyDescent="0.25">
      <c r="A234" s="7">
        <v>44363</v>
      </c>
      <c r="B234">
        <v>548</v>
      </c>
      <c r="C234">
        <f>Table1[T Cell]+273</f>
        <v>821</v>
      </c>
      <c r="D234">
        <f>10000/Table1[Temp K]</f>
        <v>12.180267965895249</v>
      </c>
      <c r="E234" s="3">
        <v>4.1799999999999997E-8</v>
      </c>
      <c r="F234" s="16">
        <f>LN(Table1[[#This Row],[Bi Flux]])</f>
        <v>-16.990369497415699</v>
      </c>
      <c r="G234" s="16"/>
      <c r="H234" s="16"/>
    </row>
    <row r="235" spans="1:15" x14ac:dyDescent="0.25">
      <c r="A235" s="7">
        <v>44398</v>
      </c>
      <c r="B235">
        <v>548</v>
      </c>
      <c r="C235">
        <f>Table1[T Cell]+273</f>
        <v>821</v>
      </c>
      <c r="D235">
        <f>10000/Table1[Temp K]</f>
        <v>12.180267965895249</v>
      </c>
      <c r="E235" s="3">
        <v>4.1500000000000001E-8</v>
      </c>
      <c r="F235" s="16">
        <f>LN(Table1[[#This Row],[Bi Flux]])</f>
        <v>-16.997572409709758</v>
      </c>
      <c r="G235" s="16"/>
      <c r="H235" s="16"/>
    </row>
    <row r="236" spans="1:15" x14ac:dyDescent="0.25">
      <c r="A236" s="7">
        <v>44406</v>
      </c>
      <c r="B236">
        <v>548</v>
      </c>
      <c r="C236">
        <f>Table1[T Cell]+273</f>
        <v>821</v>
      </c>
      <c r="D236">
        <f>10000/Table1[Temp K]</f>
        <v>12.180267965895249</v>
      </c>
      <c r="E236" s="3">
        <v>4.1500000000000001E-8</v>
      </c>
      <c r="F236" s="16">
        <f>LN(Table1[[#This Row],[Bi Flux]])</f>
        <v>-16.997572409709758</v>
      </c>
      <c r="G236" s="16"/>
      <c r="H236" s="16"/>
    </row>
    <row r="237" spans="1:15" x14ac:dyDescent="0.25">
      <c r="A237" s="7">
        <v>44426</v>
      </c>
      <c r="B237">
        <v>548</v>
      </c>
      <c r="C237">
        <f>Table1[T Cell]+273</f>
        <v>821</v>
      </c>
      <c r="D237">
        <f>10000/Table1[Temp K]</f>
        <v>12.180267965895249</v>
      </c>
      <c r="E237" s="3">
        <v>4.1299999999999999E-8</v>
      </c>
      <c r="F237" s="16">
        <f>LN(Table1[[#This Row],[Bi Flux]])</f>
        <v>-17.002403336979423</v>
      </c>
      <c r="G237" s="16"/>
      <c r="H237" s="16"/>
    </row>
    <row r="238" spans="1:15" x14ac:dyDescent="0.25">
      <c r="A238" s="7">
        <v>44428</v>
      </c>
      <c r="B238">
        <v>554</v>
      </c>
      <c r="C238">
        <f>Table1[T Cell]+273</f>
        <v>827</v>
      </c>
      <c r="D238">
        <f>10000/Table1[Temp K]</f>
        <v>12.091898428053204</v>
      </c>
      <c r="E238" s="3">
        <v>5.03E-8</v>
      </c>
      <c r="F238" s="16">
        <f>LN(Table1[[#This Row],[Bi Flux]])</f>
        <v>-16.805260759840717</v>
      </c>
      <c r="G238" s="16"/>
      <c r="H238" s="16"/>
    </row>
    <row r="239" spans="1:15" x14ac:dyDescent="0.25">
      <c r="A239" s="7"/>
      <c r="B239">
        <v>536</v>
      </c>
      <c r="C239">
        <f>Table1[T Cell]+273</f>
        <v>809</v>
      </c>
      <c r="D239">
        <f>10000/Table1[Temp K]</f>
        <v>12.360939431396787</v>
      </c>
      <c r="E239" s="3">
        <v>2.7400000000000001E-8</v>
      </c>
      <c r="F239" s="16">
        <f>LN(Table1[[#This Row],[Bi Flux]])</f>
        <v>-17.412722823552386</v>
      </c>
      <c r="G239" s="16"/>
      <c r="H239" s="16"/>
    </row>
    <row r="240" spans="1:15" x14ac:dyDescent="0.25">
      <c r="A240" s="7">
        <v>44651</v>
      </c>
      <c r="B240">
        <v>548</v>
      </c>
      <c r="C240">
        <f>Table1[T Cell]+273</f>
        <v>821</v>
      </c>
      <c r="D240">
        <f>10000/Table1[Temp K]</f>
        <v>12.180267965895249</v>
      </c>
      <c r="E240" s="3">
        <v>4.1500000000000001E-8</v>
      </c>
      <c r="F240" s="16">
        <f>LN(Table1[[#This Row],[Bi Flux]])</f>
        <v>-16.997572409709758</v>
      </c>
      <c r="G240" s="16"/>
      <c r="H240" s="16"/>
    </row>
    <row r="241" spans="1:8" x14ac:dyDescent="0.25">
      <c r="A241" s="7">
        <v>44658</v>
      </c>
      <c r="B241">
        <v>548</v>
      </c>
      <c r="C241">
        <f>Table1[T Cell]+273</f>
        <v>821</v>
      </c>
      <c r="D241">
        <f>10000/Table1[Temp K]</f>
        <v>12.180267965895249</v>
      </c>
      <c r="E241" s="3">
        <v>4.1600000000000002E-8</v>
      </c>
      <c r="F241" s="16">
        <f>LN(Table1[[#This Row],[Bi Flux]])</f>
        <v>-16.995165669679192</v>
      </c>
      <c r="G241" s="16"/>
      <c r="H241" s="16"/>
    </row>
    <row r="242" spans="1:8" x14ac:dyDescent="0.25">
      <c r="A242" s="7"/>
      <c r="C242">
        <f>Table1[T Cell]+273</f>
        <v>273</v>
      </c>
      <c r="D242">
        <f>10000/Table1[Temp K]</f>
        <v>36.630036630036628</v>
      </c>
      <c r="F242" s="16" t="e">
        <f>LN(Table1[[#This Row],[Bi Flux]])</f>
        <v>#NUM!</v>
      </c>
      <c r="G242" s="16"/>
      <c r="H242" s="16"/>
    </row>
    <row r="243" spans="1:8" x14ac:dyDescent="0.25">
      <c r="A243" s="7"/>
      <c r="C243">
        <f>Table1[T Cell]+273</f>
        <v>273</v>
      </c>
      <c r="D243">
        <f>10000/Table1[Temp K]</f>
        <v>36.630036630036628</v>
      </c>
      <c r="F243" s="16" t="e">
        <f>LN(Table1[[#This Row],[Bi Flux]])</f>
        <v>#NUM!</v>
      </c>
      <c r="G243" s="16"/>
      <c r="H243" s="16"/>
    </row>
    <row r="244" spans="1:8" x14ac:dyDescent="0.25">
      <c r="A244" s="7"/>
      <c r="C244">
        <f>Table1[T Cell]+273</f>
        <v>273</v>
      </c>
      <c r="D244">
        <f>10000/Table1[Temp K]</f>
        <v>36.630036630036628</v>
      </c>
      <c r="F244" s="16" t="e">
        <f>LN(Table1[[#This Row],[Bi Flux]])</f>
        <v>#NUM!</v>
      </c>
      <c r="G244" s="16"/>
      <c r="H244" s="16"/>
    </row>
    <row r="245" spans="1:8" x14ac:dyDescent="0.25">
      <c r="A245" s="7"/>
      <c r="C245">
        <f>Table1[T Cell]+273</f>
        <v>273</v>
      </c>
      <c r="D245">
        <f>10000/Table1[Temp K]</f>
        <v>36.630036630036628</v>
      </c>
      <c r="F245" s="16" t="e">
        <f>LN(Table1[[#This Row],[Bi Flux]])</f>
        <v>#NUM!</v>
      </c>
      <c r="G245" s="16"/>
      <c r="H245" s="16"/>
    </row>
    <row r="246" spans="1:8" x14ac:dyDescent="0.25">
      <c r="A246" s="7">
        <v>44778</v>
      </c>
      <c r="B246">
        <v>515</v>
      </c>
      <c r="C246">
        <f>Table1[T Cell]+273</f>
        <v>788</v>
      </c>
      <c r="D246">
        <f>10000/Table1[Temp K]</f>
        <v>12.690355329949238</v>
      </c>
      <c r="E246" s="3">
        <v>1.4999999999999999E-8</v>
      </c>
      <c r="F246" s="16">
        <f>LN(Table1[[#This Row],[Bi Flux]])</f>
        <v>-18.0152156358442</v>
      </c>
      <c r="G246" s="16"/>
      <c r="H246" s="16"/>
    </row>
    <row r="247" spans="1:8" x14ac:dyDescent="0.25">
      <c r="A247" s="7">
        <v>44789</v>
      </c>
      <c r="B247">
        <v>586</v>
      </c>
      <c r="C247">
        <f>Table1[T Cell]+273</f>
        <v>859</v>
      </c>
      <c r="D247">
        <f>10000/Table1[Temp K]</f>
        <v>11.641443538998836</v>
      </c>
      <c r="E247" s="3">
        <v>1.5599999999999999E-7</v>
      </c>
      <c r="F247" s="16">
        <f>LN(Table1[[#This Row],[Bi Flux]])</f>
        <v>-15.673409829696874</v>
      </c>
      <c r="G247" s="16"/>
      <c r="H247" s="16"/>
    </row>
    <row r="248" spans="1:8" x14ac:dyDescent="0.25">
      <c r="A248" s="7"/>
      <c r="B248">
        <v>548</v>
      </c>
      <c r="C248">
        <f>Table1[T Cell]+273</f>
        <v>821</v>
      </c>
      <c r="D248">
        <f>10000/Table1[Temp K]</f>
        <v>12.180267965895249</v>
      </c>
      <c r="E248" s="3">
        <v>4.6999999999999997E-8</v>
      </c>
      <c r="F248" s="16">
        <f>LN(Table1[[#This Row],[Bi Flux]])</f>
        <v>-16.873118235236351</v>
      </c>
      <c r="G248" s="16"/>
      <c r="H248" s="16"/>
    </row>
    <row r="249" spans="1:8" x14ac:dyDescent="0.25">
      <c r="A249" s="7"/>
      <c r="B249">
        <v>543</v>
      </c>
      <c r="C249">
        <f>Table1[T Cell]+273</f>
        <v>816</v>
      </c>
      <c r="D249">
        <f>10000/Table1[Temp K]</f>
        <v>12.254901960784315</v>
      </c>
      <c r="E249" s="3">
        <v>4.0499999999999999E-8</v>
      </c>
      <c r="F249" s="16">
        <f>LN(Table1[[#This Row],[Bi Flux]])</f>
        <v>-17.021963862833918</v>
      </c>
      <c r="G249" s="16"/>
      <c r="H249" s="16"/>
    </row>
    <row r="250" spans="1:8" x14ac:dyDescent="0.25">
      <c r="A250" s="7">
        <v>44796</v>
      </c>
      <c r="B250">
        <v>544</v>
      </c>
      <c r="C250">
        <f>Table1[T Cell]+273</f>
        <v>817</v>
      </c>
      <c r="D250">
        <f>10000/Table1[Temp K]</f>
        <v>12.239902080783354</v>
      </c>
      <c r="E250" s="3">
        <v>4.1600000000000002E-8</v>
      </c>
      <c r="F250" s="16">
        <f>LN(Table1[[#This Row],[Bi Flux]])</f>
        <v>-16.995165669679192</v>
      </c>
      <c r="G250" s="16"/>
      <c r="H250" s="16"/>
    </row>
    <row r="251" spans="1:8" x14ac:dyDescent="0.25">
      <c r="A251" s="7">
        <v>44800</v>
      </c>
      <c r="B251">
        <v>543</v>
      </c>
      <c r="C251">
        <f>Table1[T Cell]+273</f>
        <v>816</v>
      </c>
      <c r="D251">
        <f>10000/Table1[Temp K]</f>
        <v>12.254901960784315</v>
      </c>
      <c r="E251" s="3">
        <v>3.9799999999999999E-8</v>
      </c>
      <c r="F251" s="16">
        <f>LN(Table1[[#This Row],[Bi Flux]])</f>
        <v>-17.03939892465602</v>
      </c>
      <c r="G251" s="16"/>
      <c r="H251" s="16"/>
    </row>
    <row r="252" spans="1:8" x14ac:dyDescent="0.25">
      <c r="A252" s="7"/>
      <c r="B252">
        <v>544</v>
      </c>
      <c r="C252">
        <f>Table1[T Cell]+273</f>
        <v>817</v>
      </c>
      <c r="D252">
        <f>10000/Table1[Temp K]</f>
        <v>12.239902080783354</v>
      </c>
      <c r="E252" s="3">
        <v>4.1199999999999998E-8</v>
      </c>
      <c r="F252" s="16">
        <f>LN(Table1[[#This Row],[Bi Flux]])</f>
        <v>-17.004827580590931</v>
      </c>
      <c r="G252" s="16"/>
      <c r="H252" s="16"/>
    </row>
    <row r="253" spans="1:8" x14ac:dyDescent="0.25">
      <c r="A253" s="7">
        <v>44804</v>
      </c>
      <c r="B253">
        <v>544</v>
      </c>
      <c r="C253">
        <f>Table1[T Cell]+273</f>
        <v>817</v>
      </c>
      <c r="D253">
        <f>10000/Table1[Temp K]</f>
        <v>12.239902080783354</v>
      </c>
      <c r="E253" s="3">
        <v>4.0399999999999998E-8</v>
      </c>
      <c r="F253" s="16">
        <f>LN(Table1[[#This Row],[Bi Flux]])</f>
        <v>-17.024436051979308</v>
      </c>
      <c r="G253" s="16"/>
      <c r="H253" s="16"/>
    </row>
    <row r="254" spans="1:8" x14ac:dyDescent="0.25">
      <c r="A254" s="7"/>
      <c r="B254">
        <v>545</v>
      </c>
      <c r="C254">
        <f>Table1[T Cell]+273</f>
        <v>818</v>
      </c>
      <c r="D254">
        <f>10000/Table1[Temp K]</f>
        <v>12.224938875305623</v>
      </c>
      <c r="E254" s="3">
        <v>4.1899999999999998E-8</v>
      </c>
      <c r="F254" s="16">
        <f>LN(Table1[[#This Row],[Bi Flux]])</f>
        <v>-16.987980010018319</v>
      </c>
      <c r="G254" s="16"/>
      <c r="H254" s="16"/>
    </row>
    <row r="255" spans="1:8" x14ac:dyDescent="0.25">
      <c r="A255" s="7">
        <v>44812</v>
      </c>
      <c r="B255">
        <v>551</v>
      </c>
      <c r="C255">
        <f>Table1[T Cell]+273</f>
        <v>824</v>
      </c>
      <c r="D255">
        <f>10000/Table1[Temp K]</f>
        <v>12.135922330097088</v>
      </c>
      <c r="E255" s="3">
        <v>5.17E-8</v>
      </c>
      <c r="F255" s="16">
        <f>LN(Table1[[#This Row],[Bi Flux]])</f>
        <v>-16.777808055432029</v>
      </c>
      <c r="G255" s="16"/>
      <c r="H255" s="16"/>
    </row>
    <row r="256" spans="1:8" x14ac:dyDescent="0.25">
      <c r="A256" s="7"/>
      <c r="B256">
        <v>557</v>
      </c>
      <c r="C256">
        <f>Table1[T Cell]+273</f>
        <v>830</v>
      </c>
      <c r="D256">
        <f>10000/Table1[Temp K]</f>
        <v>12.048192771084338</v>
      </c>
      <c r="E256" s="3">
        <v>6.2999999999999995E-8</v>
      </c>
      <c r="F256" s="16">
        <f>LN(Table1[[#This Row],[Bi Flux]])</f>
        <v>-16.580131110554877</v>
      </c>
      <c r="G256" s="16"/>
      <c r="H256" s="16"/>
    </row>
    <row r="257" spans="1:19" x14ac:dyDescent="0.25">
      <c r="A257" s="7">
        <v>44991</v>
      </c>
      <c r="B257">
        <v>553</v>
      </c>
      <c r="C257">
        <f>Table1[T Cell]+273</f>
        <v>826</v>
      </c>
      <c r="D257">
        <f>10000/Table1[Temp K]</f>
        <v>12.106537530266344</v>
      </c>
      <c r="E257" s="3">
        <v>3.8000000000000003E-8</v>
      </c>
      <c r="F257" s="16">
        <f>LN(Table1[[#This Row],[Bi Flux]])</f>
        <v>-17.085679677220025</v>
      </c>
      <c r="G257" s="16"/>
      <c r="H257" s="16"/>
    </row>
    <row r="258" spans="1:19" x14ac:dyDescent="0.25">
      <c r="A258" s="7"/>
      <c r="B258">
        <v>556</v>
      </c>
      <c r="C258">
        <f>Table1[T Cell]+273</f>
        <v>829</v>
      </c>
      <c r="D258">
        <f>10000/Table1[Temp K]</f>
        <v>12.062726176115802</v>
      </c>
      <c r="E258" s="3">
        <v>4.06E-8</v>
      </c>
      <c r="F258" s="16">
        <f>LN(Table1[[#This Row],[Bi Flux]])</f>
        <v>-17.019497770338724</v>
      </c>
      <c r="G258" s="16"/>
      <c r="H258" s="16"/>
    </row>
    <row r="259" spans="1:19" x14ac:dyDescent="0.25">
      <c r="A259" s="7">
        <v>45000</v>
      </c>
      <c r="B259">
        <v>557</v>
      </c>
      <c r="C259">
        <f>Table1[T Cell]+273</f>
        <v>830</v>
      </c>
      <c r="D259">
        <f>10000/Table1[Temp K]</f>
        <v>12.048192771084338</v>
      </c>
      <c r="E259" s="3">
        <v>4.1000000000000003E-8</v>
      </c>
      <c r="F259" s="16">
        <f>LN(Table1[[#This Row],[Bi Flux]])</f>
        <v>-17.009693770242102</v>
      </c>
      <c r="G259" s="16"/>
      <c r="H259" s="16"/>
      <c r="N259" t="s">
        <v>137</v>
      </c>
      <c r="O259" t="s">
        <v>29</v>
      </c>
    </row>
    <row r="260" spans="1:19" x14ac:dyDescent="0.25">
      <c r="A260" s="7"/>
      <c r="B260">
        <v>561</v>
      </c>
      <c r="C260">
        <f>Table1[T Cell]+273</f>
        <v>834</v>
      </c>
      <c r="D260">
        <f>10000/Table1[Temp K]</f>
        <v>11.990407673860911</v>
      </c>
      <c r="E260" s="3">
        <v>4.6100000000000003E-8</v>
      </c>
      <c r="F260" s="16">
        <f>LN(Table1[[#This Row],[Bi Flux]])</f>
        <v>-16.892452886943808</v>
      </c>
      <c r="G260" s="16"/>
      <c r="H260" s="16"/>
      <c r="N260">
        <v>500</v>
      </c>
      <c r="O260">
        <f>0.00000000002817*N260^2-0.00000002907*N260+0.000007517</f>
        <v>2.4499999999999511E-8</v>
      </c>
    </row>
    <row r="261" spans="1:19" x14ac:dyDescent="0.25">
      <c r="A261" s="7">
        <v>45006</v>
      </c>
      <c r="B261">
        <v>565</v>
      </c>
      <c r="C261">
        <f>Table1[T Cell]+273</f>
        <v>838</v>
      </c>
      <c r="D261">
        <f>10000/Table1[Temp K]</f>
        <v>11.933174224343675</v>
      </c>
      <c r="E261" s="3">
        <v>5.25E-8</v>
      </c>
      <c r="F261" s="16">
        <f>LN(Table1[[#This Row],[Bi Flux]])</f>
        <v>-16.762452667348832</v>
      </c>
      <c r="G261" s="16"/>
      <c r="H261" s="16"/>
      <c r="N261" t="s">
        <v>6</v>
      </c>
      <c r="O261" t="s">
        <v>145</v>
      </c>
      <c r="P261" t="s">
        <v>146</v>
      </c>
      <c r="R261" s="49">
        <f>1.35*0.4</f>
        <v>0.54</v>
      </c>
      <c r="S261" s="49">
        <v>554</v>
      </c>
    </row>
    <row r="262" spans="1:19" x14ac:dyDescent="0.25">
      <c r="A262" s="7"/>
      <c r="B262">
        <v>568</v>
      </c>
      <c r="C262">
        <f>Table1[T Cell]+273</f>
        <v>841</v>
      </c>
      <c r="D262">
        <f>10000/Table1[Temp K]</f>
        <v>11.890606420927467</v>
      </c>
      <c r="E262" s="3">
        <v>5.8000000000000003E-8</v>
      </c>
      <c r="F262" s="16">
        <f>LN(Table1[[#This Row],[Bi Flux]])</f>
        <v>-16.662822826399992</v>
      </c>
      <c r="G262" s="16"/>
      <c r="H262" s="16"/>
      <c r="N262">
        <v>1.4</v>
      </c>
      <c r="O262">
        <v>0.3</v>
      </c>
      <c r="P262">
        <f>N262*O262</f>
        <v>0.42</v>
      </c>
      <c r="R262" s="49">
        <f>1.35*0.2</f>
        <v>0.27</v>
      </c>
      <c r="S262" s="49">
        <v>536</v>
      </c>
    </row>
    <row r="263" spans="1:19" x14ac:dyDescent="0.25">
      <c r="A263" s="7">
        <v>45007</v>
      </c>
      <c r="B263">
        <v>540</v>
      </c>
      <c r="C263">
        <f>Table1[T Cell]+273</f>
        <v>813</v>
      </c>
      <c r="D263">
        <f>10000/Table1[Temp K]</f>
        <v>12.300123001230013</v>
      </c>
      <c r="E263" s="3">
        <v>2.4E-8</v>
      </c>
      <c r="F263" s="16">
        <f>LN(Table1[[#This Row],[Bi Flux]])</f>
        <v>-17.545212006598465</v>
      </c>
      <c r="G263" s="16"/>
      <c r="H263" s="16"/>
    </row>
    <row r="264" spans="1:19" x14ac:dyDescent="0.25">
      <c r="A264" s="7">
        <v>45012</v>
      </c>
      <c r="B264">
        <v>460</v>
      </c>
      <c r="C264">
        <f>Table1[T Cell]+273</f>
        <v>733</v>
      </c>
      <c r="D264">
        <f>10000/Table1[Temp K]</f>
        <v>13.642564802182811</v>
      </c>
      <c r="E264" s="3">
        <v>1.2E-9</v>
      </c>
      <c r="F264" s="16">
        <f>LN(Table1[[#This Row],[Bi Flux]])</f>
        <v>-20.540944280152456</v>
      </c>
      <c r="G264" s="16"/>
      <c r="H264" s="16"/>
    </row>
    <row r="265" spans="1:19" x14ac:dyDescent="0.25">
      <c r="A265" s="7"/>
      <c r="B265">
        <v>475</v>
      </c>
      <c r="C265">
        <f>Table1[T Cell]+273</f>
        <v>748</v>
      </c>
      <c r="D265">
        <f>10000/Table1[Temp K]</f>
        <v>13.368983957219251</v>
      </c>
      <c r="E265" s="3">
        <v>2.16E-9</v>
      </c>
      <c r="F265" s="16">
        <f>LN(Table1[[#This Row],[Bi Flux]])</f>
        <v>-19.953157615250337</v>
      </c>
      <c r="G265" s="16"/>
      <c r="H265" s="16"/>
    </row>
    <row r="266" spans="1:19" x14ac:dyDescent="0.25">
      <c r="A266" s="7"/>
      <c r="B266">
        <v>497</v>
      </c>
      <c r="C266">
        <f>Table1[T Cell]+273</f>
        <v>770</v>
      </c>
      <c r="D266">
        <f>10000/Table1[Temp K]</f>
        <v>12.987012987012987</v>
      </c>
      <c r="E266" s="3">
        <v>5.0499999999999997E-9</v>
      </c>
      <c r="F266" s="16">
        <f>LN(Table1[[#This Row],[Bi Flux]])</f>
        <v>-19.103877593659142</v>
      </c>
      <c r="G266" s="16"/>
      <c r="H266" s="16"/>
    </row>
    <row r="267" spans="1:19" x14ac:dyDescent="0.25">
      <c r="A267" s="7"/>
      <c r="B267">
        <v>514</v>
      </c>
      <c r="C267">
        <f>Table1[T Cell]+273</f>
        <v>787</v>
      </c>
      <c r="D267">
        <f>10000/Table1[Temp K]</f>
        <v>12.706480304955527</v>
      </c>
      <c r="E267" s="3">
        <v>9.5000000000000007E-9</v>
      </c>
      <c r="F267" s="16">
        <f>LN(Table1[[#This Row],[Bi Flux]])</f>
        <v>-18.471974038339916</v>
      </c>
      <c r="G267" s="16"/>
      <c r="H267" s="16"/>
    </row>
    <row r="268" spans="1:19" x14ac:dyDescent="0.25">
      <c r="A268" s="7"/>
      <c r="B268">
        <v>537</v>
      </c>
      <c r="C268">
        <f>Table1[T Cell]+273</f>
        <v>810</v>
      </c>
      <c r="D268">
        <f>10000/Table1[Temp K]</f>
        <v>12.345679012345679</v>
      </c>
      <c r="E268" s="3">
        <v>2.11E-8</v>
      </c>
      <c r="F268" s="16">
        <f>LN(Table1[[#This Row],[Bi Flux]])</f>
        <v>-17.67399279646439</v>
      </c>
      <c r="G268" s="16"/>
      <c r="H268" s="16"/>
    </row>
    <row r="269" spans="1:19" x14ac:dyDescent="0.25">
      <c r="A269" s="49" t="s">
        <v>245</v>
      </c>
      <c r="B269" s="49"/>
      <c r="C269" s="49"/>
      <c r="D269" s="49"/>
      <c r="E269" s="49"/>
      <c r="F269" s="88"/>
      <c r="G269" s="88"/>
      <c r="H269" s="88"/>
      <c r="I269" s="49" t="s">
        <v>245</v>
      </c>
    </row>
    <row r="270" spans="1:19" x14ac:dyDescent="0.25">
      <c r="A270" s="7">
        <v>45047</v>
      </c>
      <c r="B270">
        <v>550</v>
      </c>
      <c r="C270">
        <f>Table1[T Cell]+273</f>
        <v>823</v>
      </c>
      <c r="D270">
        <f>10000/Table1[Temp K]</f>
        <v>12.150668286755771</v>
      </c>
      <c r="E270" s="3">
        <v>2.5600000000000002E-7</v>
      </c>
      <c r="F270" s="16">
        <f>LN(Table1[[#This Row],[Bi Flux]])</f>
        <v>-15.178088392466849</v>
      </c>
      <c r="G270" s="16"/>
      <c r="H270" s="16"/>
    </row>
    <row r="271" spans="1:19" x14ac:dyDescent="0.25">
      <c r="A271" s="7"/>
      <c r="B271">
        <v>530</v>
      </c>
      <c r="C271">
        <f>Table1[T Cell]+273</f>
        <v>803</v>
      </c>
      <c r="D271">
        <f>10000/Table1[Temp K]</f>
        <v>12.453300124533001</v>
      </c>
      <c r="E271" s="3">
        <v>1.3300000000000001E-7</v>
      </c>
      <c r="F271" s="16">
        <f>LN(Table1[[#This Row],[Bi Flux]])</f>
        <v>-15.832916708724657</v>
      </c>
      <c r="G271" s="16"/>
      <c r="H271" s="16"/>
    </row>
    <row r="272" spans="1:19" x14ac:dyDescent="0.25">
      <c r="A272" s="7"/>
      <c r="B272">
        <v>510</v>
      </c>
      <c r="C272">
        <f>Table1[T Cell]+273</f>
        <v>783</v>
      </c>
      <c r="D272">
        <f>10000/Table1[Temp K]</f>
        <v>12.771392081736909</v>
      </c>
      <c r="E272" s="3">
        <v>5.5600000000000002E-8</v>
      </c>
      <c r="F272" s="16">
        <f>LN(Table1[[#This Row],[Bi Flux]])</f>
        <v>-16.705082635689873</v>
      </c>
      <c r="G272" s="16"/>
      <c r="H272" s="16"/>
    </row>
    <row r="273" spans="1:19" x14ac:dyDescent="0.25">
      <c r="A273" s="7">
        <v>45166</v>
      </c>
      <c r="B273">
        <v>473</v>
      </c>
      <c r="C273">
        <f>Table1[T Cell]+273</f>
        <v>746</v>
      </c>
      <c r="D273">
        <f>10000/Table1[Temp K]</f>
        <v>13.404825737265416</v>
      </c>
      <c r="E273" s="3">
        <v>7.7400000000000005E-8</v>
      </c>
      <c r="F273" s="16">
        <f>LN(Table1[[#This Row],[Bi Flux]])</f>
        <v>-16.37427905635073</v>
      </c>
      <c r="G273" s="16"/>
      <c r="H273" s="16"/>
    </row>
    <row r="274" spans="1:19" x14ac:dyDescent="0.25">
      <c r="A274" s="7">
        <v>45177</v>
      </c>
      <c r="B274">
        <v>473</v>
      </c>
      <c r="C274">
        <f>Table1[T Cell]+273</f>
        <v>746</v>
      </c>
      <c r="D274">
        <f>10000/Table1[Temp K]</f>
        <v>13.404825737265416</v>
      </c>
      <c r="E274" s="3">
        <v>2.4E-8</v>
      </c>
      <c r="F274" s="16">
        <f>LN(Table1[[#This Row],[Bi Flux]])</f>
        <v>-17.545212006598465</v>
      </c>
      <c r="G274" s="16"/>
      <c r="H274" s="16"/>
    </row>
    <row r="275" spans="1:19" x14ac:dyDescent="0.25">
      <c r="A275" s="7">
        <v>45250</v>
      </c>
      <c r="B275">
        <v>500</v>
      </c>
      <c r="C275">
        <f>Table1[T Cell]+273</f>
        <v>773</v>
      </c>
      <c r="D275">
        <f>10000/Table1[Temp K]</f>
        <v>12.936610608020699</v>
      </c>
      <c r="E275" s="3">
        <v>4.2300000000000002E-8</v>
      </c>
      <c r="F275" s="16">
        <f>LN(Table1[[#This Row],[Bi Flux]])</f>
        <v>-16.97847875089418</v>
      </c>
      <c r="G275" s="16"/>
      <c r="H275" s="16"/>
    </row>
    <row r="276" spans="1:19" x14ac:dyDescent="0.25">
      <c r="A276" s="7"/>
      <c r="B276">
        <v>525</v>
      </c>
      <c r="C276">
        <f>Table1[T Cell]+273</f>
        <v>798</v>
      </c>
      <c r="D276">
        <f>10000/Table1[Temp K]</f>
        <v>12.531328320802006</v>
      </c>
      <c r="E276" s="3">
        <v>1.01E-7</v>
      </c>
      <c r="F276" s="16">
        <f>LN(Table1[[#This Row],[Bi Flux]])</f>
        <v>-16.108145320105152</v>
      </c>
      <c r="G276" s="16"/>
      <c r="H276" s="16"/>
    </row>
    <row r="277" spans="1:19" x14ac:dyDescent="0.25">
      <c r="A277" s="7"/>
      <c r="C277">
        <f>Table1[T Cell]+273</f>
        <v>273</v>
      </c>
      <c r="D277">
        <f>10000/Table1[Temp K]</f>
        <v>36.630036630036628</v>
      </c>
      <c r="F277" s="16" t="e">
        <f>LN(Table1[[#This Row],[Bi Flux]])</f>
        <v>#NUM!</v>
      </c>
      <c r="G277" s="16"/>
      <c r="H277" s="16"/>
    </row>
    <row r="278" spans="1:19" x14ac:dyDescent="0.25">
      <c r="A278" s="7"/>
      <c r="C278">
        <f>Table1[T Cell]+273</f>
        <v>273</v>
      </c>
      <c r="D278">
        <f>10000/Table1[Temp K]</f>
        <v>36.630036630036628</v>
      </c>
      <c r="F278" s="16" t="e">
        <f>LN(Table1[[#This Row],[Bi Flux]])</f>
        <v>#NUM!</v>
      </c>
      <c r="G278" s="16"/>
      <c r="H278" s="16"/>
    </row>
    <row r="279" spans="1:19" x14ac:dyDescent="0.25">
      <c r="A279" s="7"/>
      <c r="C279">
        <f>Table1[T Cell]+273</f>
        <v>273</v>
      </c>
      <c r="D279">
        <f>10000/Table1[Temp K]</f>
        <v>36.630036630036628</v>
      </c>
      <c r="F279" s="16" t="e">
        <f>LN(Table1[[#This Row],[Bi Flux]])</f>
        <v>#NUM!</v>
      </c>
      <c r="G279" s="16"/>
      <c r="H279" s="16"/>
      <c r="Q279" t="s">
        <v>137</v>
      </c>
      <c r="S279" t="s">
        <v>29</v>
      </c>
    </row>
    <row r="280" spans="1:19" x14ac:dyDescent="0.25">
      <c r="M280" s="3"/>
      <c r="N280" s="3">
        <v>1.44237E-11</v>
      </c>
      <c r="O280" s="3">
        <v>-1.47969E-8</v>
      </c>
      <c r="P280" s="3">
        <v>3.8086100000000001E-6</v>
      </c>
      <c r="Q280" s="3">
        <v>457</v>
      </c>
      <c r="S280" s="3">
        <f>N280*Q280^2+O280*Q280+P280</f>
        <v>5.8802021299999796E-8</v>
      </c>
    </row>
    <row r="282" spans="1:19" x14ac:dyDescent="0.25">
      <c r="Q282" t="s">
        <v>137</v>
      </c>
      <c r="S282" t="s">
        <v>244</v>
      </c>
    </row>
    <row r="283" spans="1:19" x14ac:dyDescent="0.25">
      <c r="O283" s="3">
        <v>2.0205E-16</v>
      </c>
      <c r="P283" s="3">
        <v>3.8175000000000001E-2</v>
      </c>
      <c r="Q283" s="3">
        <v>550</v>
      </c>
      <c r="S283" s="3">
        <f>O283*EXP(P283*Q283)</f>
        <v>2.6546934020983261E-7</v>
      </c>
    </row>
    <row r="291" spans="17:18" x14ac:dyDescent="0.25">
      <c r="Q291" t="s">
        <v>252</v>
      </c>
      <c r="R291">
        <v>500</v>
      </c>
    </row>
    <row r="292" spans="17:18" x14ac:dyDescent="0.25">
      <c r="Q292" t="s">
        <v>29</v>
      </c>
      <c r="R292">
        <f>2.02046E-16*EXP(0.0381749*R291)</f>
        <v>3.9357224632102875E-8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7"/>
  <sheetViews>
    <sheetView zoomScale="70" zoomScaleNormal="70" workbookViewId="0">
      <pane ySplit="213" topLeftCell="A726" activePane="bottomLeft" state="frozen"/>
      <selection pane="bottomLeft" activeCell="E768" sqref="E768"/>
    </sheetView>
  </sheetViews>
  <sheetFormatPr defaultColWidth="11" defaultRowHeight="15.75" x14ac:dyDescent="0.25"/>
  <cols>
    <col min="1" max="1" width="12.75" customWidth="1"/>
    <col min="3" max="3" width="11.875" bestFit="1" customWidth="1"/>
    <col min="4" max="4" width="15" customWidth="1"/>
    <col min="5" max="5" width="13.125" bestFit="1" customWidth="1"/>
    <col min="7" max="7" width="15.25" customWidth="1"/>
    <col min="13" max="13" width="14.25" customWidth="1"/>
    <col min="14" max="14" width="11.875" bestFit="1" customWidth="1"/>
    <col min="15" max="15" width="19.75" customWidth="1"/>
    <col min="23" max="23" width="12.375" bestFit="1" customWidth="1"/>
  </cols>
  <sheetData>
    <row r="1" spans="1:9" x14ac:dyDescent="0.25">
      <c r="A1" s="5" t="s">
        <v>14</v>
      </c>
      <c r="B1" s="5" t="s">
        <v>18</v>
      </c>
      <c r="C1" s="5" t="s">
        <v>19</v>
      </c>
      <c r="D1" s="5" t="s">
        <v>13</v>
      </c>
      <c r="E1" s="5" t="s">
        <v>24</v>
      </c>
      <c r="F1" s="5" t="s">
        <v>46</v>
      </c>
      <c r="G1" s="5" t="s">
        <v>91</v>
      </c>
      <c r="H1" s="5" t="s">
        <v>20</v>
      </c>
      <c r="I1" s="5" t="s">
        <v>127</v>
      </c>
    </row>
    <row r="2" spans="1:9" hidden="1" x14ac:dyDescent="0.25">
      <c r="A2" s="6">
        <v>42807</v>
      </c>
      <c r="B2">
        <v>340</v>
      </c>
      <c r="C2">
        <v>600</v>
      </c>
      <c r="D2">
        <v>200</v>
      </c>
      <c r="E2" s="3">
        <v>4.2300000000000002E-6</v>
      </c>
      <c r="F2" s="3"/>
      <c r="H2" t="s">
        <v>17</v>
      </c>
    </row>
    <row r="3" spans="1:9" hidden="1" x14ac:dyDescent="0.25">
      <c r="A3" s="6">
        <v>42824</v>
      </c>
      <c r="B3">
        <v>340</v>
      </c>
      <c r="C3">
        <v>600</v>
      </c>
      <c r="D3">
        <v>300</v>
      </c>
      <c r="E3" s="3">
        <v>9.3100000000000006E-6</v>
      </c>
      <c r="F3" s="3"/>
      <c r="G3">
        <v>1.8420000000000001</v>
      </c>
      <c r="H3" t="s">
        <v>17</v>
      </c>
    </row>
    <row r="4" spans="1:9" hidden="1" x14ac:dyDescent="0.25">
      <c r="A4" s="6">
        <v>42832</v>
      </c>
      <c r="B4">
        <v>340</v>
      </c>
      <c r="C4">
        <v>600</v>
      </c>
      <c r="D4">
        <v>300</v>
      </c>
      <c r="E4" s="3">
        <v>7.5499999999999997E-6</v>
      </c>
      <c r="F4" s="3"/>
      <c r="G4" t="s">
        <v>17</v>
      </c>
      <c r="H4" t="s">
        <v>17</v>
      </c>
    </row>
    <row r="5" spans="1:9" hidden="1" x14ac:dyDescent="0.25">
      <c r="A5" s="6">
        <v>42836</v>
      </c>
      <c r="B5">
        <v>340</v>
      </c>
      <c r="C5">
        <v>600</v>
      </c>
      <c r="D5">
        <v>300</v>
      </c>
      <c r="E5" s="3">
        <v>8.5299999999999996E-6</v>
      </c>
      <c r="F5" s="3"/>
      <c r="H5" t="s">
        <v>17</v>
      </c>
    </row>
    <row r="6" spans="1:9" hidden="1" x14ac:dyDescent="0.25">
      <c r="A6" s="6">
        <v>42850</v>
      </c>
      <c r="B6">
        <v>350</v>
      </c>
      <c r="C6">
        <v>600</v>
      </c>
      <c r="D6">
        <v>300</v>
      </c>
      <c r="E6" s="3">
        <v>1.59E-5</v>
      </c>
      <c r="F6" s="3"/>
    </row>
    <row r="7" spans="1:9" hidden="1" x14ac:dyDescent="0.25">
      <c r="A7" s="6">
        <v>42850</v>
      </c>
      <c r="B7">
        <v>350</v>
      </c>
      <c r="C7">
        <v>600</v>
      </c>
      <c r="D7">
        <v>275</v>
      </c>
      <c r="E7" s="3">
        <v>1.29E-5</v>
      </c>
      <c r="F7" s="3"/>
    </row>
    <row r="8" spans="1:9" hidden="1" x14ac:dyDescent="0.25">
      <c r="A8" s="6">
        <v>42850</v>
      </c>
      <c r="B8">
        <v>350</v>
      </c>
      <c r="C8">
        <v>600</v>
      </c>
      <c r="D8">
        <v>250</v>
      </c>
      <c r="E8" s="3">
        <v>1.08E-5</v>
      </c>
      <c r="F8" s="3"/>
      <c r="G8">
        <v>1.52</v>
      </c>
      <c r="H8" t="s">
        <v>25</v>
      </c>
    </row>
    <row r="9" spans="1:9" hidden="1" x14ac:dyDescent="0.25">
      <c r="A9" s="6">
        <v>42850</v>
      </c>
      <c r="B9">
        <v>350</v>
      </c>
      <c r="C9">
        <v>600</v>
      </c>
      <c r="D9">
        <v>225</v>
      </c>
      <c r="E9" s="3">
        <v>9.5200000000000003E-6</v>
      </c>
      <c r="F9" s="3"/>
    </row>
    <row r="10" spans="1:9" hidden="1" x14ac:dyDescent="0.25">
      <c r="A10" s="6">
        <v>42850</v>
      </c>
      <c r="B10">
        <v>350</v>
      </c>
      <c r="C10">
        <v>600</v>
      </c>
      <c r="D10">
        <v>200</v>
      </c>
      <c r="E10" s="3">
        <v>8.2900000000000002E-6</v>
      </c>
      <c r="F10" s="3"/>
    </row>
    <row r="11" spans="1:9" hidden="1" x14ac:dyDescent="0.25">
      <c r="A11" s="6">
        <v>42850</v>
      </c>
      <c r="B11">
        <v>350</v>
      </c>
      <c r="C11">
        <v>600</v>
      </c>
      <c r="D11">
        <v>175</v>
      </c>
      <c r="E11" s="3">
        <v>7.0500000000000003E-6</v>
      </c>
      <c r="F11" s="3"/>
    </row>
    <row r="12" spans="1:9" hidden="1" x14ac:dyDescent="0.25">
      <c r="A12" s="6">
        <v>42850</v>
      </c>
      <c r="B12">
        <v>350</v>
      </c>
      <c r="C12">
        <v>600</v>
      </c>
      <c r="D12">
        <v>150</v>
      </c>
      <c r="E12" s="3">
        <v>5.8100000000000003E-6</v>
      </c>
      <c r="F12" s="3"/>
    </row>
    <row r="13" spans="1:9" hidden="1" x14ac:dyDescent="0.25">
      <c r="A13" s="6">
        <v>42850</v>
      </c>
      <c r="B13">
        <v>350</v>
      </c>
      <c r="C13">
        <v>600</v>
      </c>
      <c r="D13">
        <v>100</v>
      </c>
      <c r="E13" s="3">
        <v>3.5099999999999999E-6</v>
      </c>
      <c r="F13" s="3"/>
    </row>
    <row r="14" spans="1:9" hidden="1" x14ac:dyDescent="0.25">
      <c r="A14" s="6">
        <v>42850</v>
      </c>
      <c r="B14">
        <v>350</v>
      </c>
      <c r="C14">
        <v>600</v>
      </c>
      <c r="D14">
        <v>50</v>
      </c>
      <c r="E14" s="3">
        <v>1.24E-6</v>
      </c>
      <c r="F14" s="3"/>
    </row>
    <row r="15" spans="1:9" hidden="1" x14ac:dyDescent="0.25">
      <c r="A15" s="6">
        <v>42853</v>
      </c>
      <c r="B15">
        <v>350</v>
      </c>
      <c r="C15">
        <v>600</v>
      </c>
      <c r="D15">
        <v>300</v>
      </c>
      <c r="E15" s="3">
        <v>1.5699999999999999E-5</v>
      </c>
      <c r="F15" s="3"/>
    </row>
    <row r="16" spans="1:9" hidden="1" x14ac:dyDescent="0.25">
      <c r="A16" s="6">
        <v>42865</v>
      </c>
      <c r="B16">
        <v>350</v>
      </c>
      <c r="C16">
        <v>600</v>
      </c>
      <c r="D16">
        <v>300</v>
      </c>
      <c r="E16" s="3">
        <v>1.4100000000000001E-5</v>
      </c>
      <c r="F16" s="3"/>
      <c r="H16" s="10" t="s">
        <v>26</v>
      </c>
    </row>
    <row r="17" spans="1:8" hidden="1" x14ac:dyDescent="0.25">
      <c r="A17" s="6">
        <v>42865</v>
      </c>
      <c r="B17">
        <v>350</v>
      </c>
      <c r="C17">
        <v>600</v>
      </c>
      <c r="D17">
        <v>275</v>
      </c>
      <c r="E17" s="3">
        <v>1.13E-5</v>
      </c>
      <c r="F17" s="3"/>
      <c r="H17" s="10" t="s">
        <v>26</v>
      </c>
    </row>
    <row r="18" spans="1:8" hidden="1" x14ac:dyDescent="0.25">
      <c r="A18" s="6">
        <v>42865</v>
      </c>
      <c r="B18">
        <v>350</v>
      </c>
      <c r="C18">
        <v>600</v>
      </c>
      <c r="D18">
        <v>250</v>
      </c>
      <c r="E18" s="3">
        <v>9.4099999999999997E-6</v>
      </c>
      <c r="F18" s="3"/>
      <c r="H18" s="10" t="s">
        <v>26</v>
      </c>
    </row>
    <row r="19" spans="1:8" hidden="1" x14ac:dyDescent="0.25">
      <c r="A19" s="6">
        <v>42865</v>
      </c>
      <c r="B19">
        <v>350</v>
      </c>
      <c r="C19">
        <v>600</v>
      </c>
      <c r="D19">
        <v>200</v>
      </c>
      <c r="E19" s="3">
        <v>7.08E-6</v>
      </c>
      <c r="F19" s="3"/>
      <c r="H19" s="10" t="s">
        <v>26</v>
      </c>
    </row>
    <row r="20" spans="1:8" hidden="1" x14ac:dyDescent="0.25">
      <c r="A20" s="6">
        <v>42865</v>
      </c>
      <c r="B20">
        <v>350</v>
      </c>
      <c r="C20">
        <v>600</v>
      </c>
      <c r="D20">
        <v>100</v>
      </c>
      <c r="E20" s="3">
        <v>2.7999999999999999E-6</v>
      </c>
      <c r="F20" s="3"/>
      <c r="H20" s="10" t="s">
        <v>26</v>
      </c>
    </row>
    <row r="21" spans="1:8" hidden="1" x14ac:dyDescent="0.25">
      <c r="A21" s="6">
        <v>42865</v>
      </c>
      <c r="B21">
        <v>350</v>
      </c>
      <c r="C21">
        <v>600</v>
      </c>
      <c r="D21">
        <v>75</v>
      </c>
      <c r="E21" s="3">
        <v>1.9400000000000001E-6</v>
      </c>
      <c r="F21" s="3"/>
      <c r="H21" s="10" t="s">
        <v>26</v>
      </c>
    </row>
    <row r="22" spans="1:8" hidden="1" x14ac:dyDescent="0.25">
      <c r="A22" s="6">
        <v>42866</v>
      </c>
      <c r="B22">
        <v>350</v>
      </c>
      <c r="C22">
        <v>600</v>
      </c>
      <c r="D22">
        <v>300</v>
      </c>
      <c r="E22" s="3">
        <v>1.47E-5</v>
      </c>
      <c r="F22" s="3"/>
    </row>
    <row r="23" spans="1:8" hidden="1" x14ac:dyDescent="0.25">
      <c r="A23" s="6">
        <v>42866</v>
      </c>
      <c r="B23">
        <v>350</v>
      </c>
      <c r="C23">
        <v>600</v>
      </c>
      <c r="D23">
        <v>63</v>
      </c>
      <c r="E23" s="3">
        <v>1.4500000000000001E-6</v>
      </c>
      <c r="F23" s="3"/>
    </row>
    <row r="24" spans="1:8" hidden="1" x14ac:dyDescent="0.25">
      <c r="A24" s="6">
        <v>42867</v>
      </c>
      <c r="B24" s="14">
        <v>350</v>
      </c>
      <c r="C24" s="14">
        <v>600</v>
      </c>
      <c r="D24">
        <v>300</v>
      </c>
      <c r="E24" s="3">
        <v>1.34E-5</v>
      </c>
      <c r="F24" s="3"/>
      <c r="H24" s="10" t="s">
        <v>33</v>
      </c>
    </row>
    <row r="25" spans="1:8" hidden="1" x14ac:dyDescent="0.25">
      <c r="A25" s="6">
        <v>42867</v>
      </c>
      <c r="B25" s="14">
        <v>350</v>
      </c>
      <c r="C25" s="14">
        <v>600</v>
      </c>
      <c r="D25">
        <v>275</v>
      </c>
      <c r="E25" s="3">
        <v>1.0900000000000001E-5</v>
      </c>
      <c r="F25" s="3"/>
    </row>
    <row r="26" spans="1:8" hidden="1" x14ac:dyDescent="0.25">
      <c r="A26" s="6">
        <v>42867</v>
      </c>
      <c r="B26" s="14">
        <v>350</v>
      </c>
      <c r="C26" s="14">
        <v>600</v>
      </c>
      <c r="D26">
        <v>250</v>
      </c>
      <c r="E26" s="3">
        <v>9.1500000000000005E-6</v>
      </c>
      <c r="F26" s="3"/>
    </row>
    <row r="27" spans="1:8" hidden="1" x14ac:dyDescent="0.25">
      <c r="A27" s="6">
        <v>42867</v>
      </c>
      <c r="B27" s="14">
        <v>350</v>
      </c>
      <c r="C27" s="14">
        <v>600</v>
      </c>
      <c r="D27">
        <v>200</v>
      </c>
      <c r="E27" s="3">
        <v>6.9299999999999997E-6</v>
      </c>
      <c r="F27" s="3"/>
    </row>
    <row r="28" spans="1:8" hidden="1" x14ac:dyDescent="0.25">
      <c r="A28" s="6">
        <v>42867</v>
      </c>
      <c r="B28" s="14">
        <v>350</v>
      </c>
      <c r="C28" s="14">
        <v>600</v>
      </c>
      <c r="D28">
        <v>150</v>
      </c>
      <c r="E28" s="3">
        <v>4.8300000000000003E-6</v>
      </c>
      <c r="F28" s="3"/>
    </row>
    <row r="29" spans="1:8" hidden="1" x14ac:dyDescent="0.25">
      <c r="A29" s="6">
        <v>42867</v>
      </c>
      <c r="B29" s="14">
        <v>350</v>
      </c>
      <c r="C29" s="14">
        <v>600</v>
      </c>
      <c r="D29">
        <v>100</v>
      </c>
      <c r="E29" s="3">
        <v>2.8499999999999998E-6</v>
      </c>
      <c r="F29" s="3"/>
    </row>
    <row r="30" spans="1:8" hidden="1" x14ac:dyDescent="0.25">
      <c r="A30" s="6">
        <v>42867</v>
      </c>
      <c r="B30" s="14">
        <v>350</v>
      </c>
      <c r="C30" s="14">
        <v>600</v>
      </c>
      <c r="D30">
        <v>75</v>
      </c>
      <c r="E30" s="3">
        <v>1.9999999999999999E-6</v>
      </c>
      <c r="F30" s="3"/>
    </row>
    <row r="31" spans="1:8" hidden="1" x14ac:dyDescent="0.25">
      <c r="A31" s="6">
        <v>42867</v>
      </c>
      <c r="B31" s="14">
        <v>350</v>
      </c>
      <c r="C31" s="14">
        <v>600</v>
      </c>
      <c r="D31">
        <v>50</v>
      </c>
      <c r="E31" s="3">
        <v>9.4099999999999997E-7</v>
      </c>
      <c r="F31" s="3"/>
    </row>
    <row r="32" spans="1:8" hidden="1" x14ac:dyDescent="0.25">
      <c r="A32" s="6">
        <v>42867</v>
      </c>
      <c r="B32" s="14">
        <v>350</v>
      </c>
      <c r="C32" s="14">
        <v>600</v>
      </c>
      <c r="D32">
        <v>25</v>
      </c>
      <c r="E32" s="3">
        <v>2.4600000000000001E-7</v>
      </c>
      <c r="F32" s="3"/>
    </row>
    <row r="33" spans="1:16" hidden="1" x14ac:dyDescent="0.25">
      <c r="A33" s="6">
        <v>42870</v>
      </c>
      <c r="B33" s="14">
        <v>350</v>
      </c>
      <c r="C33" s="14">
        <v>600</v>
      </c>
      <c r="D33">
        <v>300</v>
      </c>
      <c r="E33" s="3">
        <v>1.33E-5</v>
      </c>
      <c r="F33" s="3"/>
    </row>
    <row r="34" spans="1:16" hidden="1" x14ac:dyDescent="0.25">
      <c r="A34" s="6">
        <v>42870</v>
      </c>
      <c r="B34" s="14">
        <v>350</v>
      </c>
      <c r="C34" s="14">
        <v>600</v>
      </c>
      <c r="D34">
        <v>100</v>
      </c>
      <c r="E34" s="3">
        <v>2.6800000000000002E-6</v>
      </c>
      <c r="F34" s="3"/>
    </row>
    <row r="35" spans="1:16" hidden="1" x14ac:dyDescent="0.25">
      <c r="A35" s="6">
        <v>42871</v>
      </c>
      <c r="B35" s="14">
        <v>350</v>
      </c>
      <c r="C35" s="14">
        <v>600</v>
      </c>
      <c r="D35">
        <v>300</v>
      </c>
      <c r="E35" s="3">
        <v>1.34E-5</v>
      </c>
      <c r="F35" s="3"/>
    </row>
    <row r="36" spans="1:16" hidden="1" x14ac:dyDescent="0.25">
      <c r="A36" s="6">
        <v>42871</v>
      </c>
      <c r="B36" s="14">
        <v>350</v>
      </c>
      <c r="C36" s="14">
        <v>600</v>
      </c>
      <c r="D36">
        <v>100</v>
      </c>
      <c r="E36" s="3">
        <v>2.7099999999999999E-6</v>
      </c>
      <c r="F36" s="3"/>
    </row>
    <row r="37" spans="1:16" hidden="1" x14ac:dyDescent="0.25">
      <c r="A37" s="6">
        <v>42871</v>
      </c>
      <c r="B37" s="14">
        <v>350</v>
      </c>
      <c r="C37" s="14">
        <v>600</v>
      </c>
      <c r="D37">
        <v>75</v>
      </c>
      <c r="E37" s="3">
        <v>1.88E-6</v>
      </c>
      <c r="F37" s="3"/>
    </row>
    <row r="38" spans="1:16" hidden="1" x14ac:dyDescent="0.25">
      <c r="A38" s="6">
        <v>42871</v>
      </c>
      <c r="B38" s="14">
        <v>350</v>
      </c>
      <c r="C38" s="14">
        <v>600</v>
      </c>
      <c r="D38">
        <v>50</v>
      </c>
      <c r="E38" s="3">
        <v>9.0800000000000003E-7</v>
      </c>
      <c r="F38" s="3"/>
    </row>
    <row r="39" spans="1:16" hidden="1" x14ac:dyDescent="0.25">
      <c r="A39" s="6">
        <v>42871</v>
      </c>
      <c r="B39" s="14">
        <v>350</v>
      </c>
      <c r="C39" s="14">
        <v>600</v>
      </c>
      <c r="D39">
        <v>25</v>
      </c>
      <c r="E39" s="3">
        <v>2.5199999999999998E-7</v>
      </c>
      <c r="F39" s="3"/>
    </row>
    <row r="40" spans="1:16" hidden="1" x14ac:dyDescent="0.25">
      <c r="A40" s="6">
        <v>42879</v>
      </c>
      <c r="B40" s="14">
        <v>350</v>
      </c>
      <c r="C40" s="14">
        <v>600</v>
      </c>
      <c r="D40">
        <v>300</v>
      </c>
      <c r="E40" s="3">
        <v>1.03E-5</v>
      </c>
      <c r="F40" s="3"/>
    </row>
    <row r="41" spans="1:16" hidden="1" x14ac:dyDescent="0.25">
      <c r="A41" s="6">
        <v>42879</v>
      </c>
      <c r="B41" s="14">
        <v>350</v>
      </c>
      <c r="C41" s="14">
        <v>600</v>
      </c>
      <c r="D41">
        <v>250</v>
      </c>
      <c r="E41" s="3">
        <v>8.6400000000000003E-6</v>
      </c>
      <c r="F41" s="3"/>
    </row>
    <row r="42" spans="1:16" hidden="1" x14ac:dyDescent="0.25">
      <c r="A42" s="6">
        <v>42879</v>
      </c>
      <c r="B42" s="14">
        <v>350</v>
      </c>
      <c r="C42" s="14">
        <v>600</v>
      </c>
      <c r="D42">
        <v>200</v>
      </c>
      <c r="E42" s="3">
        <v>6.5100000000000004E-6</v>
      </c>
      <c r="F42" s="3"/>
    </row>
    <row r="43" spans="1:16" hidden="1" x14ac:dyDescent="0.25">
      <c r="A43" s="6">
        <v>42879</v>
      </c>
      <c r="B43" s="14">
        <v>350</v>
      </c>
      <c r="C43" s="14">
        <v>600</v>
      </c>
      <c r="D43">
        <v>150</v>
      </c>
      <c r="E43" s="3">
        <v>4.5600000000000004E-6</v>
      </c>
      <c r="F43" s="3"/>
    </row>
    <row r="44" spans="1:16" hidden="1" x14ac:dyDescent="0.25">
      <c r="A44" s="6">
        <v>42879</v>
      </c>
      <c r="B44" s="14">
        <v>350</v>
      </c>
      <c r="C44" s="14">
        <v>600</v>
      </c>
      <c r="D44">
        <v>100</v>
      </c>
      <c r="E44" s="3">
        <v>2.7499999999999999E-6</v>
      </c>
      <c r="F44" s="3"/>
    </row>
    <row r="45" spans="1:16" hidden="1" x14ac:dyDescent="0.25">
      <c r="A45" s="6">
        <v>42879</v>
      </c>
      <c r="B45" s="14">
        <v>350</v>
      </c>
      <c r="C45" s="14">
        <v>600</v>
      </c>
      <c r="D45">
        <v>75</v>
      </c>
      <c r="E45" s="3">
        <v>1.7999999999999999E-6</v>
      </c>
      <c r="F45" s="3"/>
    </row>
    <row r="46" spans="1:16" hidden="1" x14ac:dyDescent="0.25">
      <c r="A46" s="6">
        <v>42879</v>
      </c>
      <c r="B46" s="14">
        <v>350</v>
      </c>
      <c r="C46" s="14">
        <v>600</v>
      </c>
      <c r="D46">
        <v>50</v>
      </c>
      <c r="E46" s="3">
        <v>9.3500000000000005E-7</v>
      </c>
      <c r="F46" s="3"/>
      <c r="K46" t="s">
        <v>38</v>
      </c>
      <c r="L46" t="s">
        <v>39</v>
      </c>
      <c r="M46" t="s">
        <v>40</v>
      </c>
      <c r="N46" t="s">
        <v>41</v>
      </c>
      <c r="O46" t="s">
        <v>42</v>
      </c>
      <c r="P46" t="s">
        <v>12</v>
      </c>
    </row>
    <row r="47" spans="1:16" hidden="1" x14ac:dyDescent="0.25">
      <c r="A47" s="6">
        <v>42879</v>
      </c>
      <c r="B47" s="14">
        <v>350</v>
      </c>
      <c r="C47" s="14">
        <v>600</v>
      </c>
      <c r="D47">
        <v>25</v>
      </c>
      <c r="E47" s="3">
        <v>2.7000000000000001E-7</v>
      </c>
      <c r="F47" s="3"/>
      <c r="K47" s="3">
        <v>-1.258E-14</v>
      </c>
      <c r="L47" s="3">
        <v>7.7780000000000002E-11</v>
      </c>
      <c r="M47" s="3">
        <v>2.384E-8</v>
      </c>
      <c r="N47" s="3">
        <v>-4.1199999999999998E-7</v>
      </c>
      <c r="O47" s="13">
        <v>135</v>
      </c>
      <c r="P47" s="3">
        <f>K47*O47^3+L47*O47^2+M47*O47+N47</f>
        <v>4.1929889825000006E-6</v>
      </c>
    </row>
    <row r="48" spans="1:16" hidden="1" x14ac:dyDescent="0.25">
      <c r="A48" s="6">
        <v>42950</v>
      </c>
      <c r="B48" s="14">
        <v>350</v>
      </c>
      <c r="C48" s="14">
        <v>600</v>
      </c>
      <c r="D48">
        <v>300</v>
      </c>
      <c r="E48" s="3">
        <v>1.1199999999999999E-5</v>
      </c>
      <c r="F48" s="3"/>
      <c r="G48">
        <v>2.2810000000000001</v>
      </c>
    </row>
    <row r="49" spans="1:16" hidden="1" x14ac:dyDescent="0.25">
      <c r="A49" s="6">
        <v>42950</v>
      </c>
      <c r="B49" s="14">
        <v>350</v>
      </c>
      <c r="C49" s="14">
        <v>600</v>
      </c>
      <c r="D49">
        <v>250</v>
      </c>
      <c r="E49" s="3">
        <v>7.3599999999999998E-6</v>
      </c>
      <c r="F49" s="3"/>
      <c r="G49">
        <v>1.6</v>
      </c>
    </row>
    <row r="50" spans="1:16" hidden="1" x14ac:dyDescent="0.25">
      <c r="A50" s="6">
        <v>42950</v>
      </c>
      <c r="B50" s="14">
        <v>350</v>
      </c>
      <c r="C50" s="14">
        <v>600</v>
      </c>
      <c r="D50">
        <v>200</v>
      </c>
      <c r="E50" s="3">
        <v>5.5400000000000003E-6</v>
      </c>
      <c r="F50" s="3"/>
      <c r="G50">
        <v>1.3</v>
      </c>
    </row>
    <row r="51" spans="1:16" hidden="1" x14ac:dyDescent="0.25">
      <c r="A51" s="6">
        <v>42950</v>
      </c>
      <c r="B51" s="14">
        <v>350</v>
      </c>
      <c r="C51" s="14">
        <v>600</v>
      </c>
      <c r="D51">
        <v>150</v>
      </c>
      <c r="E51" s="3">
        <v>3.8399999999999997E-6</v>
      </c>
      <c r="F51" s="3"/>
      <c r="G51">
        <v>0.8</v>
      </c>
    </row>
    <row r="52" spans="1:16" hidden="1" x14ac:dyDescent="0.25">
      <c r="A52" s="6">
        <v>42950</v>
      </c>
      <c r="B52" s="14">
        <v>350</v>
      </c>
      <c r="C52" s="14">
        <v>600</v>
      </c>
      <c r="D52">
        <v>100</v>
      </c>
      <c r="E52" s="3">
        <v>2.2699999999999999E-6</v>
      </c>
      <c r="F52" s="3"/>
    </row>
    <row r="53" spans="1:16" hidden="1" x14ac:dyDescent="0.25">
      <c r="A53" s="6">
        <v>42950</v>
      </c>
      <c r="B53" s="14">
        <v>350</v>
      </c>
      <c r="C53" s="14">
        <v>600</v>
      </c>
      <c r="D53">
        <v>50</v>
      </c>
      <c r="E53" s="3">
        <v>7.9899999999999999E-7</v>
      </c>
      <c r="F53" s="3"/>
    </row>
    <row r="54" spans="1:16" hidden="1" x14ac:dyDescent="0.25">
      <c r="A54" s="6">
        <v>42972</v>
      </c>
      <c r="B54" s="14">
        <v>350</v>
      </c>
      <c r="C54" s="14">
        <v>600</v>
      </c>
      <c r="D54">
        <v>300</v>
      </c>
      <c r="E54" s="3">
        <v>1.1E-5</v>
      </c>
      <c r="F54" s="3"/>
    </row>
    <row r="55" spans="1:16" hidden="1" x14ac:dyDescent="0.25">
      <c r="A55" s="6">
        <v>42972</v>
      </c>
      <c r="B55" s="14">
        <v>350</v>
      </c>
      <c r="C55" s="14">
        <v>600</v>
      </c>
      <c r="D55">
        <v>100</v>
      </c>
      <c r="E55" s="3">
        <v>2.2500000000000001E-6</v>
      </c>
      <c r="F55" s="3"/>
    </row>
    <row r="56" spans="1:16" hidden="1" x14ac:dyDescent="0.25">
      <c r="A56" s="6">
        <v>42972</v>
      </c>
      <c r="B56" s="14">
        <v>350</v>
      </c>
      <c r="C56" s="14">
        <v>600</v>
      </c>
      <c r="D56">
        <v>85</v>
      </c>
      <c r="E56" s="3">
        <v>1.8199999999999999E-6</v>
      </c>
      <c r="F56" s="3"/>
    </row>
    <row r="57" spans="1:16" hidden="1" x14ac:dyDescent="0.25">
      <c r="A57" s="6">
        <v>42972</v>
      </c>
      <c r="B57" s="14">
        <v>350</v>
      </c>
      <c r="C57" s="14">
        <v>600</v>
      </c>
      <c r="D57">
        <v>50</v>
      </c>
      <c r="E57" s="3">
        <v>7.9999999999999996E-7</v>
      </c>
      <c r="F57" s="3"/>
    </row>
    <row r="58" spans="1:16" hidden="1" x14ac:dyDescent="0.25">
      <c r="A58" s="7">
        <v>42992</v>
      </c>
      <c r="B58" s="14">
        <v>350</v>
      </c>
      <c r="C58" s="14">
        <v>600</v>
      </c>
      <c r="D58">
        <v>300</v>
      </c>
      <c r="E58" s="3">
        <v>1.1199999999999999E-5</v>
      </c>
      <c r="F58" s="3"/>
    </row>
    <row r="59" spans="1:16" hidden="1" x14ac:dyDescent="0.25">
      <c r="D59">
        <v>250</v>
      </c>
      <c r="E59" s="3">
        <v>7.3499999999999999E-6</v>
      </c>
      <c r="F59" s="3"/>
    </row>
    <row r="60" spans="1:16" hidden="1" x14ac:dyDescent="0.25">
      <c r="D60">
        <v>115</v>
      </c>
      <c r="E60" s="3">
        <v>2.7499999999999999E-6</v>
      </c>
      <c r="F60" s="3"/>
    </row>
    <row r="61" spans="1:16" hidden="1" x14ac:dyDescent="0.25">
      <c r="D61">
        <v>105</v>
      </c>
      <c r="E61" s="3">
        <v>2.4499999999999998E-6</v>
      </c>
      <c r="F61" s="3"/>
    </row>
    <row r="62" spans="1:16" hidden="1" x14ac:dyDescent="0.25">
      <c r="D62">
        <v>95</v>
      </c>
      <c r="E62" s="3">
        <v>2.1799999999999999E-6</v>
      </c>
      <c r="F62" s="3"/>
    </row>
    <row r="63" spans="1:16" hidden="1" x14ac:dyDescent="0.25">
      <c r="D63">
        <v>85</v>
      </c>
      <c r="E63" s="3">
        <v>1.9099999999999999E-6</v>
      </c>
      <c r="F63" s="3"/>
    </row>
    <row r="64" spans="1:16" hidden="1" x14ac:dyDescent="0.25">
      <c r="D64">
        <v>75</v>
      </c>
      <c r="E64" s="3">
        <v>1.6500000000000001E-6</v>
      </c>
      <c r="F64" s="3"/>
      <c r="K64" t="s">
        <v>38</v>
      </c>
      <c r="L64" t="s">
        <v>39</v>
      </c>
      <c r="M64" t="s">
        <v>40</v>
      </c>
      <c r="N64" t="s">
        <v>41</v>
      </c>
      <c r="O64" t="s">
        <v>42</v>
      </c>
      <c r="P64" t="s">
        <v>12</v>
      </c>
    </row>
    <row r="65" spans="1:16" hidden="1" x14ac:dyDescent="0.25">
      <c r="D65">
        <v>65</v>
      </c>
      <c r="E65" s="3">
        <v>1.3E-6</v>
      </c>
      <c r="F65" s="3"/>
      <c r="K65" s="3">
        <v>9.4889999999999992E-13</v>
      </c>
      <c r="L65" s="3">
        <v>-3.9939999999999999E-10</v>
      </c>
      <c r="M65" s="3">
        <v>8.0799999999999996E-8</v>
      </c>
      <c r="N65" s="3">
        <v>-2.712E-6</v>
      </c>
      <c r="O65" s="13">
        <v>125</v>
      </c>
      <c r="P65" s="3">
        <f>K65*O65^3+L65*O65^2+M65*O65+N65</f>
        <v>3.0006953124999996E-6</v>
      </c>
    </row>
    <row r="66" spans="1:16" hidden="1" x14ac:dyDescent="0.25">
      <c r="A66" s="7">
        <v>42996</v>
      </c>
      <c r="B66">
        <v>350</v>
      </c>
      <c r="C66">
        <v>600</v>
      </c>
      <c r="D66">
        <v>300</v>
      </c>
      <c r="E66" s="3">
        <v>1.11E-5</v>
      </c>
      <c r="F66" s="3"/>
    </row>
    <row r="67" spans="1:16" hidden="1" x14ac:dyDescent="0.25">
      <c r="D67">
        <v>250</v>
      </c>
      <c r="E67" s="3">
        <v>7.3200000000000002E-6</v>
      </c>
      <c r="F67" s="3"/>
    </row>
    <row r="68" spans="1:16" hidden="1" x14ac:dyDescent="0.25">
      <c r="D68">
        <v>200</v>
      </c>
      <c r="E68" s="3">
        <v>5.5500000000000002E-6</v>
      </c>
      <c r="F68" s="3"/>
    </row>
    <row r="69" spans="1:16" hidden="1" x14ac:dyDescent="0.25">
      <c r="D69">
        <v>175</v>
      </c>
      <c r="E69" s="3">
        <v>4.6999999999999999E-6</v>
      </c>
      <c r="F69" s="3"/>
    </row>
    <row r="70" spans="1:16" hidden="1" x14ac:dyDescent="0.25">
      <c r="D70">
        <v>150</v>
      </c>
      <c r="E70" s="3">
        <v>3.8800000000000001E-6</v>
      </c>
      <c r="F70" s="3"/>
    </row>
    <row r="71" spans="1:16" hidden="1" x14ac:dyDescent="0.25">
      <c r="D71">
        <v>125</v>
      </c>
      <c r="E71" s="3">
        <v>3.1200000000000002E-6</v>
      </c>
      <c r="F71" s="3"/>
    </row>
    <row r="72" spans="1:16" hidden="1" x14ac:dyDescent="0.25">
      <c r="D72">
        <v>127</v>
      </c>
      <c r="E72" s="3">
        <v>3.19E-6</v>
      </c>
      <c r="F72" s="3"/>
    </row>
    <row r="73" spans="1:16" hidden="1" x14ac:dyDescent="0.25">
      <c r="A73" s="7">
        <v>43000</v>
      </c>
      <c r="B73">
        <v>350</v>
      </c>
      <c r="C73">
        <v>600</v>
      </c>
      <c r="D73">
        <v>300</v>
      </c>
      <c r="E73" s="3">
        <v>1.1199999999999999E-5</v>
      </c>
      <c r="F73" s="3"/>
    </row>
    <row r="74" spans="1:16" hidden="1" x14ac:dyDescent="0.25">
      <c r="D74">
        <v>250</v>
      </c>
      <c r="E74" s="3">
        <v>7.3900000000000004E-6</v>
      </c>
      <c r="F74" s="3"/>
    </row>
    <row r="75" spans="1:16" hidden="1" x14ac:dyDescent="0.25">
      <c r="D75">
        <v>100</v>
      </c>
      <c r="E75" s="3">
        <v>2.3599999999999999E-6</v>
      </c>
      <c r="F75" s="3"/>
    </row>
    <row r="76" spans="1:16" hidden="1" x14ac:dyDescent="0.25">
      <c r="D76">
        <v>85</v>
      </c>
      <c r="E76" s="3">
        <v>1.9199999999999998E-6</v>
      </c>
      <c r="F76" s="3"/>
      <c r="G76" s="3"/>
    </row>
    <row r="77" spans="1:16" hidden="1" x14ac:dyDescent="0.25">
      <c r="D77">
        <v>75</v>
      </c>
      <c r="E77" s="3">
        <v>1.66E-6</v>
      </c>
      <c r="F77" s="3"/>
      <c r="G77" s="3"/>
    </row>
    <row r="78" spans="1:16" hidden="1" x14ac:dyDescent="0.25">
      <c r="D78">
        <v>65</v>
      </c>
      <c r="E78" s="3">
        <v>1.31E-6</v>
      </c>
      <c r="F78" s="3"/>
    </row>
    <row r="79" spans="1:16" hidden="1" x14ac:dyDescent="0.25">
      <c r="D79">
        <v>55</v>
      </c>
      <c r="E79" s="3">
        <v>9.9999999999999995E-7</v>
      </c>
      <c r="F79" s="3"/>
    </row>
    <row r="80" spans="1:16" hidden="1" x14ac:dyDescent="0.25">
      <c r="D80">
        <v>45</v>
      </c>
      <c r="E80" s="3">
        <v>7.0500000000000003E-7</v>
      </c>
      <c r="F80" s="3"/>
    </row>
    <row r="81" spans="1:16" hidden="1" x14ac:dyDescent="0.25">
      <c r="D81">
        <v>35</v>
      </c>
      <c r="E81" s="3">
        <v>4.5999999999999999E-7</v>
      </c>
      <c r="F81" s="3"/>
    </row>
    <row r="82" spans="1:16" hidden="1" x14ac:dyDescent="0.25">
      <c r="D82">
        <v>25</v>
      </c>
      <c r="E82" s="3">
        <v>2.48E-7</v>
      </c>
      <c r="F82" s="3"/>
      <c r="K82" t="s">
        <v>38</v>
      </c>
      <c r="L82" t="s">
        <v>39</v>
      </c>
      <c r="M82" t="s">
        <v>40</v>
      </c>
      <c r="N82" t="s">
        <v>41</v>
      </c>
      <c r="O82" t="s">
        <v>42</v>
      </c>
      <c r="P82" t="s">
        <v>12</v>
      </c>
    </row>
    <row r="83" spans="1:16" hidden="1" x14ac:dyDescent="0.25">
      <c r="D83">
        <v>35</v>
      </c>
      <c r="E83" s="3">
        <v>4.4700000000000002E-7</v>
      </c>
      <c r="F83" s="3"/>
      <c r="K83" s="3">
        <v>9.4889999999999992E-13</v>
      </c>
      <c r="L83" s="3">
        <v>-3.9939999999999999E-10</v>
      </c>
      <c r="M83" s="3">
        <v>8.0799999999999996E-8</v>
      </c>
      <c r="N83" s="3">
        <v>-2.712E-6</v>
      </c>
      <c r="O83" s="13">
        <v>30</v>
      </c>
      <c r="P83" s="3">
        <f>K83*O83^3+L83*O83^2+M83*O83+N83</f>
        <v>-6.2183970000000014E-7</v>
      </c>
    </row>
    <row r="84" spans="1:16" hidden="1" x14ac:dyDescent="0.25">
      <c r="D84">
        <v>45</v>
      </c>
      <c r="E84" s="3">
        <v>6.8999999999999996E-7</v>
      </c>
      <c r="F84" s="3"/>
    </row>
    <row r="85" spans="1:16" hidden="1" x14ac:dyDescent="0.25">
      <c r="D85">
        <v>55</v>
      </c>
      <c r="E85" s="3">
        <v>9.9399999999999993E-7</v>
      </c>
      <c r="F85" s="3"/>
    </row>
    <row r="86" spans="1:16" hidden="1" x14ac:dyDescent="0.25">
      <c r="D86">
        <v>65</v>
      </c>
      <c r="E86" s="3">
        <v>1.3E-6</v>
      </c>
      <c r="F86" s="3"/>
    </row>
    <row r="87" spans="1:16" hidden="1" x14ac:dyDescent="0.25">
      <c r="D87">
        <v>75</v>
      </c>
      <c r="E87" s="3">
        <v>1.66E-6</v>
      </c>
      <c r="F87" s="3"/>
    </row>
    <row r="88" spans="1:16" hidden="1" x14ac:dyDescent="0.25">
      <c r="D88">
        <v>85</v>
      </c>
      <c r="E88" s="3">
        <v>1.9199999999999998E-6</v>
      </c>
      <c r="F88" s="3"/>
    </row>
    <row r="89" spans="1:16" hidden="1" x14ac:dyDescent="0.25">
      <c r="A89" s="7">
        <v>43003</v>
      </c>
      <c r="B89">
        <v>350</v>
      </c>
      <c r="C89">
        <v>600</v>
      </c>
      <c r="D89">
        <v>300</v>
      </c>
      <c r="E89" s="3">
        <v>1.13E-5</v>
      </c>
      <c r="F89" s="3"/>
    </row>
    <row r="90" spans="1:16" hidden="1" x14ac:dyDescent="0.25">
      <c r="D90">
        <v>250</v>
      </c>
      <c r="E90" s="3">
        <v>7.4599999999999997E-6</v>
      </c>
      <c r="F90" s="3"/>
    </row>
    <row r="91" spans="1:16" hidden="1" x14ac:dyDescent="0.25">
      <c r="D91">
        <v>85</v>
      </c>
      <c r="E91" s="3">
        <v>1.9300000000000002E-6</v>
      </c>
      <c r="F91" s="3"/>
    </row>
    <row r="92" spans="1:16" hidden="1" x14ac:dyDescent="0.25">
      <c r="D92">
        <v>50</v>
      </c>
      <c r="E92" s="3">
        <v>8.4E-7</v>
      </c>
      <c r="F92" s="3"/>
    </row>
    <row r="93" spans="1:16" hidden="1" x14ac:dyDescent="0.25">
      <c r="A93" s="7">
        <v>43012</v>
      </c>
      <c r="B93">
        <v>350</v>
      </c>
      <c r="C93">
        <v>600</v>
      </c>
      <c r="D93">
        <v>300</v>
      </c>
      <c r="E93" s="3">
        <v>1.0699999999999999E-5</v>
      </c>
      <c r="F93" s="3">
        <f>LN(E93)</f>
        <v>-11.445266816496414</v>
      </c>
      <c r="G93" t="s">
        <v>45</v>
      </c>
    </row>
    <row r="94" spans="1:16" hidden="1" x14ac:dyDescent="0.25">
      <c r="D94">
        <v>250</v>
      </c>
      <c r="E94" s="3">
        <v>7.08E-6</v>
      </c>
      <c r="F94" s="3">
        <f t="shared" ref="F94:F130" si="0">LN(E94)</f>
        <v>-11.858236650258645</v>
      </c>
    </row>
    <row r="95" spans="1:16" hidden="1" x14ac:dyDescent="0.25">
      <c r="D95">
        <v>85</v>
      </c>
      <c r="E95" s="3">
        <v>1.81E-6</v>
      </c>
      <c r="F95" s="3">
        <f t="shared" si="0"/>
        <v>-13.22218371268654</v>
      </c>
      <c r="G95">
        <v>0.218</v>
      </c>
    </row>
    <row r="96" spans="1:16" hidden="1" x14ac:dyDescent="0.25">
      <c r="A96" s="7">
        <v>43017</v>
      </c>
      <c r="B96">
        <v>350</v>
      </c>
      <c r="C96">
        <v>600</v>
      </c>
      <c r="D96">
        <v>300</v>
      </c>
      <c r="E96" s="3">
        <v>1.04E-5</v>
      </c>
      <c r="F96" s="3">
        <f t="shared" si="0"/>
        <v>-11.473704751816948</v>
      </c>
    </row>
    <row r="97" spans="1:15" hidden="1" x14ac:dyDescent="0.25">
      <c r="D97">
        <v>250</v>
      </c>
      <c r="E97" s="3">
        <v>6.8900000000000001E-6</v>
      </c>
      <c r="F97" s="3">
        <f t="shared" si="0"/>
        <v>-11.885439472938707</v>
      </c>
    </row>
    <row r="98" spans="1:15" hidden="1" x14ac:dyDescent="0.25">
      <c r="D98">
        <v>130</v>
      </c>
      <c r="E98" s="3">
        <v>3.0199999999999999E-6</v>
      </c>
      <c r="F98" s="3">
        <f t="shared" si="0"/>
        <v>-12.710253726577497</v>
      </c>
      <c r="G98">
        <v>0.69599999999999995</v>
      </c>
      <c r="H98" t="s">
        <v>48</v>
      </c>
    </row>
    <row r="99" spans="1:15" hidden="1" x14ac:dyDescent="0.25">
      <c r="A99" s="7">
        <v>43032</v>
      </c>
      <c r="B99">
        <v>350</v>
      </c>
      <c r="C99">
        <v>600</v>
      </c>
      <c r="D99">
        <v>300</v>
      </c>
      <c r="E99" s="3">
        <v>1.01E-5</v>
      </c>
      <c r="F99" s="3">
        <f t="shared" si="0"/>
        <v>-11.50297513411706</v>
      </c>
    </row>
    <row r="100" spans="1:15" hidden="1" x14ac:dyDescent="0.25">
      <c r="D100">
        <v>250</v>
      </c>
      <c r="E100" s="3">
        <v>6.7299999999999999E-6</v>
      </c>
      <c r="F100" s="3">
        <f t="shared" si="0"/>
        <v>-11.908935414307638</v>
      </c>
      <c r="L100" s="5" t="s">
        <v>11</v>
      </c>
      <c r="M100" s="5" t="s">
        <v>7</v>
      </c>
      <c r="N100" s="5" t="s">
        <v>12</v>
      </c>
      <c r="O100" s="5" t="s">
        <v>47</v>
      </c>
    </row>
    <row r="101" spans="1:15" hidden="1" x14ac:dyDescent="0.25">
      <c r="D101">
        <v>100</v>
      </c>
      <c r="E101" s="20">
        <v>2.3199999999999998E-6</v>
      </c>
      <c r="F101" s="3">
        <f t="shared" si="0"/>
        <v>-12.973943372286056</v>
      </c>
      <c r="G101">
        <v>0.30399999999999999</v>
      </c>
      <c r="L101">
        <v>0.47</v>
      </c>
      <c r="M101">
        <f>3.2981*L101-14.033</f>
        <v>-12.482892999999999</v>
      </c>
      <c r="N101">
        <f>EXP(M101)</f>
        <v>3.7909534522271941E-6</v>
      </c>
      <c r="O101">
        <f>N101/0.00000021</f>
        <v>18.052159296319971</v>
      </c>
    </row>
    <row r="102" spans="1:15" hidden="1" x14ac:dyDescent="0.25">
      <c r="D102">
        <v>85</v>
      </c>
      <c r="E102" s="3">
        <v>1.77E-6</v>
      </c>
      <c r="F102" s="3">
        <f t="shared" si="0"/>
        <v>-13.244531011378536</v>
      </c>
      <c r="G102">
        <v>0.25</v>
      </c>
    </row>
    <row r="103" spans="1:15" hidden="1" x14ac:dyDescent="0.25">
      <c r="A103" s="7">
        <v>43046</v>
      </c>
      <c r="B103">
        <v>350</v>
      </c>
      <c r="C103">
        <v>600</v>
      </c>
      <c r="D103">
        <v>130</v>
      </c>
      <c r="E103" s="3">
        <v>2.9699999999999999E-6</v>
      </c>
      <c r="F103" s="3">
        <f t="shared" si="0"/>
        <v>-12.726948605149666</v>
      </c>
      <c r="G103">
        <v>0.40200000000000002</v>
      </c>
    </row>
    <row r="104" spans="1:15" hidden="1" x14ac:dyDescent="0.25">
      <c r="A104" s="7">
        <v>43048</v>
      </c>
      <c r="B104">
        <v>350</v>
      </c>
      <c r="C104">
        <v>600</v>
      </c>
      <c r="D104">
        <v>300</v>
      </c>
      <c r="E104" s="3">
        <v>9.9699999999999994E-6</v>
      </c>
      <c r="F104" s="3">
        <f t="shared" si="0"/>
        <v>-11.515929973990527</v>
      </c>
    </row>
    <row r="105" spans="1:15" hidden="1" x14ac:dyDescent="0.25">
      <c r="D105">
        <v>250</v>
      </c>
      <c r="E105" s="3">
        <v>6.5699999999999998E-6</v>
      </c>
      <c r="F105" s="3">
        <f t="shared" si="0"/>
        <v>-11.932996725467754</v>
      </c>
    </row>
    <row r="106" spans="1:15" hidden="1" x14ac:dyDescent="0.25">
      <c r="D106">
        <v>130</v>
      </c>
      <c r="E106" s="3">
        <v>2.8899999999999999E-6</v>
      </c>
      <c r="F106" s="3">
        <f t="shared" si="0"/>
        <v>-12.754254055839933</v>
      </c>
      <c r="G106">
        <v>0.41</v>
      </c>
      <c r="H106" t="s">
        <v>54</v>
      </c>
    </row>
    <row r="107" spans="1:15" hidden="1" x14ac:dyDescent="0.25">
      <c r="A107" s="7">
        <v>43053</v>
      </c>
      <c r="B107">
        <v>350</v>
      </c>
      <c r="C107">
        <v>900</v>
      </c>
      <c r="D107">
        <v>300</v>
      </c>
      <c r="E107" s="3">
        <v>4.8099999999999997E-6</v>
      </c>
      <c r="F107" s="3">
        <f t="shared" si="0"/>
        <v>-12.244813473846605</v>
      </c>
    </row>
    <row r="108" spans="1:15" hidden="1" x14ac:dyDescent="0.25">
      <c r="D108">
        <v>250</v>
      </c>
      <c r="E108" s="3">
        <v>3.14E-6</v>
      </c>
      <c r="F108" s="3">
        <f t="shared" si="0"/>
        <v>-12.671287758044112</v>
      </c>
    </row>
    <row r="109" spans="1:15" hidden="1" x14ac:dyDescent="0.25">
      <c r="D109">
        <v>150</v>
      </c>
      <c r="E109" s="3">
        <v>1.6700000000000001E-6</v>
      </c>
      <c r="F109" s="3">
        <f t="shared" si="0"/>
        <v>-13.302686931535611</v>
      </c>
    </row>
    <row r="110" spans="1:15" hidden="1" x14ac:dyDescent="0.25">
      <c r="D110">
        <v>130</v>
      </c>
      <c r="E110" s="3">
        <v>1.4100000000000001E-6</v>
      </c>
      <c r="F110" s="3">
        <f t="shared" si="0"/>
        <v>-13.471920853574197</v>
      </c>
    </row>
    <row r="111" spans="1:15" hidden="1" x14ac:dyDescent="0.25">
      <c r="D111">
        <v>100</v>
      </c>
      <c r="E111" s="3">
        <v>1.0300000000000001E-6</v>
      </c>
      <c r="F111" s="3">
        <f t="shared" si="0"/>
        <v>-13.78595175572273</v>
      </c>
    </row>
    <row r="112" spans="1:15" hidden="1" x14ac:dyDescent="0.25">
      <c r="D112">
        <v>80</v>
      </c>
      <c r="E112" s="3">
        <v>7.8899999999999998E-7</v>
      </c>
      <c r="F112" s="3">
        <f t="shared" si="0"/>
        <v>-14.052499516100537</v>
      </c>
    </row>
    <row r="113" spans="1:24" hidden="1" x14ac:dyDescent="0.25">
      <c r="D113">
        <v>50</v>
      </c>
      <c r="E113" s="3">
        <v>3.77E-7</v>
      </c>
      <c r="F113" s="3">
        <f t="shared" si="0"/>
        <v>-14.7910206494984</v>
      </c>
    </row>
    <row r="114" spans="1:24" hidden="1" x14ac:dyDescent="0.25">
      <c r="D114">
        <v>30</v>
      </c>
      <c r="E114" s="3">
        <v>1.5699999999999999E-7</v>
      </c>
      <c r="F114" s="3">
        <f t="shared" si="0"/>
        <v>-15.667020031598103</v>
      </c>
    </row>
    <row r="115" spans="1:24" hidden="1" x14ac:dyDescent="0.25">
      <c r="D115">
        <v>35</v>
      </c>
      <c r="E115" s="3">
        <v>2.0699999999999999E-7</v>
      </c>
      <c r="F115" s="3">
        <f t="shared" si="0"/>
        <v>-15.390547043681043</v>
      </c>
    </row>
    <row r="116" spans="1:24" hidden="1" x14ac:dyDescent="0.25">
      <c r="A116" s="7">
        <v>43055</v>
      </c>
      <c r="B116">
        <v>350</v>
      </c>
      <c r="C116">
        <v>900</v>
      </c>
      <c r="D116">
        <v>300</v>
      </c>
      <c r="E116" s="3">
        <v>5.2399999999999998E-6</v>
      </c>
      <c r="F116" s="3">
        <f t="shared" si="0"/>
        <v>-12.159189059631323</v>
      </c>
    </row>
    <row r="117" spans="1:24" hidden="1" x14ac:dyDescent="0.25">
      <c r="D117">
        <v>250</v>
      </c>
      <c r="E117" s="3">
        <v>3.4000000000000001E-6</v>
      </c>
      <c r="F117" s="3">
        <f t="shared" si="0"/>
        <v>-12.591735126342158</v>
      </c>
    </row>
    <row r="118" spans="1:24" hidden="1" x14ac:dyDescent="0.25">
      <c r="D118">
        <v>225</v>
      </c>
      <c r="E118" s="3">
        <v>2.9500000000000001E-6</v>
      </c>
      <c r="F118" s="3">
        <f t="shared" si="0"/>
        <v>-12.733705387612545</v>
      </c>
    </row>
    <row r="119" spans="1:24" hidden="1" x14ac:dyDescent="0.25">
      <c r="D119">
        <v>130</v>
      </c>
      <c r="E119" s="3">
        <v>1.53E-6</v>
      </c>
      <c r="F119" s="3">
        <f t="shared" si="0"/>
        <v>-13.39024282255993</v>
      </c>
    </row>
    <row r="120" spans="1:24" hidden="1" x14ac:dyDescent="0.25">
      <c r="D120">
        <v>35</v>
      </c>
      <c r="E120" s="3">
        <v>2.2499999999999999E-7</v>
      </c>
      <c r="F120" s="3">
        <f t="shared" si="0"/>
        <v>-15.307165434741991</v>
      </c>
      <c r="K120" t="s">
        <v>38</v>
      </c>
      <c r="L120" t="s">
        <v>39</v>
      </c>
      <c r="M120" t="s">
        <v>40</v>
      </c>
      <c r="N120" t="s">
        <v>41</v>
      </c>
      <c r="O120" t="s">
        <v>42</v>
      </c>
      <c r="P120" t="s">
        <v>12</v>
      </c>
      <c r="S120" t="s">
        <v>38</v>
      </c>
      <c r="T120" t="s">
        <v>39</v>
      </c>
      <c r="U120" t="s">
        <v>40</v>
      </c>
      <c r="V120" t="s">
        <v>41</v>
      </c>
      <c r="W120" t="s">
        <v>42</v>
      </c>
      <c r="X120" t="s">
        <v>12</v>
      </c>
    </row>
    <row r="121" spans="1:24" hidden="1" x14ac:dyDescent="0.25">
      <c r="D121">
        <v>33</v>
      </c>
      <c r="E121" s="3">
        <v>1.98E-7</v>
      </c>
      <c r="F121" s="3">
        <f t="shared" si="0"/>
        <v>-15.434998806251876</v>
      </c>
      <c r="K121" s="3">
        <v>3.0530000000000002E-13</v>
      </c>
      <c r="L121" s="3">
        <v>-1.134E-10</v>
      </c>
      <c r="M121" s="3">
        <v>2.4229999999999999E-8</v>
      </c>
      <c r="N121" s="3">
        <v>-5.2929999999999996E-7</v>
      </c>
      <c r="O121" s="13">
        <v>240</v>
      </c>
      <c r="P121" s="3">
        <f>K121*O121^3+L121*O121^2+M121*O121+N121</f>
        <v>2.9745271999999996E-6</v>
      </c>
      <c r="S121" s="3">
        <v>-3.1509999999999999E-13</v>
      </c>
      <c r="T121" s="3">
        <v>7.8089999999999999E-11</v>
      </c>
      <c r="U121" s="3">
        <v>6.8859999999999996E-9</v>
      </c>
      <c r="V121" s="3">
        <v>-1.1440000000000001E-7</v>
      </c>
      <c r="W121" s="13">
        <v>35</v>
      </c>
      <c r="X121" s="3">
        <f>S121*W121^3+T121*W121^2+U121*W121+V121</f>
        <v>2.0876033749999998E-7</v>
      </c>
    </row>
    <row r="122" spans="1:24" hidden="1" x14ac:dyDescent="0.25">
      <c r="A122" s="7">
        <v>43056</v>
      </c>
      <c r="B122">
        <v>350</v>
      </c>
      <c r="C122">
        <v>900</v>
      </c>
      <c r="D122">
        <v>300</v>
      </c>
      <c r="E122" s="3">
        <v>5.0799999999999996E-6</v>
      </c>
      <c r="F122" s="3">
        <f t="shared" si="0"/>
        <v>-12.190199296373883</v>
      </c>
    </row>
    <row r="123" spans="1:24" hidden="1" x14ac:dyDescent="0.25">
      <c r="D123">
        <v>225</v>
      </c>
      <c r="E123" s="3">
        <v>2.8499999999999998E-6</v>
      </c>
      <c r="F123" s="3">
        <f t="shared" si="0"/>
        <v>-12.768191563683715</v>
      </c>
    </row>
    <row r="124" spans="1:24" hidden="1" x14ac:dyDescent="0.25">
      <c r="D124">
        <v>130</v>
      </c>
      <c r="E124" s="3">
        <v>1.46E-6</v>
      </c>
      <c r="F124" s="3">
        <f t="shared" si="0"/>
        <v>-13.437074122244029</v>
      </c>
    </row>
    <row r="125" spans="1:24" hidden="1" x14ac:dyDescent="0.25">
      <c r="A125" s="7">
        <v>43067</v>
      </c>
      <c r="B125">
        <v>350</v>
      </c>
      <c r="C125">
        <v>600</v>
      </c>
      <c r="D125">
        <v>300</v>
      </c>
      <c r="E125" s="3">
        <v>9.9899999999999992E-6</v>
      </c>
      <c r="F125" s="3">
        <f t="shared" si="0"/>
        <v>-11.513925965303812</v>
      </c>
    </row>
    <row r="126" spans="1:24" hidden="1" x14ac:dyDescent="0.25">
      <c r="D126">
        <v>250</v>
      </c>
      <c r="E126" s="3">
        <v>6.63E-6</v>
      </c>
      <c r="F126" s="3">
        <f t="shared" si="0"/>
        <v>-11.923905753766503</v>
      </c>
    </row>
    <row r="127" spans="1:24" hidden="1" x14ac:dyDescent="0.25">
      <c r="D127">
        <v>130</v>
      </c>
      <c r="E127" s="3">
        <v>2.9399999999999998E-6</v>
      </c>
      <c r="F127" s="3">
        <f t="shared" si="0"/>
        <v>-12.737100976613684</v>
      </c>
    </row>
    <row r="128" spans="1:24" hidden="1" x14ac:dyDescent="0.25">
      <c r="A128" s="7">
        <v>43069</v>
      </c>
      <c r="B128">
        <v>350</v>
      </c>
      <c r="C128">
        <v>900</v>
      </c>
      <c r="D128">
        <v>300</v>
      </c>
      <c r="E128" s="3">
        <v>4.7600000000000002E-6</v>
      </c>
      <c r="F128" s="3">
        <f t="shared" si="0"/>
        <v>-12.255262889720946</v>
      </c>
    </row>
    <row r="129" spans="1:16" hidden="1" x14ac:dyDescent="0.25">
      <c r="D129">
        <v>240</v>
      </c>
      <c r="E129" s="3">
        <v>2.8899999999999999E-6</v>
      </c>
      <c r="F129" s="3">
        <f t="shared" si="0"/>
        <v>-12.754254055839933</v>
      </c>
      <c r="G129">
        <v>0.88</v>
      </c>
    </row>
    <row r="130" spans="1:16" hidden="1" x14ac:dyDescent="0.25">
      <c r="D130" s="19">
        <v>170</v>
      </c>
      <c r="E130" s="20">
        <v>1.6300000000000001E-6</v>
      </c>
      <c r="F130" s="20">
        <f t="shared" si="0"/>
        <v>-13.326930543145602</v>
      </c>
      <c r="G130">
        <v>0.442</v>
      </c>
    </row>
    <row r="131" spans="1:16" hidden="1" x14ac:dyDescent="0.25">
      <c r="D131">
        <v>130</v>
      </c>
      <c r="E131" s="3">
        <v>1.3599999999999999E-6</v>
      </c>
      <c r="F131" s="3">
        <f t="shared" ref="F131:F170" si="1">LN(E131)</f>
        <v>-13.508025858216314</v>
      </c>
      <c r="G131">
        <v>0.28999999999999998</v>
      </c>
    </row>
    <row r="132" spans="1:16" hidden="1" x14ac:dyDescent="0.25">
      <c r="A132" s="7">
        <v>43073</v>
      </c>
      <c r="B132">
        <v>350</v>
      </c>
      <c r="C132">
        <v>600</v>
      </c>
      <c r="D132">
        <v>300</v>
      </c>
      <c r="E132" s="3">
        <v>9.0799999999999995E-6</v>
      </c>
      <c r="F132" s="3">
        <f t="shared" si="1"/>
        <v>-11.609436365351073</v>
      </c>
    </row>
    <row r="133" spans="1:16" hidden="1" x14ac:dyDescent="0.25">
      <c r="D133">
        <v>250</v>
      </c>
      <c r="E133" s="3">
        <v>6.0599999999999996E-6</v>
      </c>
      <c r="F133" s="3">
        <f t="shared" si="1"/>
        <v>-12.01380075788305</v>
      </c>
    </row>
    <row r="134" spans="1:16" hidden="1" x14ac:dyDescent="0.25">
      <c r="D134">
        <v>130</v>
      </c>
      <c r="E134" s="3">
        <v>2.7E-6</v>
      </c>
      <c r="F134" s="3">
        <f t="shared" si="1"/>
        <v>-12.822258784953991</v>
      </c>
    </row>
    <row r="135" spans="1:16" hidden="1" x14ac:dyDescent="0.25">
      <c r="D135">
        <v>115</v>
      </c>
      <c r="E135" s="3">
        <v>2.2900000000000001E-6</v>
      </c>
      <c r="F135" s="3">
        <f t="shared" si="1"/>
        <v>-12.986958740398126</v>
      </c>
    </row>
    <row r="136" spans="1:16" hidden="1" x14ac:dyDescent="0.25">
      <c r="A136" s="7">
        <v>43077</v>
      </c>
      <c r="B136">
        <v>350</v>
      </c>
      <c r="C136">
        <v>600</v>
      </c>
      <c r="D136">
        <v>300</v>
      </c>
      <c r="E136" s="3">
        <v>9.38E-6</v>
      </c>
      <c r="F136" s="3">
        <f t="shared" si="1"/>
        <v>-11.57693079494614</v>
      </c>
    </row>
    <row r="137" spans="1:16" hidden="1" x14ac:dyDescent="0.25">
      <c r="D137">
        <v>250</v>
      </c>
      <c r="E137" s="3">
        <v>6.2500000000000003E-6</v>
      </c>
      <c r="F137" s="3">
        <f t="shared" si="1"/>
        <v>-11.982929094215963</v>
      </c>
    </row>
    <row r="138" spans="1:16" hidden="1" x14ac:dyDescent="0.25">
      <c r="D138">
        <v>145</v>
      </c>
      <c r="E138" s="3">
        <v>3.1499999999999999E-6</v>
      </c>
      <c r="F138" s="3">
        <f t="shared" si="1"/>
        <v>-12.668108105126732</v>
      </c>
      <c r="G138">
        <v>0.58899999999999997</v>
      </c>
      <c r="K138" t="s">
        <v>38</v>
      </c>
      <c r="L138" t="s">
        <v>39</v>
      </c>
      <c r="M138" t="s">
        <v>40</v>
      </c>
      <c r="N138" t="s">
        <v>41</v>
      </c>
      <c r="O138" t="s">
        <v>42</v>
      </c>
      <c r="P138" t="s">
        <v>12</v>
      </c>
    </row>
    <row r="139" spans="1:16" hidden="1" x14ac:dyDescent="0.25">
      <c r="A139" s="7">
        <v>43080</v>
      </c>
      <c r="B139">
        <v>350</v>
      </c>
      <c r="C139">
        <v>900</v>
      </c>
      <c r="D139">
        <v>300</v>
      </c>
      <c r="E139" s="3">
        <v>4.4800000000000003E-6</v>
      </c>
      <c r="F139" s="3">
        <f t="shared" si="1"/>
        <v>-12.31588751153738</v>
      </c>
      <c r="K139" s="3">
        <v>0</v>
      </c>
      <c r="L139" s="3">
        <v>1.015E-10</v>
      </c>
      <c r="M139" s="3">
        <v>-2.365E-8</v>
      </c>
      <c r="N139" s="3">
        <v>2.7190000000000001E-6</v>
      </c>
      <c r="O139" s="13">
        <v>185</v>
      </c>
      <c r="P139" s="3">
        <f>K139*O139^3+L139*O139^2+M139*O139+N139</f>
        <v>1.8175874999999997E-6</v>
      </c>
    </row>
    <row r="140" spans="1:16" hidden="1" x14ac:dyDescent="0.25">
      <c r="D140">
        <v>270</v>
      </c>
      <c r="E140" s="3">
        <v>3.3799999999999998E-6</v>
      </c>
      <c r="F140" s="3">
        <f t="shared" si="1"/>
        <v>-12.597634848469347</v>
      </c>
    </row>
    <row r="141" spans="1:16" hidden="1" x14ac:dyDescent="0.25">
      <c r="D141">
        <v>240</v>
      </c>
      <c r="E141" s="3">
        <v>2.92E-6</v>
      </c>
      <c r="F141" s="3">
        <f t="shared" si="1"/>
        <v>-12.743926941684084</v>
      </c>
    </row>
    <row r="142" spans="1:16" hidden="1" x14ac:dyDescent="0.25">
      <c r="A142" s="7">
        <v>43084</v>
      </c>
      <c r="B142">
        <v>350</v>
      </c>
      <c r="C142">
        <v>600</v>
      </c>
      <c r="D142">
        <v>300</v>
      </c>
      <c r="E142" s="3">
        <v>9.0699999999999996E-6</v>
      </c>
      <c r="F142" s="3">
        <f t="shared" si="1"/>
        <v>-11.610538293837228</v>
      </c>
    </row>
    <row r="143" spans="1:16" hidden="1" x14ac:dyDescent="0.25">
      <c r="D143">
        <v>250</v>
      </c>
      <c r="E143" s="3">
        <v>5.9200000000000001E-6</v>
      </c>
      <c r="F143" s="3">
        <f t="shared" si="1"/>
        <v>-12.03717410906836</v>
      </c>
      <c r="G143" s="19">
        <v>0.8</v>
      </c>
      <c r="H143" t="s">
        <v>61</v>
      </c>
      <c r="I143" s="3">
        <f>E143/2</f>
        <v>2.96E-6</v>
      </c>
    </row>
    <row r="144" spans="1:16" hidden="1" x14ac:dyDescent="0.25">
      <c r="D144">
        <v>145</v>
      </c>
      <c r="E144" s="3">
        <v>2.9799999999999998E-6</v>
      </c>
      <c r="F144" s="3">
        <f t="shared" si="1"/>
        <v>-12.723587257446962</v>
      </c>
      <c r="G144">
        <v>0.4</v>
      </c>
    </row>
    <row r="145" spans="1:16" hidden="1" x14ac:dyDescent="0.25">
      <c r="A145" s="7">
        <v>43088</v>
      </c>
      <c r="B145">
        <v>350</v>
      </c>
      <c r="C145">
        <v>600</v>
      </c>
      <c r="D145">
        <v>300</v>
      </c>
      <c r="E145" s="3">
        <v>8.67E-6</v>
      </c>
      <c r="F145" s="3">
        <f t="shared" si="1"/>
        <v>-11.655641767171824</v>
      </c>
    </row>
    <row r="146" spans="1:16" hidden="1" x14ac:dyDescent="0.25">
      <c r="D146">
        <v>250</v>
      </c>
      <c r="E146" s="3">
        <v>5.7200000000000003E-6</v>
      </c>
      <c r="F146" s="3">
        <f t="shared" si="1"/>
        <v>-12.071541752572568</v>
      </c>
    </row>
    <row r="147" spans="1:16" hidden="1" x14ac:dyDescent="0.25">
      <c r="D147">
        <v>147</v>
      </c>
      <c r="E147" s="3">
        <v>2.9399999999999998E-6</v>
      </c>
      <c r="F147" s="3">
        <f t="shared" si="1"/>
        <v>-12.737100976613684</v>
      </c>
    </row>
    <row r="148" spans="1:16" hidden="1" x14ac:dyDescent="0.25">
      <c r="A148" s="7">
        <v>43089</v>
      </c>
      <c r="B148">
        <v>350</v>
      </c>
      <c r="C148">
        <v>600</v>
      </c>
      <c r="D148">
        <v>300</v>
      </c>
      <c r="E148" s="3">
        <v>9.1099999999999992E-6</v>
      </c>
      <c r="F148" s="3">
        <f t="shared" si="1"/>
        <v>-11.606137846692407</v>
      </c>
    </row>
    <row r="149" spans="1:16" hidden="1" x14ac:dyDescent="0.25">
      <c r="D149">
        <v>147</v>
      </c>
      <c r="F149" s="3" t="e">
        <f t="shared" si="1"/>
        <v>#NUM!</v>
      </c>
    </row>
    <row r="150" spans="1:16" hidden="1" x14ac:dyDescent="0.25">
      <c r="A150" s="7">
        <v>43115</v>
      </c>
      <c r="B150">
        <v>350</v>
      </c>
      <c r="C150">
        <v>600</v>
      </c>
      <c r="D150">
        <v>300</v>
      </c>
      <c r="E150" s="3">
        <v>8.9900000000000003E-6</v>
      </c>
      <c r="F150" s="3">
        <f t="shared" si="1"/>
        <v>-11.619397709480745</v>
      </c>
    </row>
    <row r="151" spans="1:16" hidden="1" x14ac:dyDescent="0.25">
      <c r="D151">
        <v>250</v>
      </c>
      <c r="E151" s="3">
        <v>5.8699999999999997E-6</v>
      </c>
      <c r="F151" s="3">
        <f t="shared" si="1"/>
        <v>-12.045655924124269</v>
      </c>
    </row>
    <row r="152" spans="1:16" hidden="1" x14ac:dyDescent="0.25">
      <c r="D152">
        <v>150</v>
      </c>
      <c r="E152" s="3">
        <v>3.01E-6</v>
      </c>
      <c r="F152" s="3">
        <f t="shared" si="1"/>
        <v>-12.71357047920349</v>
      </c>
    </row>
    <row r="153" spans="1:16" hidden="1" x14ac:dyDescent="0.25">
      <c r="D153">
        <v>145</v>
      </c>
      <c r="E153" s="3">
        <v>2.88E-6</v>
      </c>
      <c r="F153" s="3">
        <f t="shared" si="1"/>
        <v>-12.75772026381642</v>
      </c>
    </row>
    <row r="154" spans="1:16" hidden="1" x14ac:dyDescent="0.25">
      <c r="D154">
        <v>130</v>
      </c>
      <c r="E154" s="3">
        <v>2.5000000000000002E-6</v>
      </c>
      <c r="F154" s="3">
        <f t="shared" si="1"/>
        <v>-12.899219826090119</v>
      </c>
    </row>
    <row r="155" spans="1:16" hidden="1" x14ac:dyDescent="0.25">
      <c r="A155" s="7">
        <v>43117</v>
      </c>
      <c r="B155">
        <v>350</v>
      </c>
      <c r="C155">
        <v>600</v>
      </c>
      <c r="D155">
        <v>300</v>
      </c>
      <c r="E155" s="3">
        <v>8.8000000000000004E-6</v>
      </c>
      <c r="F155" s="3">
        <f t="shared" si="1"/>
        <v>-11.640758836480114</v>
      </c>
    </row>
    <row r="156" spans="1:16" hidden="1" x14ac:dyDescent="0.25">
      <c r="D156">
        <v>250</v>
      </c>
      <c r="E156" s="3">
        <v>5.7300000000000002E-6</v>
      </c>
      <c r="F156" s="3">
        <f t="shared" si="1"/>
        <v>-12.069795027237626</v>
      </c>
    </row>
    <row r="157" spans="1:16" hidden="1" x14ac:dyDescent="0.25">
      <c r="D157">
        <v>150</v>
      </c>
      <c r="E157" s="3">
        <v>2.9799999999999998E-6</v>
      </c>
      <c r="F157" s="3">
        <f t="shared" si="1"/>
        <v>-12.723587257446962</v>
      </c>
      <c r="K157" t="s">
        <v>38</v>
      </c>
      <c r="L157" t="s">
        <v>39</v>
      </c>
      <c r="M157" t="s">
        <v>40</v>
      </c>
      <c r="N157" t="s">
        <v>41</v>
      </c>
      <c r="O157" t="s">
        <v>42</v>
      </c>
      <c r="P157" t="s">
        <v>12</v>
      </c>
    </row>
    <row r="158" spans="1:16" hidden="1" x14ac:dyDescent="0.25">
      <c r="A158" s="7">
        <v>43123</v>
      </c>
      <c r="B158">
        <v>350</v>
      </c>
      <c r="C158">
        <v>600</v>
      </c>
      <c r="D158">
        <v>300</v>
      </c>
      <c r="E158" s="3">
        <v>8.7600000000000008E-6</v>
      </c>
      <c r="F158" s="3">
        <f t="shared" si="1"/>
        <v>-11.645314653015975</v>
      </c>
      <c r="K158" s="3">
        <v>7.5319999999999996E-13</v>
      </c>
      <c r="L158" s="3">
        <v>-3.0510000000000001E-10</v>
      </c>
      <c r="M158" s="3">
        <v>5.205E-8</v>
      </c>
      <c r="N158" s="3">
        <v>-7.5229999999999998E-7</v>
      </c>
      <c r="O158" s="13">
        <v>151</v>
      </c>
      <c r="P158" s="3">
        <f>K158*O158^3+L158*O158^2+M158*O158+N158</f>
        <v>2.7438955931999998E-6</v>
      </c>
    </row>
    <row r="159" spans="1:16" hidden="1" x14ac:dyDescent="0.25">
      <c r="D159">
        <v>250</v>
      </c>
      <c r="E159" s="3">
        <v>5.7200000000000003E-6</v>
      </c>
      <c r="F159" s="3">
        <f t="shared" si="1"/>
        <v>-12.071541752572568</v>
      </c>
      <c r="P159" s="13">
        <f>P158/0.00000023</f>
        <v>11.929980839999999</v>
      </c>
    </row>
    <row r="160" spans="1:16" hidden="1" x14ac:dyDescent="0.25">
      <c r="D160">
        <v>150</v>
      </c>
      <c r="E160" s="3">
        <v>2.9799999999999998E-6</v>
      </c>
      <c r="F160" s="3">
        <f t="shared" si="1"/>
        <v>-12.723587257446962</v>
      </c>
    </row>
    <row r="161" spans="1:7" hidden="1" x14ac:dyDescent="0.25">
      <c r="A161" s="7">
        <v>43124</v>
      </c>
      <c r="B161">
        <v>350</v>
      </c>
      <c r="C161">
        <v>600</v>
      </c>
      <c r="D161">
        <v>300</v>
      </c>
      <c r="E161" s="3">
        <v>8.8799999999999997E-6</v>
      </c>
      <c r="F161" s="3">
        <f t="shared" si="1"/>
        <v>-11.631709000960196</v>
      </c>
    </row>
    <row r="162" spans="1:7" hidden="1" x14ac:dyDescent="0.25">
      <c r="D162">
        <v>250</v>
      </c>
      <c r="E162" s="3">
        <v>5.75E-6</v>
      </c>
      <c r="F162" s="3">
        <f t="shared" si="1"/>
        <v>-12.066310703155015</v>
      </c>
    </row>
    <row r="163" spans="1:7" hidden="1" x14ac:dyDescent="0.25">
      <c r="D163">
        <v>150</v>
      </c>
      <c r="E163" s="3">
        <v>2.9900000000000002E-6</v>
      </c>
      <c r="F163" s="3">
        <f t="shared" si="1"/>
        <v>-12.720237170561679</v>
      </c>
    </row>
    <row r="164" spans="1:7" hidden="1" x14ac:dyDescent="0.25">
      <c r="A164" s="7">
        <v>43126</v>
      </c>
      <c r="B164">
        <v>350</v>
      </c>
      <c r="C164">
        <v>600</v>
      </c>
      <c r="D164">
        <v>300</v>
      </c>
      <c r="E164" s="3">
        <v>8.6600000000000001E-6</v>
      </c>
      <c r="F164" s="3">
        <f t="shared" si="1"/>
        <v>-11.65679583538993</v>
      </c>
    </row>
    <row r="165" spans="1:7" hidden="1" x14ac:dyDescent="0.25">
      <c r="D165">
        <v>250</v>
      </c>
      <c r="E165" s="3">
        <v>5.5999999999999997E-6</v>
      </c>
      <c r="F165" s="3">
        <f t="shared" si="1"/>
        <v>-12.092743960223171</v>
      </c>
    </row>
    <row r="166" spans="1:7" hidden="1" x14ac:dyDescent="0.25">
      <c r="D166">
        <v>150</v>
      </c>
      <c r="E166" s="3">
        <v>2.9799999999999998E-6</v>
      </c>
      <c r="F166" s="3">
        <f t="shared" si="1"/>
        <v>-12.723587257446962</v>
      </c>
    </row>
    <row r="167" spans="1:7" hidden="1" x14ac:dyDescent="0.25">
      <c r="A167" s="7">
        <v>43151</v>
      </c>
      <c r="B167">
        <v>350</v>
      </c>
      <c r="C167">
        <v>900</v>
      </c>
      <c r="D167">
        <v>300</v>
      </c>
      <c r="E167" s="3">
        <v>4.1300000000000003E-6</v>
      </c>
      <c r="F167" s="3">
        <f t="shared" si="1"/>
        <v>-12.397233150991333</v>
      </c>
    </row>
    <row r="168" spans="1:7" hidden="1" x14ac:dyDescent="0.25">
      <c r="D168">
        <v>250</v>
      </c>
      <c r="E168" s="3">
        <v>2.6599999999999999E-6</v>
      </c>
      <c r="F168" s="3">
        <f t="shared" si="1"/>
        <v>-12.837184435170666</v>
      </c>
    </row>
    <row r="169" spans="1:7" hidden="1" x14ac:dyDescent="0.25">
      <c r="D169">
        <v>200</v>
      </c>
      <c r="E169" s="3">
        <v>1.99E-6</v>
      </c>
      <c r="F169" s="3">
        <f t="shared" si="1"/>
        <v>-13.127375919227873</v>
      </c>
    </row>
    <row r="170" spans="1:7" hidden="1" x14ac:dyDescent="0.25">
      <c r="D170" s="19">
        <v>175</v>
      </c>
      <c r="E170" s="20">
        <v>1.68E-6</v>
      </c>
      <c r="F170" s="20">
        <f t="shared" si="1"/>
        <v>-13.296716764549107</v>
      </c>
      <c r="G170">
        <v>0.46500000000000002</v>
      </c>
    </row>
    <row r="171" spans="1:7" hidden="1" x14ac:dyDescent="0.25">
      <c r="D171">
        <v>150</v>
      </c>
      <c r="E171" s="3">
        <v>1.39E-6</v>
      </c>
      <c r="F171" s="3">
        <f>LN(E171)</f>
        <v>-13.486206810821674</v>
      </c>
    </row>
    <row r="172" spans="1:7" hidden="1" x14ac:dyDescent="0.25">
      <c r="D172">
        <v>100</v>
      </c>
      <c r="E172" s="3">
        <v>8.3900000000000004E-7</v>
      </c>
      <c r="F172" s="3">
        <f>LN(E172)</f>
        <v>-13.991055130479205</v>
      </c>
    </row>
    <row r="173" spans="1:7" hidden="1" x14ac:dyDescent="0.25">
      <c r="D173">
        <v>50</v>
      </c>
      <c r="E173" s="3">
        <v>2.9400000000000001E-7</v>
      </c>
      <c r="F173" s="3">
        <f>LN(E173)</f>
        <v>-15.039686069607729</v>
      </c>
    </row>
    <row r="174" spans="1:7" hidden="1" x14ac:dyDescent="0.25">
      <c r="D174">
        <v>25</v>
      </c>
      <c r="E174" s="3">
        <v>7.8230000000000006E-8</v>
      </c>
      <c r="F174" s="3">
        <f>LN(E174)</f>
        <v>-16.363612631249421</v>
      </c>
    </row>
    <row r="175" spans="1:7" hidden="1" x14ac:dyDescent="0.25">
      <c r="A175" s="7">
        <v>43158</v>
      </c>
      <c r="B175">
        <v>350</v>
      </c>
      <c r="C175">
        <v>600</v>
      </c>
      <c r="D175">
        <v>300</v>
      </c>
      <c r="E175" s="3">
        <v>8.1599999999999998E-6</v>
      </c>
      <c r="F175" s="3">
        <f t="shared" ref="F175:F267" si="2">LN(E175)</f>
        <v>-11.716266388988258</v>
      </c>
    </row>
    <row r="176" spans="1:7" hidden="1" x14ac:dyDescent="0.25">
      <c r="D176">
        <v>250</v>
      </c>
      <c r="E176" s="3">
        <v>5.3199999999999999E-6</v>
      </c>
      <c r="F176" s="3">
        <f t="shared" si="2"/>
        <v>-12.144037254610721</v>
      </c>
    </row>
    <row r="177" spans="1:23" hidden="1" x14ac:dyDescent="0.25">
      <c r="D177">
        <v>155</v>
      </c>
      <c r="E177" s="3">
        <v>2.9299999999999999E-6</v>
      </c>
      <c r="F177" s="3">
        <f t="shared" si="2"/>
        <v>-12.740508134935299</v>
      </c>
      <c r="K177" t="s">
        <v>38</v>
      </c>
      <c r="L177" t="s">
        <v>39</v>
      </c>
      <c r="M177" t="s">
        <v>40</v>
      </c>
      <c r="N177" t="s">
        <v>41</v>
      </c>
      <c r="O177" t="s">
        <v>42</v>
      </c>
      <c r="P177" t="s">
        <v>12</v>
      </c>
      <c r="S177" t="s">
        <v>38</v>
      </c>
      <c r="T177" t="s">
        <v>39</v>
      </c>
      <c r="U177" t="s">
        <v>11</v>
      </c>
      <c r="V177" t="s">
        <v>7</v>
      </c>
      <c r="W177" t="s">
        <v>12</v>
      </c>
    </row>
    <row r="178" spans="1:23" hidden="1" x14ac:dyDescent="0.25">
      <c r="A178" s="7">
        <v>43161</v>
      </c>
      <c r="B178">
        <v>350</v>
      </c>
      <c r="C178">
        <v>600</v>
      </c>
      <c r="D178">
        <v>300</v>
      </c>
      <c r="E178" s="3">
        <v>8.5399999999999996E-6</v>
      </c>
      <c r="F178" s="3">
        <f t="shared" si="2"/>
        <v>-11.670749550163796</v>
      </c>
      <c r="K178" s="3">
        <v>1.733E-15</v>
      </c>
      <c r="L178" s="3">
        <v>-9.0260000000000001E-13</v>
      </c>
      <c r="M178" s="3">
        <v>1.6209999999999999E-10</v>
      </c>
      <c r="N178" s="3">
        <v>-4.3760000000000002E-10</v>
      </c>
      <c r="O178" s="13">
        <v>263</v>
      </c>
      <c r="P178" s="3">
        <f>K178*O178^4+L178*O178^3+M178*O178^2+N178*O178</f>
        <v>2.9688855600130009E-6</v>
      </c>
      <c r="S178">
        <v>1.2842</v>
      </c>
      <c r="T178">
        <v>-13.885999999999999</v>
      </c>
      <c r="U178">
        <v>0.46500000000000002</v>
      </c>
      <c r="V178">
        <f>S178*U178+T178</f>
        <v>-13.288846999999999</v>
      </c>
      <c r="W178">
        <f>EXP(V178)</f>
        <v>1.6932733650663371E-6</v>
      </c>
    </row>
    <row r="179" spans="1:23" hidden="1" x14ac:dyDescent="0.25">
      <c r="D179">
        <v>250</v>
      </c>
      <c r="E179" s="3">
        <v>5.6099999999999997E-6</v>
      </c>
      <c r="F179" s="3">
        <f t="shared" si="2"/>
        <v>-12.090959838429669</v>
      </c>
      <c r="P179" s="13"/>
    </row>
    <row r="180" spans="1:23" hidden="1" x14ac:dyDescent="0.25">
      <c r="D180">
        <v>155</v>
      </c>
      <c r="E180" s="3">
        <v>3.0699999999999998E-6</v>
      </c>
      <c r="F180" s="3">
        <f t="shared" si="2"/>
        <v>-12.693832996365169</v>
      </c>
    </row>
    <row r="181" spans="1:23" hidden="1" x14ac:dyDescent="0.25">
      <c r="D181">
        <v>150</v>
      </c>
      <c r="E181" s="3">
        <v>2.9399999999999998E-6</v>
      </c>
      <c r="F181" s="3">
        <f t="shared" si="2"/>
        <v>-12.737100976613684</v>
      </c>
    </row>
    <row r="182" spans="1:23" hidden="1" x14ac:dyDescent="0.25">
      <c r="A182" s="7">
        <v>43167</v>
      </c>
      <c r="B182">
        <v>350</v>
      </c>
      <c r="C182">
        <v>600</v>
      </c>
      <c r="D182">
        <v>300</v>
      </c>
      <c r="E182" s="3">
        <v>7.8499999999999994E-6</v>
      </c>
      <c r="F182" s="3">
        <f t="shared" si="2"/>
        <v>-11.754997026169956</v>
      </c>
    </row>
    <row r="183" spans="1:23" hidden="1" x14ac:dyDescent="0.25">
      <c r="D183">
        <v>250</v>
      </c>
      <c r="E183" s="3">
        <v>5.2100000000000001E-6</v>
      </c>
      <c r="F183" s="3">
        <f t="shared" si="2"/>
        <v>-12.164930702198999</v>
      </c>
    </row>
    <row r="184" spans="1:23" hidden="1" x14ac:dyDescent="0.25">
      <c r="D184">
        <v>157</v>
      </c>
      <c r="E184" s="3">
        <v>2.9500000000000001E-6</v>
      </c>
      <c r="F184" s="3">
        <f t="shared" si="2"/>
        <v>-12.733705387612545</v>
      </c>
    </row>
    <row r="185" spans="1:23" hidden="1" x14ac:dyDescent="0.25">
      <c r="D185">
        <v>155</v>
      </c>
      <c r="E185" s="3">
        <v>2.8700000000000001E-6</v>
      </c>
      <c r="F185" s="3">
        <f t="shared" si="2"/>
        <v>-12.761198528192745</v>
      </c>
    </row>
    <row r="186" spans="1:23" hidden="1" x14ac:dyDescent="0.25">
      <c r="A186" s="7">
        <v>43173</v>
      </c>
      <c r="B186">
        <v>350</v>
      </c>
      <c r="C186">
        <v>600</v>
      </c>
      <c r="D186">
        <v>300</v>
      </c>
      <c r="E186" s="3">
        <v>7.8199999999999997E-6</v>
      </c>
      <c r="F186" s="3">
        <f t="shared" si="2"/>
        <v>-11.758826003407055</v>
      </c>
    </row>
    <row r="187" spans="1:23" hidden="1" x14ac:dyDescent="0.25">
      <c r="D187">
        <v>250</v>
      </c>
      <c r="E187" s="3">
        <v>5.1699999999999996E-6</v>
      </c>
      <c r="F187" s="3">
        <f t="shared" si="2"/>
        <v>-12.172637869443937</v>
      </c>
    </row>
    <row r="188" spans="1:23" hidden="1" x14ac:dyDescent="0.25">
      <c r="D188">
        <v>160</v>
      </c>
      <c r="E188" s="3">
        <v>2.9699999999999999E-6</v>
      </c>
      <c r="F188" s="3">
        <f t="shared" si="2"/>
        <v>-12.726948605149666</v>
      </c>
    </row>
    <row r="189" spans="1:23" hidden="1" x14ac:dyDescent="0.25">
      <c r="D189">
        <v>156</v>
      </c>
      <c r="E189" s="3">
        <v>2.9100000000000001E-6</v>
      </c>
      <c r="F189" s="3">
        <f t="shared" si="2"/>
        <v>-12.747357476780873</v>
      </c>
      <c r="G189">
        <v>0.45500000000000002</v>
      </c>
    </row>
    <row r="190" spans="1:23" hidden="1" x14ac:dyDescent="0.25">
      <c r="A190" s="7">
        <v>43178</v>
      </c>
      <c r="B190">
        <v>350</v>
      </c>
      <c r="C190">
        <v>600</v>
      </c>
      <c r="D190">
        <v>300</v>
      </c>
      <c r="E190" s="3">
        <v>7.9100000000000005E-6</v>
      </c>
      <c r="F190" s="3">
        <f t="shared" si="2"/>
        <v>-11.747382776184711</v>
      </c>
    </row>
    <row r="191" spans="1:23" hidden="1" x14ac:dyDescent="0.25">
      <c r="D191">
        <v>250</v>
      </c>
      <c r="E191" s="3">
        <v>5.1800000000000004E-6</v>
      </c>
      <c r="F191" s="3">
        <f t="shared" si="2"/>
        <v>-12.170705501692883</v>
      </c>
    </row>
    <row r="192" spans="1:23" hidden="1" x14ac:dyDescent="0.25">
      <c r="D192">
        <v>161</v>
      </c>
      <c r="E192" s="3">
        <v>3.05E-6</v>
      </c>
      <c r="F192" s="3">
        <f t="shared" si="2"/>
        <v>-12.700368967344954</v>
      </c>
    </row>
    <row r="193" spans="1:6" hidden="1" x14ac:dyDescent="0.25">
      <c r="A193" s="7">
        <v>43182</v>
      </c>
      <c r="B193">
        <v>350</v>
      </c>
      <c r="C193">
        <v>600</v>
      </c>
      <c r="D193">
        <v>300</v>
      </c>
      <c r="E193" s="3">
        <v>7.8399999999999995E-6</v>
      </c>
      <c r="F193" s="3">
        <f t="shared" si="2"/>
        <v>-11.756271723601957</v>
      </c>
    </row>
    <row r="194" spans="1:6" hidden="1" x14ac:dyDescent="0.25">
      <c r="D194">
        <v>250</v>
      </c>
      <c r="E194" s="3">
        <v>5.2000000000000002E-6</v>
      </c>
      <c r="F194" s="3">
        <f t="shared" si="2"/>
        <v>-12.166851932376892</v>
      </c>
    </row>
    <row r="195" spans="1:6" hidden="1" x14ac:dyDescent="0.25">
      <c r="D195">
        <v>161</v>
      </c>
      <c r="E195" s="3">
        <v>3.0000000000000001E-6</v>
      </c>
      <c r="F195" s="3">
        <f t="shared" si="2"/>
        <v>-12.716898269296165</v>
      </c>
    </row>
    <row r="196" spans="1:6" hidden="1" x14ac:dyDescent="0.25">
      <c r="D196">
        <v>151</v>
      </c>
      <c r="E196" s="3">
        <v>2.7700000000000002E-6</v>
      </c>
      <c r="F196" s="3">
        <f t="shared" si="2"/>
        <v>-12.796663237765028</v>
      </c>
    </row>
    <row r="197" spans="1:6" hidden="1" x14ac:dyDescent="0.25">
      <c r="A197" s="7">
        <v>43189</v>
      </c>
      <c r="B197">
        <v>350</v>
      </c>
      <c r="C197">
        <v>600</v>
      </c>
      <c r="D197">
        <v>300</v>
      </c>
      <c r="E197" s="3">
        <v>7.7400000000000004E-6</v>
      </c>
      <c r="F197" s="3">
        <f t="shared" si="2"/>
        <v>-11.769108870362638</v>
      </c>
    </row>
    <row r="198" spans="1:6" hidden="1" x14ac:dyDescent="0.25">
      <c r="D198">
        <v>250</v>
      </c>
      <c r="E198" s="3">
        <v>4.9599999999999999E-6</v>
      </c>
      <c r="F198" s="3">
        <f t="shared" si="2"/>
        <v>-12.214104817227438</v>
      </c>
    </row>
    <row r="199" spans="1:6" hidden="1" x14ac:dyDescent="0.25">
      <c r="D199">
        <v>160</v>
      </c>
      <c r="E199" s="3">
        <v>2.8499999999999998E-6</v>
      </c>
      <c r="F199" s="3">
        <f t="shared" si="2"/>
        <v>-12.768191563683715</v>
      </c>
    </row>
    <row r="200" spans="1:6" hidden="1" x14ac:dyDescent="0.25">
      <c r="D200">
        <v>155</v>
      </c>
      <c r="E200" s="3">
        <v>2.79E-6</v>
      </c>
      <c r="F200" s="3">
        <f t="shared" si="2"/>
        <v>-12.789468962131</v>
      </c>
    </row>
    <row r="201" spans="1:6" hidden="1" x14ac:dyDescent="0.25">
      <c r="A201" s="7">
        <v>43194</v>
      </c>
      <c r="B201">
        <v>350</v>
      </c>
      <c r="C201">
        <v>600</v>
      </c>
      <c r="D201">
        <v>300</v>
      </c>
      <c r="E201" s="3">
        <v>7.5499999999999997E-6</v>
      </c>
      <c r="F201" s="3">
        <f t="shared" si="2"/>
        <v>-11.793962994703341</v>
      </c>
    </row>
    <row r="202" spans="1:6" hidden="1" x14ac:dyDescent="0.25">
      <c r="D202">
        <v>250</v>
      </c>
      <c r="E202" s="3">
        <v>4.9799999999999998E-6</v>
      </c>
      <c r="F202" s="3">
        <f t="shared" si="2"/>
        <v>-12.210080666927713</v>
      </c>
    </row>
    <row r="203" spans="1:6" hidden="1" x14ac:dyDescent="0.25">
      <c r="D203">
        <v>155</v>
      </c>
      <c r="E203" s="3">
        <v>2.7599999999999999E-8</v>
      </c>
      <c r="F203" s="3">
        <f t="shared" si="2"/>
        <v>-17.405450064223306</v>
      </c>
    </row>
    <row r="204" spans="1:6" hidden="1" x14ac:dyDescent="0.25">
      <c r="A204" s="7">
        <v>43217</v>
      </c>
      <c r="B204">
        <v>350</v>
      </c>
      <c r="C204">
        <v>600</v>
      </c>
      <c r="D204">
        <v>300</v>
      </c>
      <c r="E204" s="3">
        <v>7.25E-6</v>
      </c>
      <c r="F204" s="3">
        <f t="shared" si="2"/>
        <v>-11.83450908909769</v>
      </c>
    </row>
    <row r="205" spans="1:6" hidden="1" x14ac:dyDescent="0.25">
      <c r="D205">
        <v>250</v>
      </c>
      <c r="E205" s="3">
        <v>4.8099999999999997E-6</v>
      </c>
      <c r="F205" s="3">
        <f t="shared" si="2"/>
        <v>-12.244813473846605</v>
      </c>
    </row>
    <row r="206" spans="1:6" hidden="1" x14ac:dyDescent="0.25">
      <c r="D206">
        <v>155</v>
      </c>
      <c r="E206" s="3">
        <v>2.7E-6</v>
      </c>
      <c r="F206" s="3">
        <f t="shared" si="2"/>
        <v>-12.822258784953991</v>
      </c>
    </row>
    <row r="207" spans="1:6" hidden="1" x14ac:dyDescent="0.25">
      <c r="A207" s="7">
        <v>43220</v>
      </c>
      <c r="B207">
        <v>350</v>
      </c>
      <c r="C207">
        <v>600</v>
      </c>
      <c r="D207">
        <v>300</v>
      </c>
      <c r="E207" s="3">
        <v>7.7700000000000001E-6</v>
      </c>
      <c r="F207" s="3">
        <f t="shared" si="2"/>
        <v>-11.765240393584717</v>
      </c>
    </row>
    <row r="208" spans="1:6" hidden="1" x14ac:dyDescent="0.25">
      <c r="D208">
        <v>250</v>
      </c>
      <c r="E208" s="3">
        <v>5.0699999999999997E-6</v>
      </c>
      <c r="F208" s="3">
        <f t="shared" si="2"/>
        <v>-12.192169740361182</v>
      </c>
    </row>
    <row r="209" spans="1:8" hidden="1" x14ac:dyDescent="0.25">
      <c r="D209">
        <v>155</v>
      </c>
      <c r="E209" s="3">
        <v>2.7999999999999999E-6</v>
      </c>
      <c r="F209" s="3">
        <f t="shared" si="2"/>
        <v>-12.785891140783116</v>
      </c>
    </row>
    <row r="210" spans="1:8" hidden="1" x14ac:dyDescent="0.25">
      <c r="D210">
        <v>150</v>
      </c>
      <c r="E210" s="3">
        <v>2.6800000000000002E-6</v>
      </c>
      <c r="F210" s="3">
        <f t="shared" si="2"/>
        <v>-12.829693763441508</v>
      </c>
    </row>
    <row r="211" spans="1:8" hidden="1" x14ac:dyDescent="0.25">
      <c r="A211" s="7">
        <v>43223</v>
      </c>
      <c r="B211">
        <v>350</v>
      </c>
      <c r="C211">
        <v>600</v>
      </c>
      <c r="D211">
        <v>300</v>
      </c>
      <c r="E211" s="3">
        <v>7.0999999999999998E-6</v>
      </c>
      <c r="F211" s="3">
        <f t="shared" si="2"/>
        <v>-11.855415773917004</v>
      </c>
    </row>
    <row r="212" spans="1:8" hidden="1" x14ac:dyDescent="0.25">
      <c r="D212">
        <v>250</v>
      </c>
      <c r="E212" s="3">
        <v>4.6700000000000002E-6</v>
      </c>
      <c r="F212" s="3">
        <f t="shared" si="2"/>
        <v>-12.274351486283468</v>
      </c>
    </row>
    <row r="213" spans="1:8" hidden="1" x14ac:dyDescent="0.25">
      <c r="D213">
        <v>180</v>
      </c>
      <c r="E213" s="3">
        <v>3.1200000000000002E-6</v>
      </c>
      <c r="F213" s="3">
        <f t="shared" si="2"/>
        <v>-12.677677556142884</v>
      </c>
    </row>
    <row r="214" spans="1:8" x14ac:dyDescent="0.25">
      <c r="A214" s="7">
        <v>43350</v>
      </c>
      <c r="B214">
        <v>350</v>
      </c>
      <c r="C214">
        <v>600</v>
      </c>
      <c r="D214">
        <v>300</v>
      </c>
      <c r="E214" s="3">
        <v>9.1600000000000004E-6</v>
      </c>
      <c r="F214" s="3">
        <f t="shared" si="2"/>
        <v>-11.600664379278236</v>
      </c>
      <c r="H214" t="s">
        <v>78</v>
      </c>
    </row>
    <row r="215" spans="1:8" x14ac:dyDescent="0.25">
      <c r="D215">
        <v>250</v>
      </c>
      <c r="E215" s="3">
        <v>6.2999999999999998E-6</v>
      </c>
      <c r="F215" s="3">
        <f t="shared" si="2"/>
        <v>-11.974960924566787</v>
      </c>
    </row>
    <row r="216" spans="1:8" x14ac:dyDescent="0.25">
      <c r="D216">
        <v>200</v>
      </c>
      <c r="E216" s="3">
        <v>4.8999999999999997E-6</v>
      </c>
      <c r="F216" s="3">
        <f t="shared" si="2"/>
        <v>-12.226275352847694</v>
      </c>
      <c r="G216">
        <v>0.49199999999999999</v>
      </c>
    </row>
    <row r="217" spans="1:8" x14ac:dyDescent="0.25">
      <c r="D217">
        <v>150</v>
      </c>
      <c r="E217" s="3">
        <v>3.4800000000000001E-6</v>
      </c>
      <c r="F217" s="3">
        <f t="shared" si="2"/>
        <v>-12.568478264177891</v>
      </c>
      <c r="G217">
        <v>0.32400000000000001</v>
      </c>
    </row>
    <row r="218" spans="1:8" x14ac:dyDescent="0.25">
      <c r="D218">
        <v>100</v>
      </c>
      <c r="E218" s="3">
        <v>2.0899999999999999E-6</v>
      </c>
      <c r="F218" s="3">
        <f t="shared" si="2"/>
        <v>-13.078346491987555</v>
      </c>
    </row>
    <row r="219" spans="1:8" x14ac:dyDescent="0.25">
      <c r="D219">
        <v>50</v>
      </c>
      <c r="E219" s="3">
        <v>7.1099999999999995E-7</v>
      </c>
      <c r="F219" s="3">
        <f t="shared" si="2"/>
        <v>-14.15659340714317</v>
      </c>
    </row>
    <row r="220" spans="1:8" x14ac:dyDescent="0.25">
      <c r="A220" s="7">
        <v>43351</v>
      </c>
      <c r="B220">
        <v>350</v>
      </c>
      <c r="C220">
        <v>600</v>
      </c>
      <c r="D220">
        <v>300</v>
      </c>
      <c r="E220" s="3">
        <v>8.0299999999999994E-6</v>
      </c>
      <c r="F220" s="3">
        <f t="shared" si="2"/>
        <v>-11.732326030005604</v>
      </c>
    </row>
    <row r="221" spans="1:8" x14ac:dyDescent="0.25">
      <c r="D221">
        <v>167</v>
      </c>
      <c r="E221" s="3">
        <v>3.32E-6</v>
      </c>
      <c r="F221" s="3">
        <f t="shared" si="2"/>
        <v>-12.615545775035876</v>
      </c>
    </row>
    <row r="222" spans="1:8" x14ac:dyDescent="0.25">
      <c r="A222" s="7">
        <v>43354</v>
      </c>
      <c r="B222">
        <v>350</v>
      </c>
      <c r="C222">
        <v>600</v>
      </c>
      <c r="D222">
        <v>300</v>
      </c>
      <c r="E222" s="3">
        <v>1.0499999999999999E-5</v>
      </c>
      <c r="F222" s="3">
        <f t="shared" si="2"/>
        <v>-11.464135300800796</v>
      </c>
    </row>
    <row r="223" spans="1:8" x14ac:dyDescent="0.25">
      <c r="D223">
        <v>178</v>
      </c>
      <c r="E223" s="3">
        <v>4.6099999999999999E-6</v>
      </c>
      <c r="F223" s="3">
        <f t="shared" si="2"/>
        <v>-12.287282700955718</v>
      </c>
    </row>
    <row r="224" spans="1:8" x14ac:dyDescent="0.25">
      <c r="D224">
        <v>170</v>
      </c>
      <c r="E224" s="3">
        <v>4.5199999999999999E-6</v>
      </c>
      <c r="F224" s="3">
        <f t="shared" si="2"/>
        <v>-12.306998564120134</v>
      </c>
    </row>
    <row r="225" spans="1:15" x14ac:dyDescent="0.25">
      <c r="D225">
        <v>160</v>
      </c>
      <c r="E225" s="3">
        <v>4.2300000000000002E-6</v>
      </c>
      <c r="F225" s="3">
        <f t="shared" si="2"/>
        <v>-12.373308564906088</v>
      </c>
    </row>
    <row r="226" spans="1:15" x14ac:dyDescent="0.25">
      <c r="D226">
        <v>145</v>
      </c>
      <c r="E226" s="3">
        <v>3.7900000000000001E-6</v>
      </c>
      <c r="F226" s="3">
        <f t="shared" si="2"/>
        <v>-12.483144538869938</v>
      </c>
    </row>
    <row r="227" spans="1:15" x14ac:dyDescent="0.25">
      <c r="D227">
        <v>153</v>
      </c>
      <c r="E227" s="3">
        <v>4.1300000000000003E-6</v>
      </c>
      <c r="F227" s="3">
        <f t="shared" si="2"/>
        <v>-12.397233150991333</v>
      </c>
    </row>
    <row r="228" spans="1:15" x14ac:dyDescent="0.25">
      <c r="D228">
        <v>149</v>
      </c>
      <c r="E228" s="3">
        <v>4.0899999999999998E-6</v>
      </c>
      <c r="F228" s="3">
        <f t="shared" si="2"/>
        <v>-12.406965587909564</v>
      </c>
    </row>
    <row r="229" spans="1:15" x14ac:dyDescent="0.25">
      <c r="A229" s="7">
        <v>43355</v>
      </c>
      <c r="B229">
        <v>350</v>
      </c>
      <c r="C229">
        <v>600</v>
      </c>
      <c r="D229">
        <v>300</v>
      </c>
      <c r="E229" s="3">
        <v>1.08E-5</v>
      </c>
      <c r="F229" s="3">
        <f t="shared" si="2"/>
        <v>-11.435964423834101</v>
      </c>
    </row>
    <row r="230" spans="1:15" x14ac:dyDescent="0.25">
      <c r="D230">
        <v>149</v>
      </c>
      <c r="E230" s="3">
        <v>3.8700000000000002E-6</v>
      </c>
      <c r="F230" s="3">
        <f t="shared" si="2"/>
        <v>-12.462256050922583</v>
      </c>
      <c r="J230" t="s">
        <v>38</v>
      </c>
      <c r="K230" t="s">
        <v>39</v>
      </c>
      <c r="L230" t="s">
        <v>40</v>
      </c>
      <c r="M230" t="s">
        <v>41</v>
      </c>
      <c r="N230" t="s">
        <v>42</v>
      </c>
      <c r="O230" t="s">
        <v>79</v>
      </c>
    </row>
    <row r="231" spans="1:15" x14ac:dyDescent="0.25">
      <c r="A231" s="7">
        <v>43360</v>
      </c>
      <c r="B231">
        <v>350</v>
      </c>
      <c r="C231">
        <v>600</v>
      </c>
      <c r="D231">
        <v>300</v>
      </c>
      <c r="E231" s="3">
        <v>1.0699999999999999E-5</v>
      </c>
      <c r="F231" s="3">
        <f t="shared" si="2"/>
        <v>-11.445266816496414</v>
      </c>
      <c r="J231" s="3">
        <v>2.9600000000000001E-14</v>
      </c>
      <c r="K231" s="3">
        <v>-1.777E-11</v>
      </c>
      <c r="L231" s="3">
        <v>3.3980000000000001E-9</v>
      </c>
      <c r="M231" s="3">
        <v>-1.832E-7</v>
      </c>
      <c r="N231" s="13">
        <v>147</v>
      </c>
      <c r="O231" s="3">
        <f>J231*N231^4+K231*N231^3+L231*N231^2+M231*N231</f>
        <v>3.8718551676000032E-6</v>
      </c>
    </row>
    <row r="232" spans="1:15" x14ac:dyDescent="0.25">
      <c r="D232">
        <v>155</v>
      </c>
      <c r="E232" s="3">
        <v>3.9700000000000001E-6</v>
      </c>
      <c r="F232" s="3">
        <f t="shared" si="2"/>
        <v>-12.436744463265175</v>
      </c>
      <c r="G232" s="3"/>
    </row>
    <row r="233" spans="1:15" x14ac:dyDescent="0.25">
      <c r="D233">
        <v>165</v>
      </c>
      <c r="E233" s="3">
        <v>4.4100000000000001E-6</v>
      </c>
      <c r="F233" s="3">
        <f t="shared" si="2"/>
        <v>-12.33163586850552</v>
      </c>
    </row>
    <row r="234" spans="1:15" x14ac:dyDescent="0.25">
      <c r="D234">
        <v>160</v>
      </c>
      <c r="E234" s="3">
        <v>4.3000000000000003E-6</v>
      </c>
      <c r="F234" s="3">
        <f t="shared" si="2"/>
        <v>-12.356895535264757</v>
      </c>
      <c r="G234" s="3"/>
    </row>
    <row r="235" spans="1:15" x14ac:dyDescent="0.25">
      <c r="A235" s="7">
        <v>43361</v>
      </c>
      <c r="B235">
        <v>350</v>
      </c>
      <c r="C235">
        <v>600</v>
      </c>
      <c r="D235">
        <v>300</v>
      </c>
      <c r="E235" s="3">
        <v>1.1800000000000001E-5</v>
      </c>
      <c r="F235" s="3">
        <f t="shared" si="2"/>
        <v>-11.347411026492654</v>
      </c>
    </row>
    <row r="236" spans="1:15" x14ac:dyDescent="0.25">
      <c r="D236">
        <v>160</v>
      </c>
      <c r="E236" s="3">
        <v>4.42E-6</v>
      </c>
      <c r="F236" s="3">
        <f t="shared" si="2"/>
        <v>-12.329370861874667</v>
      </c>
    </row>
    <row r="237" spans="1:15" x14ac:dyDescent="0.25">
      <c r="D237">
        <v>157</v>
      </c>
      <c r="E237" s="3">
        <v>4.3100000000000002E-6</v>
      </c>
      <c r="F237" s="3">
        <f t="shared" si="2"/>
        <v>-12.354572653848617</v>
      </c>
    </row>
    <row r="238" spans="1:15" x14ac:dyDescent="0.25">
      <c r="D238">
        <v>155</v>
      </c>
      <c r="E238" s="3">
        <v>4.2300000000000002E-6</v>
      </c>
      <c r="F238" s="3">
        <f t="shared" si="2"/>
        <v>-12.373308564906088</v>
      </c>
    </row>
    <row r="239" spans="1:15" x14ac:dyDescent="0.25">
      <c r="A239" s="7">
        <v>43367</v>
      </c>
      <c r="B239">
        <v>350</v>
      </c>
      <c r="C239">
        <v>600</v>
      </c>
      <c r="D239">
        <v>300</v>
      </c>
      <c r="E239" s="3">
        <v>1.17E-5</v>
      </c>
      <c r="F239" s="3">
        <f t="shared" si="2"/>
        <v>-11.355921716160564</v>
      </c>
    </row>
    <row r="240" spans="1:15" x14ac:dyDescent="0.25">
      <c r="D240">
        <v>155</v>
      </c>
      <c r="E240" s="3">
        <v>4.2599999999999999E-6</v>
      </c>
      <c r="F240" s="3">
        <f t="shared" si="2"/>
        <v>-12.366241397682995</v>
      </c>
    </row>
    <row r="241" spans="1:14" x14ac:dyDescent="0.25">
      <c r="D241">
        <v>153</v>
      </c>
      <c r="E241" s="3">
        <v>4.2200000000000003E-6</v>
      </c>
      <c r="F241" s="3">
        <f t="shared" si="2"/>
        <v>-12.375675429916354</v>
      </c>
    </row>
    <row r="242" spans="1:14" x14ac:dyDescent="0.25">
      <c r="A242" s="7">
        <v>43383</v>
      </c>
      <c r="B242">
        <v>350</v>
      </c>
      <c r="C242">
        <v>600</v>
      </c>
      <c r="D242">
        <v>300</v>
      </c>
      <c r="E242" s="3">
        <v>1.26E-5</v>
      </c>
      <c r="F242" s="3">
        <f t="shared" si="2"/>
        <v>-11.281813744006842</v>
      </c>
    </row>
    <row r="243" spans="1:14" x14ac:dyDescent="0.25">
      <c r="D243">
        <v>147</v>
      </c>
      <c r="E243" s="3">
        <v>4.2799999999999997E-6</v>
      </c>
      <c r="F243" s="3">
        <f t="shared" si="2"/>
        <v>-12.361557548370568</v>
      </c>
    </row>
    <row r="244" spans="1:14" x14ac:dyDescent="0.25">
      <c r="D244">
        <v>135</v>
      </c>
      <c r="E244" s="3">
        <v>3.9199999999999997E-6</v>
      </c>
      <c r="F244" s="3">
        <f t="shared" si="2"/>
        <v>-12.449418904161902</v>
      </c>
    </row>
    <row r="245" spans="1:14" x14ac:dyDescent="0.25">
      <c r="A245" s="7">
        <v>43388</v>
      </c>
      <c r="B245">
        <v>350</v>
      </c>
      <c r="C245">
        <v>600</v>
      </c>
      <c r="D245">
        <v>300</v>
      </c>
      <c r="E245" s="3">
        <v>1.2500000000000001E-5</v>
      </c>
      <c r="F245" s="3">
        <f t="shared" si="2"/>
        <v>-11.289781913656018</v>
      </c>
    </row>
    <row r="246" spans="1:14" x14ac:dyDescent="0.25">
      <c r="D246">
        <v>145</v>
      </c>
      <c r="E246" s="3">
        <v>4.1699999999999999E-6</v>
      </c>
      <c r="F246" s="3">
        <f t="shared" si="2"/>
        <v>-12.387594522153565</v>
      </c>
    </row>
    <row r="247" spans="1:14" x14ac:dyDescent="0.25">
      <c r="A247" s="7">
        <v>43396</v>
      </c>
      <c r="B247">
        <v>350</v>
      </c>
      <c r="C247">
        <v>600</v>
      </c>
      <c r="D247">
        <v>300</v>
      </c>
      <c r="E247" s="3">
        <v>1.22E-5</v>
      </c>
      <c r="F247" s="3">
        <f t="shared" si="2"/>
        <v>-11.314074606225063</v>
      </c>
    </row>
    <row r="248" spans="1:14" x14ac:dyDescent="0.25">
      <c r="D248">
        <v>145</v>
      </c>
      <c r="E248" s="3">
        <v>4.0899999999999998E-6</v>
      </c>
      <c r="F248" s="3">
        <f t="shared" si="2"/>
        <v>-12.406965587909564</v>
      </c>
    </row>
    <row r="249" spans="1:14" x14ac:dyDescent="0.25">
      <c r="D249">
        <v>140</v>
      </c>
      <c r="E249" s="3">
        <v>3.9299999999999996E-6</v>
      </c>
      <c r="F249" s="3">
        <f t="shared" si="2"/>
        <v>-12.446871132083105</v>
      </c>
    </row>
    <row r="250" spans="1:14" x14ac:dyDescent="0.25">
      <c r="D250">
        <v>138</v>
      </c>
      <c r="E250" s="3">
        <v>3.8800000000000001E-6</v>
      </c>
      <c r="F250" s="3">
        <f t="shared" si="2"/>
        <v>-12.459675404329092</v>
      </c>
    </row>
    <row r="251" spans="1:14" x14ac:dyDescent="0.25">
      <c r="A251" s="7">
        <v>43402</v>
      </c>
      <c r="B251">
        <v>350</v>
      </c>
      <c r="C251">
        <v>600</v>
      </c>
      <c r="D251">
        <v>300</v>
      </c>
      <c r="E251" s="3">
        <v>1.2799999999999999E-5</v>
      </c>
      <c r="F251" s="3">
        <f t="shared" si="2"/>
        <v>-11.266065387038703</v>
      </c>
      <c r="J251" t="s">
        <v>38</v>
      </c>
      <c r="K251" t="s">
        <v>39</v>
      </c>
      <c r="L251" t="s">
        <v>42</v>
      </c>
      <c r="M251" t="s">
        <v>85</v>
      </c>
      <c r="N251" t="s">
        <v>12</v>
      </c>
    </row>
    <row r="252" spans="1:14" x14ac:dyDescent="0.25">
      <c r="D252">
        <v>135</v>
      </c>
      <c r="E252" s="3">
        <v>3.9299999999999996E-6</v>
      </c>
      <c r="F252" s="3">
        <f t="shared" si="2"/>
        <v>-12.446871132083105</v>
      </c>
      <c r="J252" s="3">
        <v>7.1000000000000004E-3</v>
      </c>
      <c r="K252" s="3">
        <v>-13.42</v>
      </c>
      <c r="L252">
        <v>142</v>
      </c>
      <c r="M252" s="3">
        <f>J252*L252+K252</f>
        <v>-12.411799999999999</v>
      </c>
      <c r="N252">
        <f>EXP(M252)</f>
        <v>4.070274972423027E-6</v>
      </c>
    </row>
    <row r="253" spans="1:14" x14ac:dyDescent="0.25">
      <c r="D253">
        <v>133</v>
      </c>
      <c r="E253" s="3">
        <v>3.8700000000000002E-6</v>
      </c>
      <c r="F253" s="3">
        <f t="shared" si="2"/>
        <v>-12.462256050922583</v>
      </c>
    </row>
    <row r="254" spans="1:14" x14ac:dyDescent="0.25">
      <c r="A254" s="7">
        <v>43431</v>
      </c>
      <c r="B254">
        <v>350</v>
      </c>
      <c r="C254">
        <v>600</v>
      </c>
      <c r="D254">
        <v>300</v>
      </c>
      <c r="E254" s="3">
        <v>1.17E-5</v>
      </c>
      <c r="F254" s="3">
        <f t="shared" si="2"/>
        <v>-11.355921716160564</v>
      </c>
    </row>
    <row r="255" spans="1:14" x14ac:dyDescent="0.25">
      <c r="D255">
        <v>142</v>
      </c>
      <c r="E255" s="3">
        <v>3.8600000000000003E-6</v>
      </c>
      <c r="F255" s="3">
        <f t="shared" si="2"/>
        <v>-12.464843374487534</v>
      </c>
    </row>
    <row r="256" spans="1:14" x14ac:dyDescent="0.25">
      <c r="A256" s="7">
        <v>43438</v>
      </c>
      <c r="B256">
        <v>350</v>
      </c>
      <c r="C256">
        <v>600</v>
      </c>
      <c r="D256">
        <v>300</v>
      </c>
      <c r="E256" s="3">
        <v>1.1800000000000001E-5</v>
      </c>
      <c r="F256" s="3">
        <f t="shared" si="2"/>
        <v>-11.347411026492654</v>
      </c>
    </row>
    <row r="257" spans="1:14" x14ac:dyDescent="0.25">
      <c r="D257">
        <v>150</v>
      </c>
      <c r="E257" s="3">
        <v>4.1999999999999996E-6</v>
      </c>
      <c r="F257" s="3">
        <f t="shared" si="2"/>
        <v>-12.380426032674952</v>
      </c>
    </row>
    <row r="258" spans="1:14" x14ac:dyDescent="0.25">
      <c r="A258" s="7">
        <v>43446</v>
      </c>
      <c r="B258">
        <v>350</v>
      </c>
      <c r="C258">
        <v>950</v>
      </c>
      <c r="D258">
        <v>300</v>
      </c>
      <c r="E258" s="3">
        <v>5.3499999999999996E-6</v>
      </c>
      <c r="F258" s="3">
        <f t="shared" si="2"/>
        <v>-12.138413997056359</v>
      </c>
    </row>
    <row r="259" spans="1:14" x14ac:dyDescent="0.25">
      <c r="D259">
        <v>250</v>
      </c>
      <c r="E259" s="3">
        <v>3.6100000000000002E-6</v>
      </c>
      <c r="F259" s="3">
        <f t="shared" si="2"/>
        <v>-12.531802785619485</v>
      </c>
    </row>
    <row r="260" spans="1:14" x14ac:dyDescent="0.25">
      <c r="D260">
        <v>200</v>
      </c>
      <c r="E260" s="3">
        <v>2.79E-6</v>
      </c>
      <c r="F260" s="3">
        <f t="shared" si="2"/>
        <v>-12.789468962131</v>
      </c>
    </row>
    <row r="261" spans="1:14" x14ac:dyDescent="0.25">
      <c r="D261">
        <v>150</v>
      </c>
      <c r="E261" s="3">
        <v>1.99E-6</v>
      </c>
      <c r="F261" s="3">
        <f t="shared" si="2"/>
        <v>-13.127375919227873</v>
      </c>
    </row>
    <row r="262" spans="1:14" x14ac:dyDescent="0.25">
      <c r="D262">
        <v>100</v>
      </c>
      <c r="E262" s="3">
        <v>1.24E-6</v>
      </c>
      <c r="F262" s="3">
        <f t="shared" si="2"/>
        <v>-13.600399178347329</v>
      </c>
    </row>
    <row r="263" spans="1:14" x14ac:dyDescent="0.25">
      <c r="D263">
        <v>50</v>
      </c>
      <c r="E263" s="3">
        <v>4.4799999999999999E-7</v>
      </c>
      <c r="F263" s="3">
        <f t="shared" si="2"/>
        <v>-14.618472604531426</v>
      </c>
    </row>
    <row r="264" spans="1:14" x14ac:dyDescent="0.25">
      <c r="D264">
        <v>25</v>
      </c>
      <c r="E264" s="3">
        <v>1.31E-7</v>
      </c>
      <c r="F264" s="3">
        <f t="shared" si="2"/>
        <v>-15.848068513745259</v>
      </c>
    </row>
    <row r="265" spans="1:14" x14ac:dyDescent="0.25">
      <c r="D265">
        <v>193</v>
      </c>
      <c r="E265" s="20">
        <v>2.7924999999999999E-6</v>
      </c>
      <c r="F265" s="20">
        <f t="shared" si="2"/>
        <v>-12.788573306003055</v>
      </c>
      <c r="G265">
        <v>0.42699999999999999</v>
      </c>
    </row>
    <row r="266" spans="1:14" x14ac:dyDescent="0.25">
      <c r="A266" s="7">
        <v>43453</v>
      </c>
      <c r="B266">
        <v>350</v>
      </c>
      <c r="C266">
        <v>600</v>
      </c>
      <c r="D266">
        <v>300</v>
      </c>
      <c r="E266" s="3">
        <v>1.1E-5</v>
      </c>
      <c r="F266" s="3">
        <f t="shared" si="2"/>
        <v>-11.417615285165903</v>
      </c>
    </row>
    <row r="267" spans="1:14" x14ac:dyDescent="0.25">
      <c r="D267">
        <v>150</v>
      </c>
      <c r="E267" s="3">
        <v>3.9199999999999997E-6</v>
      </c>
      <c r="F267" s="3">
        <f t="shared" si="2"/>
        <v>-12.449418904161902</v>
      </c>
    </row>
    <row r="268" spans="1:14" x14ac:dyDescent="0.25">
      <c r="D268">
        <v>155</v>
      </c>
      <c r="E268" s="3">
        <v>4.1500000000000001E-6</v>
      </c>
      <c r="F268" s="3">
        <f t="shared" ref="F268:F277" si="3">LN(E268)</f>
        <v>-12.392402223721668</v>
      </c>
    </row>
    <row r="269" spans="1:14" x14ac:dyDescent="0.25">
      <c r="A269" s="7">
        <v>43495</v>
      </c>
      <c r="B269">
        <v>350</v>
      </c>
      <c r="C269">
        <v>600</v>
      </c>
      <c r="D269">
        <v>300</v>
      </c>
      <c r="E269" s="3">
        <v>1.0499999999999999E-5</v>
      </c>
      <c r="F269" s="3">
        <f t="shared" si="3"/>
        <v>-11.464135300800796</v>
      </c>
    </row>
    <row r="270" spans="1:14" x14ac:dyDescent="0.25">
      <c r="D270">
        <v>145</v>
      </c>
      <c r="E270" s="3">
        <v>3.6200000000000001E-6</v>
      </c>
      <c r="F270" s="3">
        <f t="shared" si="3"/>
        <v>-12.529036532126595</v>
      </c>
      <c r="J270" t="s">
        <v>38</v>
      </c>
      <c r="K270" t="s">
        <v>39</v>
      </c>
      <c r="L270" t="s">
        <v>42</v>
      </c>
      <c r="M270" t="s">
        <v>85</v>
      </c>
      <c r="N270" t="s">
        <v>12</v>
      </c>
    </row>
    <row r="271" spans="1:14" x14ac:dyDescent="0.25">
      <c r="D271">
        <v>155</v>
      </c>
      <c r="E271" s="3">
        <v>3.9899999999999999E-6</v>
      </c>
      <c r="F271" s="3">
        <f t="shared" si="3"/>
        <v>-12.431719327062503</v>
      </c>
      <c r="J271" s="3">
        <v>1.4330000000000001</v>
      </c>
      <c r="K271" s="3">
        <v>-20.329999999999998</v>
      </c>
      <c r="L271">
        <v>193</v>
      </c>
      <c r="M271" s="3">
        <f>J271*LN(L271)+K271</f>
        <v>-12.788564959299297</v>
      </c>
      <c r="N271">
        <f>EXP(M271)</f>
        <v>2.7925233082675191E-6</v>
      </c>
    </row>
    <row r="272" spans="1:14" x14ac:dyDescent="0.25">
      <c r="D272">
        <v>158</v>
      </c>
      <c r="E272" s="3">
        <v>4.1200000000000004E-6</v>
      </c>
      <c r="F272" s="3">
        <f t="shared" si="3"/>
        <v>-12.399657394602839</v>
      </c>
    </row>
    <row r="273" spans="1:15" x14ac:dyDescent="0.25">
      <c r="A273" s="7">
        <v>43557</v>
      </c>
      <c r="B273">
        <v>350</v>
      </c>
      <c r="C273">
        <v>600</v>
      </c>
      <c r="D273">
        <v>300</v>
      </c>
      <c r="E273" s="3">
        <v>1.0499999999999999E-5</v>
      </c>
      <c r="F273" s="3">
        <f t="shared" si="3"/>
        <v>-11.464135300800796</v>
      </c>
    </row>
    <row r="274" spans="1:15" x14ac:dyDescent="0.25">
      <c r="D274">
        <v>162</v>
      </c>
      <c r="E274" s="3">
        <v>4.1899999999999997E-6</v>
      </c>
      <c r="F274" s="3">
        <f t="shared" si="3"/>
        <v>-12.382809824030227</v>
      </c>
    </row>
    <row r="275" spans="1:15" x14ac:dyDescent="0.25">
      <c r="D275">
        <v>160</v>
      </c>
      <c r="E275" s="3">
        <v>4.0799999999999999E-6</v>
      </c>
      <c r="F275" s="3">
        <f t="shared" si="3"/>
        <v>-12.409413569548203</v>
      </c>
    </row>
    <row r="276" spans="1:15" x14ac:dyDescent="0.25">
      <c r="A276" s="7">
        <v>43592</v>
      </c>
      <c r="B276">
        <v>350</v>
      </c>
      <c r="C276">
        <v>600</v>
      </c>
      <c r="D276">
        <v>300</v>
      </c>
      <c r="E276" s="3">
        <v>9.5899999999999997E-6</v>
      </c>
      <c r="F276" s="3">
        <f t="shared" si="3"/>
        <v>-11.554789669068928</v>
      </c>
    </row>
    <row r="277" spans="1:15" x14ac:dyDescent="0.25">
      <c r="D277">
        <v>170</v>
      </c>
      <c r="E277" s="3">
        <v>4.07E-6</v>
      </c>
      <c r="F277" s="3">
        <f t="shared" si="3"/>
        <v>-12.411867558509771</v>
      </c>
    </row>
    <row r="278" spans="1:15" x14ac:dyDescent="0.25">
      <c r="A278" s="7">
        <v>43600</v>
      </c>
      <c r="B278">
        <v>350</v>
      </c>
      <c r="C278">
        <v>600</v>
      </c>
      <c r="D278">
        <v>300</v>
      </c>
      <c r="E278" s="3">
        <v>1.01E-5</v>
      </c>
      <c r="F278" s="3">
        <f>LN(E278)</f>
        <v>-11.50297513411706</v>
      </c>
    </row>
    <row r="279" spans="1:15" x14ac:dyDescent="0.25">
      <c r="D279">
        <v>170</v>
      </c>
      <c r="E279" s="3">
        <v>4.1400000000000002E-6</v>
      </c>
      <c r="F279" s="3">
        <f>LN(E279)</f>
        <v>-12.39481477012705</v>
      </c>
    </row>
    <row r="280" spans="1:15" x14ac:dyDescent="0.25">
      <c r="D280">
        <v>165</v>
      </c>
      <c r="E280" s="3">
        <v>3.9899999999999999E-6</v>
      </c>
      <c r="F280" s="3">
        <f>LN(E280)</f>
        <v>-12.431719327062503</v>
      </c>
    </row>
    <row r="281" spans="1:15" x14ac:dyDescent="0.25">
      <c r="A281" s="7">
        <v>43601</v>
      </c>
      <c r="B281">
        <v>350</v>
      </c>
      <c r="C281">
        <v>600</v>
      </c>
      <c r="D281">
        <v>300</v>
      </c>
      <c r="E281" s="3">
        <v>1.0000000000000001E-5</v>
      </c>
      <c r="F281" s="3">
        <f t="shared" ref="F281:F344" si="4">LN(E281)</f>
        <v>-11.512925464970229</v>
      </c>
    </row>
    <row r="282" spans="1:15" x14ac:dyDescent="0.25">
      <c r="D282">
        <v>170</v>
      </c>
      <c r="E282" s="3">
        <v>4.2300000000000002E-6</v>
      </c>
      <c r="F282" s="3">
        <f t="shared" si="4"/>
        <v>-12.373308564906088</v>
      </c>
    </row>
    <row r="283" spans="1:15" x14ac:dyDescent="0.25">
      <c r="D283">
        <v>165</v>
      </c>
      <c r="E283" s="3">
        <v>4.0799999999999999E-6</v>
      </c>
      <c r="F283" s="3">
        <f t="shared" si="4"/>
        <v>-12.409413569548203</v>
      </c>
    </row>
    <row r="284" spans="1:15" x14ac:dyDescent="0.25">
      <c r="A284" s="7">
        <v>43606</v>
      </c>
      <c r="B284">
        <v>350</v>
      </c>
      <c r="C284">
        <v>600</v>
      </c>
      <c r="D284">
        <v>300</v>
      </c>
      <c r="E284" s="3">
        <f>0.00000991-0.0000000256</f>
        <v>9.8843999999999998E-6</v>
      </c>
      <c r="F284" s="3">
        <f t="shared" si="4"/>
        <v>-11.524552801211208</v>
      </c>
    </row>
    <row r="285" spans="1:15" x14ac:dyDescent="0.25">
      <c r="D285">
        <v>250</v>
      </c>
      <c r="E285" s="3">
        <f>0.00000672-0.000000017</f>
        <v>6.703E-6</v>
      </c>
      <c r="F285" s="3">
        <f t="shared" si="4"/>
        <v>-11.912955370588454</v>
      </c>
    </row>
    <row r="286" spans="1:15" x14ac:dyDescent="0.25">
      <c r="D286">
        <v>200</v>
      </c>
      <c r="E286" s="3">
        <f>0.00000517-0.0000000144</f>
        <v>5.1555999999999994E-6</v>
      </c>
      <c r="F286" s="3">
        <f t="shared" si="4"/>
        <v>-12.175427055415787</v>
      </c>
    </row>
    <row r="287" spans="1:15" x14ac:dyDescent="0.25">
      <c r="D287">
        <v>165</v>
      </c>
      <c r="E287" s="3">
        <f>0.00000404-0.000000013</f>
        <v>4.0270000000000006E-6</v>
      </c>
      <c r="F287" s="3">
        <f t="shared" si="4"/>
        <v>-12.422488876094956</v>
      </c>
    </row>
    <row r="288" spans="1:15" x14ac:dyDescent="0.25">
      <c r="D288">
        <v>150</v>
      </c>
      <c r="E288" s="3">
        <f>0.00000369-0.0000000108</f>
        <v>3.6791999999999999E-6</v>
      </c>
      <c r="F288" s="3">
        <f t="shared" si="4"/>
        <v>-12.512815220720697</v>
      </c>
      <c r="J288" t="s">
        <v>38</v>
      </c>
      <c r="K288" t="s">
        <v>39</v>
      </c>
      <c r="L288" t="s">
        <v>40</v>
      </c>
      <c r="M288" t="s">
        <v>41</v>
      </c>
      <c r="N288" t="s">
        <v>42</v>
      </c>
      <c r="O288" t="s">
        <v>79</v>
      </c>
    </row>
    <row r="289" spans="1:15" x14ac:dyDescent="0.25">
      <c r="D289">
        <v>100</v>
      </c>
      <c r="E289" s="3">
        <f>0.00000224-0.0000000074</f>
        <v>2.2326E-6</v>
      </c>
      <c r="F289" s="3">
        <f t="shared" si="4"/>
        <v>-13.01234373236578</v>
      </c>
      <c r="J289" s="3">
        <v>2.1976000000000001E-15</v>
      </c>
      <c r="K289" s="3">
        <v>-1.1765000000000001E-12</v>
      </c>
      <c r="L289" s="3">
        <v>2.1196000000000001E-10</v>
      </c>
      <c r="M289" s="3">
        <v>7.6872999999999999E-10</v>
      </c>
      <c r="N289" s="13">
        <v>180</v>
      </c>
      <c r="O289" s="3">
        <f>J289*N289^4+K289*N289^3+L289*N289^2+M289*N289</f>
        <v>2.4514799759999995E-6</v>
      </c>
    </row>
    <row r="290" spans="1:15" x14ac:dyDescent="0.25">
      <c r="D290">
        <v>50</v>
      </c>
      <c r="E290" s="3">
        <f>0.000000754-0.00000000387</f>
        <v>7.5013000000000001E-7</v>
      </c>
      <c r="F290" s="3">
        <f t="shared" si="4"/>
        <v>-14.103019312103209</v>
      </c>
    </row>
    <row r="291" spans="1:15" x14ac:dyDescent="0.25">
      <c r="D291">
        <v>180</v>
      </c>
      <c r="E291" s="3">
        <f>0.00000472-0.0000000118</f>
        <v>4.7082000000000001E-6</v>
      </c>
      <c r="F291" s="3">
        <f t="shared" si="4"/>
        <v>-12.266204888584928</v>
      </c>
    </row>
    <row r="292" spans="1:15" x14ac:dyDescent="0.25">
      <c r="D292">
        <v>210</v>
      </c>
      <c r="E292" s="3">
        <f>0.00000566-0.0000000147</f>
        <v>5.6453E-6</v>
      </c>
      <c r="F292" s="3">
        <f t="shared" si="4"/>
        <v>-12.084687217399207</v>
      </c>
    </row>
    <row r="293" spans="1:15" x14ac:dyDescent="0.25">
      <c r="D293">
        <v>230</v>
      </c>
      <c r="E293" s="3">
        <f>0.00000627-0.0000000164</f>
        <v>6.2535999999999997E-6</v>
      </c>
      <c r="F293" s="3">
        <f t="shared" si="4"/>
        <v>-11.982353260040291</v>
      </c>
    </row>
    <row r="294" spans="1:15" x14ac:dyDescent="0.25">
      <c r="A294" s="7">
        <v>43662</v>
      </c>
      <c r="B294">
        <v>350</v>
      </c>
      <c r="C294">
        <v>600</v>
      </c>
      <c r="D294">
        <v>300</v>
      </c>
      <c r="E294" s="3">
        <v>8.3999999999999992E-6</v>
      </c>
      <c r="F294" s="3">
        <f t="shared" si="4"/>
        <v>-11.687278852115007</v>
      </c>
    </row>
    <row r="295" spans="1:15" x14ac:dyDescent="0.25">
      <c r="D295">
        <v>200</v>
      </c>
      <c r="E295" s="3">
        <v>4.3900000000000003E-6</v>
      </c>
      <c r="F295" s="3">
        <f t="shared" si="4"/>
        <v>-12.336181330877194</v>
      </c>
    </row>
    <row r="296" spans="1:15" x14ac:dyDescent="0.25">
      <c r="D296">
        <v>190</v>
      </c>
      <c r="E296" s="3">
        <v>4.1500000000000001E-6</v>
      </c>
      <c r="F296" s="3">
        <f t="shared" si="4"/>
        <v>-12.392402223721668</v>
      </c>
    </row>
    <row r="297" spans="1:15" x14ac:dyDescent="0.25">
      <c r="D297">
        <v>180</v>
      </c>
      <c r="E297" s="3">
        <v>3.9199999999999997E-6</v>
      </c>
      <c r="F297" s="3">
        <f t="shared" si="4"/>
        <v>-12.449418904161902</v>
      </c>
    </row>
    <row r="298" spans="1:15" x14ac:dyDescent="0.25">
      <c r="D298">
        <v>170</v>
      </c>
      <c r="E298" s="3">
        <v>3.6799999999999999E-6</v>
      </c>
      <c r="F298" s="3">
        <f t="shared" si="4"/>
        <v>-12.512597805783434</v>
      </c>
    </row>
    <row r="299" spans="1:15" x14ac:dyDescent="0.25">
      <c r="D299">
        <v>160</v>
      </c>
      <c r="E299" s="3">
        <v>3.4300000000000002E-6</v>
      </c>
      <c r="F299" s="3">
        <f t="shared" si="4"/>
        <v>-12.582950296786425</v>
      </c>
    </row>
    <row r="300" spans="1:15" x14ac:dyDescent="0.25">
      <c r="D300">
        <v>150</v>
      </c>
      <c r="E300" s="3">
        <v>3.1700000000000001E-6</v>
      </c>
      <c r="F300" s="3">
        <f t="shared" si="4"/>
        <v>-12.661778970075085</v>
      </c>
    </row>
    <row r="301" spans="1:15" x14ac:dyDescent="0.25">
      <c r="A301" s="7">
        <v>43663</v>
      </c>
      <c r="B301">
        <v>350</v>
      </c>
      <c r="C301">
        <v>600</v>
      </c>
      <c r="D301">
        <v>300</v>
      </c>
      <c r="E301" s="3">
        <v>8.5199999999999997E-6</v>
      </c>
      <c r="F301" s="3">
        <f t="shared" si="4"/>
        <v>-11.673094217123049</v>
      </c>
    </row>
    <row r="302" spans="1:15" x14ac:dyDescent="0.25">
      <c r="D302">
        <v>200</v>
      </c>
      <c r="E302" s="3">
        <v>4.3699999999999997E-6</v>
      </c>
      <c r="F302" s="3">
        <f t="shared" si="4"/>
        <v>-12.340747548856775</v>
      </c>
    </row>
    <row r="303" spans="1:15" x14ac:dyDescent="0.25">
      <c r="D303">
        <v>185</v>
      </c>
      <c r="E303" s="3">
        <v>4.0099999999999997E-6</v>
      </c>
      <c r="F303" s="3">
        <f t="shared" si="4"/>
        <v>-12.426719316645796</v>
      </c>
    </row>
    <row r="304" spans="1:15" x14ac:dyDescent="0.25">
      <c r="D304">
        <v>175</v>
      </c>
      <c r="E304" s="3">
        <v>3.7699999999999999E-6</v>
      </c>
      <c r="F304" s="3">
        <f t="shared" si="4"/>
        <v>-12.488435556504355</v>
      </c>
    </row>
    <row r="305" spans="1:15" x14ac:dyDescent="0.25">
      <c r="D305">
        <v>165</v>
      </c>
      <c r="E305" s="3">
        <v>3.5300000000000001E-6</v>
      </c>
      <c r="F305" s="3">
        <f t="shared" si="4"/>
        <v>-12.554212687019069</v>
      </c>
    </row>
    <row r="306" spans="1:15" x14ac:dyDescent="0.25">
      <c r="D306">
        <v>155</v>
      </c>
      <c r="E306" s="3">
        <v>3.2899999999999998E-6</v>
      </c>
      <c r="F306" s="3">
        <f t="shared" si="4"/>
        <v>-12.624622993186994</v>
      </c>
    </row>
    <row r="307" spans="1:15" x14ac:dyDescent="0.25">
      <c r="D307">
        <v>145</v>
      </c>
      <c r="E307" s="3">
        <v>3.0199999999999999E-6</v>
      </c>
      <c r="F307" s="3">
        <f t="shared" si="4"/>
        <v>-12.710253726577497</v>
      </c>
      <c r="J307" t="s">
        <v>38</v>
      </c>
      <c r="K307" t="s">
        <v>39</v>
      </c>
      <c r="L307" t="s">
        <v>40</v>
      </c>
      <c r="M307" t="s">
        <v>41</v>
      </c>
      <c r="N307" t="s">
        <v>42</v>
      </c>
      <c r="O307" t="s">
        <v>79</v>
      </c>
    </row>
    <row r="308" spans="1:15" x14ac:dyDescent="0.25">
      <c r="D308">
        <v>177</v>
      </c>
      <c r="E308" s="3">
        <v>3.9400000000000004E-6</v>
      </c>
      <c r="F308" s="3">
        <f t="shared" si="4"/>
        <v>-12.444329834654432</v>
      </c>
      <c r="J308" s="3">
        <v>6.2070000000000001E-15</v>
      </c>
      <c r="K308" s="3">
        <v>-3.1300000000000002E-12</v>
      </c>
      <c r="L308" s="3">
        <v>4.9460000000000003E-10</v>
      </c>
      <c r="M308" s="3">
        <v>-5.1220000000000003E-9</v>
      </c>
      <c r="N308" s="13">
        <v>53</v>
      </c>
      <c r="O308" s="3">
        <f>J308*N308^4+K308*N308^3+L308*N308^2+M308*N308</f>
        <v>7.0085660556700021E-7</v>
      </c>
    </row>
    <row r="309" spans="1:15" x14ac:dyDescent="0.25">
      <c r="A309" s="7">
        <v>43680</v>
      </c>
      <c r="B309">
        <v>350</v>
      </c>
      <c r="C309">
        <v>600</v>
      </c>
      <c r="D309">
        <v>300</v>
      </c>
      <c r="E309" s="3">
        <v>8.7099999999999996E-6</v>
      </c>
      <c r="F309" s="3">
        <f t="shared" si="4"/>
        <v>-11.651038767099863</v>
      </c>
    </row>
    <row r="310" spans="1:15" x14ac:dyDescent="0.25">
      <c r="D310">
        <v>100</v>
      </c>
      <c r="E310" s="3">
        <v>1.9199999999999998E-6</v>
      </c>
      <c r="F310" s="3">
        <f t="shared" si="4"/>
        <v>-13.163185371924584</v>
      </c>
    </row>
    <row r="311" spans="1:15" x14ac:dyDescent="0.25">
      <c r="D311">
        <v>80</v>
      </c>
      <c r="E311" s="3">
        <v>1.42E-6</v>
      </c>
      <c r="F311" s="3">
        <f t="shared" si="4"/>
        <v>-13.464853686351105</v>
      </c>
    </row>
    <row r="312" spans="1:15" x14ac:dyDescent="0.25">
      <c r="D312">
        <v>67</v>
      </c>
      <c r="E312" s="3">
        <v>1.0699999999999999E-6</v>
      </c>
      <c r="F312" s="3">
        <f t="shared" si="4"/>
        <v>-13.747851909490459</v>
      </c>
    </row>
    <row r="313" spans="1:15" x14ac:dyDescent="0.25">
      <c r="D313">
        <v>65</v>
      </c>
      <c r="E313" s="3">
        <v>9.9099999999999991E-7</v>
      </c>
      <c r="F313" s="3">
        <f t="shared" si="4"/>
        <v>-13.824551302616424</v>
      </c>
    </row>
    <row r="314" spans="1:15" x14ac:dyDescent="0.25">
      <c r="D314">
        <v>60</v>
      </c>
      <c r="E314" s="3">
        <v>8.6300000000000004E-7</v>
      </c>
      <c r="F314" s="3">
        <f t="shared" si="4"/>
        <v>-13.962851145862983</v>
      </c>
    </row>
    <row r="315" spans="1:15" x14ac:dyDescent="0.25">
      <c r="D315">
        <v>55</v>
      </c>
      <c r="E315" s="3">
        <v>7.5300000000000003E-7</v>
      </c>
      <c r="F315" s="3">
        <f t="shared" si="4"/>
        <v>-14.099200609146518</v>
      </c>
    </row>
    <row r="316" spans="1:15" x14ac:dyDescent="0.25">
      <c r="D316">
        <v>50</v>
      </c>
      <c r="E316" s="3">
        <v>6.3399999999999999E-7</v>
      </c>
      <c r="F316" s="3">
        <f t="shared" si="4"/>
        <v>-14.271216882509185</v>
      </c>
    </row>
    <row r="317" spans="1:15" x14ac:dyDescent="0.25">
      <c r="D317">
        <v>45</v>
      </c>
      <c r="E317" s="3">
        <v>5.1500000000000005E-7</v>
      </c>
      <c r="F317" s="3">
        <f t="shared" si="4"/>
        <v>-14.479098936282675</v>
      </c>
    </row>
    <row r="318" spans="1:15" x14ac:dyDescent="0.25">
      <c r="A318" s="7">
        <v>43684</v>
      </c>
      <c r="B318">
        <v>350</v>
      </c>
      <c r="C318">
        <v>600</v>
      </c>
      <c r="D318">
        <v>300</v>
      </c>
      <c r="E318" s="3">
        <v>8.6600000000000001E-6</v>
      </c>
      <c r="F318" s="3">
        <f t="shared" si="4"/>
        <v>-11.65679583538993</v>
      </c>
    </row>
    <row r="319" spans="1:15" x14ac:dyDescent="0.25">
      <c r="D319">
        <v>180</v>
      </c>
      <c r="E319" s="3">
        <v>3.9299999999999996E-6</v>
      </c>
      <c r="F319" s="3">
        <f t="shared" si="4"/>
        <v>-12.446871132083105</v>
      </c>
    </row>
    <row r="320" spans="1:15" x14ac:dyDescent="0.25">
      <c r="D320">
        <v>183</v>
      </c>
      <c r="E320" s="3">
        <v>4.0500000000000002E-6</v>
      </c>
      <c r="F320" s="3">
        <f t="shared" si="4"/>
        <v>-12.416793676845826</v>
      </c>
    </row>
    <row r="321" spans="1:15" x14ac:dyDescent="0.25">
      <c r="A321" s="7">
        <v>43697</v>
      </c>
      <c r="B321">
        <v>350</v>
      </c>
      <c r="C321">
        <v>600</v>
      </c>
      <c r="D321">
        <v>300</v>
      </c>
      <c r="E321" s="3">
        <v>8.7700000000000007E-6</v>
      </c>
      <c r="F321" s="3">
        <f t="shared" si="4"/>
        <v>-11.644173751580182</v>
      </c>
    </row>
    <row r="322" spans="1:15" x14ac:dyDescent="0.25">
      <c r="D322">
        <v>250</v>
      </c>
      <c r="E322" s="3">
        <v>5.93E-6</v>
      </c>
      <c r="F322" s="3">
        <f t="shared" si="4"/>
        <v>-12.03548634495464</v>
      </c>
    </row>
    <row r="323" spans="1:15" x14ac:dyDescent="0.25">
      <c r="D323">
        <v>200</v>
      </c>
      <c r="E323" s="3">
        <v>4.6099999999999999E-6</v>
      </c>
      <c r="F323" s="3">
        <f t="shared" si="4"/>
        <v>-12.287282700955718</v>
      </c>
    </row>
    <row r="324" spans="1:15" x14ac:dyDescent="0.25">
      <c r="D324">
        <v>190</v>
      </c>
      <c r="E324" s="3">
        <v>4.34E-6</v>
      </c>
      <c r="F324" s="3">
        <f t="shared" si="4"/>
        <v>-12.347636209851961</v>
      </c>
    </row>
    <row r="325" spans="1:15" x14ac:dyDescent="0.25">
      <c r="D325">
        <v>180</v>
      </c>
      <c r="E325" s="3">
        <v>4.0999999999999997E-6</v>
      </c>
      <c r="F325" s="3">
        <f t="shared" si="4"/>
        <v>-12.404523584254012</v>
      </c>
    </row>
    <row r="326" spans="1:15" x14ac:dyDescent="0.25">
      <c r="D326">
        <v>175</v>
      </c>
      <c r="E326" s="3">
        <v>3.98E-6</v>
      </c>
      <c r="F326" s="3">
        <f t="shared" si="4"/>
        <v>-12.434228738667928</v>
      </c>
      <c r="J326" t="s">
        <v>38</v>
      </c>
      <c r="K326" t="s">
        <v>39</v>
      </c>
      <c r="L326" t="s">
        <v>40</v>
      </c>
      <c r="M326" t="s">
        <v>41</v>
      </c>
      <c r="N326" t="s">
        <v>42</v>
      </c>
      <c r="O326" t="s">
        <v>79</v>
      </c>
    </row>
    <row r="327" spans="1:15" x14ac:dyDescent="0.25">
      <c r="D327">
        <v>207</v>
      </c>
      <c r="E327" s="3">
        <v>4.8500000000000002E-6</v>
      </c>
      <c r="F327" s="3">
        <f t="shared" si="4"/>
        <v>-12.236531853014883</v>
      </c>
      <c r="J327" s="3">
        <v>8.8679999999999997E-15</v>
      </c>
      <c r="K327" s="3">
        <v>-5.6729999999999998E-12</v>
      </c>
      <c r="L327" s="3">
        <v>1.212E-9</v>
      </c>
      <c r="M327" s="3">
        <v>-6.3310000000000002E-8</v>
      </c>
      <c r="N327" s="13">
        <v>177</v>
      </c>
      <c r="O327" s="3">
        <f>J327*N327^4+K327*N327^3+L327*N327^2+M327*N327</f>
        <v>4.010768536187993E-6</v>
      </c>
    </row>
    <row r="328" spans="1:15" x14ac:dyDescent="0.25">
      <c r="A328" t="s">
        <v>117</v>
      </c>
      <c r="E328" s="3"/>
      <c r="F328" s="3" t="e">
        <f t="shared" si="4"/>
        <v>#NUM!</v>
      </c>
      <c r="J328" s="3"/>
      <c r="K328" s="3"/>
      <c r="L328" s="3"/>
      <c r="M328" s="3"/>
      <c r="N328" s="13"/>
      <c r="O328" s="3"/>
    </row>
    <row r="329" spans="1:15" x14ac:dyDescent="0.25">
      <c r="A329" s="6">
        <v>43774</v>
      </c>
      <c r="B329">
        <v>350</v>
      </c>
      <c r="C329">
        <v>600</v>
      </c>
      <c r="D329">
        <v>300</v>
      </c>
      <c r="E329" s="3">
        <v>8.0299999999999994E-6</v>
      </c>
      <c r="F329" s="3">
        <f t="shared" si="4"/>
        <v>-11.732326030005604</v>
      </c>
    </row>
    <row r="330" spans="1:15" x14ac:dyDescent="0.25">
      <c r="D330">
        <v>250</v>
      </c>
      <c r="E330" s="3">
        <v>5.4199999999999998E-6</v>
      </c>
      <c r="F330" s="3">
        <f t="shared" si="4"/>
        <v>-12.125414742512719</v>
      </c>
    </row>
    <row r="331" spans="1:15" x14ac:dyDescent="0.25">
      <c r="D331">
        <v>200</v>
      </c>
      <c r="E331" s="3">
        <v>4.2100000000000003E-6</v>
      </c>
      <c r="F331" s="3">
        <f t="shared" si="4"/>
        <v>-12.378047910269984</v>
      </c>
    </row>
    <row r="332" spans="1:15" x14ac:dyDescent="0.25">
      <c r="D332">
        <v>150</v>
      </c>
      <c r="E332" s="3">
        <v>3.01E-6</v>
      </c>
      <c r="F332" s="3">
        <f t="shared" si="4"/>
        <v>-12.71357047920349</v>
      </c>
    </row>
    <row r="333" spans="1:15" x14ac:dyDescent="0.25">
      <c r="D333">
        <v>100</v>
      </c>
      <c r="E333" s="3">
        <v>1.8300000000000001E-6</v>
      </c>
      <c r="F333" s="3">
        <f t="shared" si="4"/>
        <v>-13.211194591110944</v>
      </c>
    </row>
    <row r="334" spans="1:15" x14ac:dyDescent="0.25">
      <c r="D334">
        <v>50</v>
      </c>
      <c r="E334" s="3">
        <v>6.3499999999999996E-7</v>
      </c>
      <c r="F334" s="3">
        <f t="shared" si="4"/>
        <v>-14.26964083805372</v>
      </c>
    </row>
    <row r="335" spans="1:15" x14ac:dyDescent="0.25">
      <c r="A335" s="6">
        <v>43802</v>
      </c>
      <c r="B335">
        <v>350</v>
      </c>
      <c r="C335">
        <v>600</v>
      </c>
      <c r="D335">
        <v>300</v>
      </c>
      <c r="E335" s="3">
        <v>4.4299999999999999E-6</v>
      </c>
      <c r="F335" s="3">
        <f t="shared" si="4"/>
        <v>-12.32711097390723</v>
      </c>
      <c r="H335" t="s">
        <v>119</v>
      </c>
    </row>
    <row r="336" spans="1:15" x14ac:dyDescent="0.25">
      <c r="D336">
        <v>250</v>
      </c>
      <c r="E336" s="3">
        <v>2.8700000000000001E-6</v>
      </c>
      <c r="F336" s="3">
        <f t="shared" si="4"/>
        <v>-12.761198528192745</v>
      </c>
    </row>
    <row r="337" spans="1:9" x14ac:dyDescent="0.25">
      <c r="D337">
        <v>200</v>
      </c>
      <c r="E337" s="3">
        <v>2.2199999999999999E-6</v>
      </c>
      <c r="F337" s="3">
        <f t="shared" si="4"/>
        <v>-13.018003362080085</v>
      </c>
    </row>
    <row r="338" spans="1:9" x14ac:dyDescent="0.25">
      <c r="D338">
        <v>150</v>
      </c>
      <c r="E338" s="3">
        <v>1.59E-6</v>
      </c>
      <c r="F338" s="3">
        <f t="shared" si="4"/>
        <v>-13.351776541732134</v>
      </c>
    </row>
    <row r="339" spans="1:9" x14ac:dyDescent="0.25">
      <c r="D339">
        <v>100</v>
      </c>
      <c r="E339" s="3">
        <v>9.8299999999999995E-7</v>
      </c>
      <c r="F339" s="3">
        <f t="shared" si="4"/>
        <v>-13.832656716799244</v>
      </c>
    </row>
    <row r="340" spans="1:9" x14ac:dyDescent="0.25">
      <c r="D340">
        <v>75</v>
      </c>
      <c r="E340" s="3">
        <v>6.7000000000000004E-7</v>
      </c>
      <c r="F340" s="3">
        <f t="shared" si="4"/>
        <v>-14.215988124561399</v>
      </c>
    </row>
    <row r="341" spans="1:9" x14ac:dyDescent="0.25">
      <c r="D341">
        <v>50</v>
      </c>
      <c r="E341" s="3">
        <v>3.3999999999999997E-7</v>
      </c>
      <c r="F341" s="3">
        <f t="shared" si="4"/>
        <v>-14.894320219336205</v>
      </c>
    </row>
    <row r="342" spans="1:9" x14ac:dyDescent="0.25">
      <c r="A342" s="6">
        <v>43803</v>
      </c>
      <c r="B342">
        <v>360</v>
      </c>
      <c r="C342">
        <v>600</v>
      </c>
      <c r="D342">
        <v>300</v>
      </c>
      <c r="E342" s="3">
        <v>1.0200000000000001E-5</v>
      </c>
      <c r="F342" s="3">
        <f t="shared" si="4"/>
        <v>-11.493122837674049</v>
      </c>
      <c r="I342" s="13">
        <f>E342/0.00000034</f>
        <v>30.000000000000004</v>
      </c>
    </row>
    <row r="343" spans="1:9" x14ac:dyDescent="0.25">
      <c r="D343">
        <v>250</v>
      </c>
      <c r="E343" s="3">
        <v>6.8900000000000001E-6</v>
      </c>
      <c r="F343" s="3">
        <f t="shared" si="4"/>
        <v>-11.885439472938707</v>
      </c>
      <c r="I343" s="13">
        <f t="shared" ref="I343:I368" si="5">E343/0.00000034</f>
        <v>20.264705882352942</v>
      </c>
    </row>
    <row r="344" spans="1:9" x14ac:dyDescent="0.25">
      <c r="D344">
        <v>200</v>
      </c>
      <c r="E344" s="3">
        <v>5.31E-6</v>
      </c>
      <c r="F344" s="3">
        <f t="shared" si="4"/>
        <v>-12.145918722710427</v>
      </c>
      <c r="I344" s="13">
        <f t="shared" si="5"/>
        <v>15.617647058823531</v>
      </c>
    </row>
    <row r="345" spans="1:9" x14ac:dyDescent="0.25">
      <c r="D345">
        <v>150</v>
      </c>
      <c r="E345" s="3">
        <v>3.7799999999999998E-6</v>
      </c>
      <c r="F345" s="3">
        <f t="shared" ref="F345:F429" si="6">LN(E345)</f>
        <v>-12.485786548332777</v>
      </c>
      <c r="I345" s="13">
        <f t="shared" si="5"/>
        <v>11.117647058823529</v>
      </c>
    </row>
    <row r="346" spans="1:9" x14ac:dyDescent="0.25">
      <c r="D346">
        <v>100</v>
      </c>
      <c r="E346" s="3">
        <v>2.2900000000000001E-6</v>
      </c>
      <c r="F346" s="3">
        <f t="shared" si="6"/>
        <v>-12.986958740398126</v>
      </c>
      <c r="I346" s="13">
        <f t="shared" si="5"/>
        <v>6.7352941176470598</v>
      </c>
    </row>
    <row r="347" spans="1:9" x14ac:dyDescent="0.25">
      <c r="D347">
        <v>75</v>
      </c>
      <c r="E347" s="3">
        <v>1.5400000000000001E-6</v>
      </c>
      <c r="F347" s="3">
        <f t="shared" si="6"/>
        <v>-13.383728141538736</v>
      </c>
      <c r="I347" s="13">
        <f t="shared" si="5"/>
        <v>4.5294117647058831</v>
      </c>
    </row>
    <row r="348" spans="1:9" x14ac:dyDescent="0.25">
      <c r="D348">
        <v>50</v>
      </c>
      <c r="E348" s="3">
        <v>7.6799999999999999E-7</v>
      </c>
      <c r="F348" s="3">
        <f t="shared" si="6"/>
        <v>-14.079476103798738</v>
      </c>
      <c r="I348" s="13">
        <f t="shared" si="5"/>
        <v>2.2588235294117647</v>
      </c>
    </row>
    <row r="349" spans="1:9" x14ac:dyDescent="0.25">
      <c r="A349" s="6">
        <v>43805</v>
      </c>
      <c r="B349">
        <v>360</v>
      </c>
      <c r="C349">
        <v>600</v>
      </c>
      <c r="D349">
        <v>300</v>
      </c>
      <c r="E349" s="3">
        <v>1.1E-5</v>
      </c>
      <c r="F349" s="3">
        <f t="shared" si="6"/>
        <v>-11.417615285165903</v>
      </c>
      <c r="I349" s="13">
        <f t="shared" si="5"/>
        <v>32.352941176470587</v>
      </c>
    </row>
    <row r="350" spans="1:9" x14ac:dyDescent="0.25">
      <c r="D350">
        <v>180</v>
      </c>
      <c r="E350" s="3">
        <v>4.9400000000000001E-6</v>
      </c>
      <c r="F350" s="3">
        <f t="shared" si="6"/>
        <v>-12.218145226764443</v>
      </c>
      <c r="I350" s="13">
        <f t="shared" si="5"/>
        <v>14.529411764705884</v>
      </c>
    </row>
    <row r="351" spans="1:9" x14ac:dyDescent="0.25">
      <c r="D351">
        <v>170</v>
      </c>
      <c r="E351" s="3">
        <v>4.6199999999999998E-6</v>
      </c>
      <c r="F351" s="3">
        <f t="shared" si="6"/>
        <v>-12.285115852870627</v>
      </c>
      <c r="I351" s="13">
        <f t="shared" si="5"/>
        <v>13.588235294117647</v>
      </c>
    </row>
    <row r="352" spans="1:9" x14ac:dyDescent="0.25">
      <c r="D352">
        <v>160</v>
      </c>
      <c r="E352" s="3">
        <v>4.2799999999999997E-6</v>
      </c>
      <c r="F352" s="3">
        <f t="shared" si="6"/>
        <v>-12.361557548370568</v>
      </c>
      <c r="I352" s="13">
        <f t="shared" si="5"/>
        <v>12.588235294117647</v>
      </c>
    </row>
    <row r="353" spans="1:9" x14ac:dyDescent="0.25">
      <c r="D353">
        <v>145</v>
      </c>
      <c r="E353" s="3">
        <v>3.8E-6</v>
      </c>
      <c r="F353" s="3">
        <f t="shared" si="6"/>
        <v>-12.480509491231935</v>
      </c>
      <c r="I353" s="13">
        <f t="shared" si="5"/>
        <v>11.176470588235295</v>
      </c>
    </row>
    <row r="354" spans="1:9" x14ac:dyDescent="0.25">
      <c r="A354" s="6">
        <v>43812</v>
      </c>
      <c r="B354">
        <v>360</v>
      </c>
      <c r="C354">
        <v>600</v>
      </c>
      <c r="D354">
        <v>300</v>
      </c>
      <c r="E354" s="3">
        <v>1.15E-5</v>
      </c>
      <c r="F354" s="3">
        <f t="shared" si="6"/>
        <v>-11.373163522595069</v>
      </c>
      <c r="I354" s="13">
        <f t="shared" si="5"/>
        <v>33.82352941176471</v>
      </c>
    </row>
    <row r="355" spans="1:9" x14ac:dyDescent="0.25">
      <c r="D355">
        <v>180</v>
      </c>
      <c r="E355" s="3">
        <v>5.49E-6</v>
      </c>
      <c r="F355" s="3">
        <f t="shared" si="6"/>
        <v>-12.112582302442835</v>
      </c>
      <c r="I355" s="13">
        <f t="shared" si="5"/>
        <v>16.147058823529413</v>
      </c>
    </row>
    <row r="356" spans="1:9" x14ac:dyDescent="0.25">
      <c r="D356">
        <v>170</v>
      </c>
      <c r="E356" s="3">
        <v>5.1100000000000002E-6</v>
      </c>
      <c r="F356" s="3">
        <f t="shared" si="6"/>
        <v>-12.184311153748661</v>
      </c>
      <c r="I356" s="13">
        <f t="shared" si="5"/>
        <v>15.029411764705884</v>
      </c>
    </row>
    <row r="357" spans="1:9" x14ac:dyDescent="0.25">
      <c r="D357">
        <v>160</v>
      </c>
      <c r="E357" s="3">
        <v>4.7199999999999997E-6</v>
      </c>
      <c r="F357" s="3">
        <f t="shared" si="6"/>
        <v>-12.26370175836681</v>
      </c>
      <c r="I357" s="13">
        <f t="shared" si="5"/>
        <v>13.882352941176471</v>
      </c>
    </row>
    <row r="358" spans="1:9" x14ac:dyDescent="0.25">
      <c r="D358">
        <v>150</v>
      </c>
      <c r="E358" s="3">
        <v>4.3499999999999999E-6</v>
      </c>
      <c r="F358" s="3">
        <f t="shared" si="6"/>
        <v>-12.345334712863682</v>
      </c>
      <c r="I358" s="13">
        <f t="shared" si="5"/>
        <v>12.794117647058824</v>
      </c>
    </row>
    <row r="359" spans="1:9" x14ac:dyDescent="0.25">
      <c r="D359">
        <v>145</v>
      </c>
      <c r="E359" s="3">
        <v>4.1699999999999999E-6</v>
      </c>
      <c r="F359" s="3">
        <f t="shared" si="6"/>
        <v>-12.387594522153565</v>
      </c>
      <c r="I359" s="13">
        <f t="shared" si="5"/>
        <v>12.264705882352942</v>
      </c>
    </row>
    <row r="360" spans="1:9" x14ac:dyDescent="0.25">
      <c r="D360">
        <v>147</v>
      </c>
      <c r="E360" s="3">
        <v>4.2599999999999999E-6</v>
      </c>
      <c r="F360" s="3">
        <f t="shared" si="6"/>
        <v>-12.366241397682995</v>
      </c>
      <c r="I360" s="13">
        <f t="shared" si="5"/>
        <v>12.529411764705882</v>
      </c>
    </row>
    <row r="361" spans="1:9" x14ac:dyDescent="0.25">
      <c r="A361" s="6">
        <v>43815</v>
      </c>
      <c r="B361">
        <v>360</v>
      </c>
      <c r="C361">
        <v>600</v>
      </c>
      <c r="D361">
        <v>300</v>
      </c>
      <c r="E361" s="3">
        <v>1.2799999999999999E-5</v>
      </c>
      <c r="F361" s="3">
        <f t="shared" si="6"/>
        <v>-11.266065387038703</v>
      </c>
      <c r="I361" s="13">
        <f t="shared" si="5"/>
        <v>37.647058823529413</v>
      </c>
    </row>
    <row r="362" spans="1:9" x14ac:dyDescent="0.25">
      <c r="D362">
        <v>180</v>
      </c>
      <c r="E362" s="3">
        <v>5.75E-6</v>
      </c>
      <c r="F362" s="3">
        <f t="shared" si="6"/>
        <v>-12.066310703155015</v>
      </c>
      <c r="I362" s="13">
        <f t="shared" si="5"/>
        <v>16.911764705882355</v>
      </c>
    </row>
    <row r="363" spans="1:9" x14ac:dyDescent="0.25">
      <c r="D363">
        <v>170</v>
      </c>
      <c r="E363" s="3">
        <v>5.3700000000000003E-6</v>
      </c>
      <c r="F363" s="3">
        <f t="shared" si="6"/>
        <v>-12.134682649443501</v>
      </c>
      <c r="I363" s="13">
        <f t="shared" si="5"/>
        <v>15.794117647058826</v>
      </c>
    </row>
    <row r="364" spans="1:9" x14ac:dyDescent="0.25">
      <c r="D364">
        <v>160</v>
      </c>
      <c r="E364" s="3">
        <v>5.0000000000000004E-6</v>
      </c>
      <c r="F364" s="3">
        <f t="shared" si="6"/>
        <v>-12.206072645530174</v>
      </c>
      <c r="I364" s="13">
        <f t="shared" si="5"/>
        <v>14.705882352941179</v>
      </c>
    </row>
    <row r="365" spans="1:9" x14ac:dyDescent="0.25">
      <c r="D365">
        <v>150</v>
      </c>
      <c r="E365" s="3">
        <v>4.6199999999999998E-6</v>
      </c>
      <c r="F365" s="3">
        <f t="shared" si="6"/>
        <v>-12.285115852870627</v>
      </c>
      <c r="I365" s="13">
        <f t="shared" si="5"/>
        <v>13.588235294117647</v>
      </c>
    </row>
    <row r="366" spans="1:9" x14ac:dyDescent="0.25">
      <c r="D366">
        <v>145</v>
      </c>
      <c r="E366" s="3">
        <v>4.4399999999999998E-6</v>
      </c>
      <c r="F366" s="3">
        <f t="shared" si="6"/>
        <v>-12.324856181520142</v>
      </c>
      <c r="I366" s="13">
        <f t="shared" si="5"/>
        <v>13.058823529411764</v>
      </c>
    </row>
    <row r="367" spans="1:9" x14ac:dyDescent="0.25">
      <c r="D367">
        <v>143</v>
      </c>
      <c r="E367" s="3">
        <v>4.3699999999999997E-6</v>
      </c>
      <c r="F367" s="3">
        <f t="shared" si="6"/>
        <v>-12.340747548856775</v>
      </c>
      <c r="I367" s="13">
        <f t="shared" si="5"/>
        <v>12.852941176470589</v>
      </c>
    </row>
    <row r="368" spans="1:9" x14ac:dyDescent="0.25">
      <c r="D368">
        <v>140</v>
      </c>
      <c r="E368" s="3">
        <v>4.2400000000000001E-6</v>
      </c>
      <c r="F368" s="3">
        <f t="shared" si="6"/>
        <v>-12.370947288720407</v>
      </c>
      <c r="I368" s="13">
        <f t="shared" si="5"/>
        <v>12.47058823529412</v>
      </c>
    </row>
    <row r="369" spans="1:9" x14ac:dyDescent="0.25">
      <c r="A369" s="6">
        <v>43817</v>
      </c>
      <c r="B369">
        <v>360</v>
      </c>
      <c r="C369">
        <v>600</v>
      </c>
      <c r="D369">
        <v>300</v>
      </c>
      <c r="E369" s="3">
        <v>1.22E-5</v>
      </c>
      <c r="F369" s="3">
        <f t="shared" si="6"/>
        <v>-11.314074606225063</v>
      </c>
      <c r="I369" s="13">
        <f>E369/0.000000338</f>
        <v>36.094674556213022</v>
      </c>
    </row>
    <row r="370" spans="1:9" x14ac:dyDescent="0.25">
      <c r="D370">
        <v>180</v>
      </c>
      <c r="E370" s="3">
        <v>5.5300000000000004E-6</v>
      </c>
      <c r="F370" s="3">
        <f t="shared" si="6"/>
        <v>-12.105322742430031</v>
      </c>
      <c r="I370" s="13">
        <f t="shared" ref="I370:I381" si="7">E370/0.000000338</f>
        <v>16.360946745562131</v>
      </c>
    </row>
    <row r="371" spans="1:9" x14ac:dyDescent="0.25">
      <c r="D371">
        <v>170</v>
      </c>
      <c r="E371" s="3">
        <v>5.2000000000000002E-6</v>
      </c>
      <c r="F371" s="3">
        <f t="shared" si="6"/>
        <v>-12.166851932376892</v>
      </c>
      <c r="I371" s="13">
        <f t="shared" si="7"/>
        <v>15.384615384615387</v>
      </c>
    </row>
    <row r="372" spans="1:9" x14ac:dyDescent="0.25">
      <c r="D372">
        <v>160</v>
      </c>
      <c r="E372" s="3">
        <v>4.7899999999999999E-6</v>
      </c>
      <c r="F372" s="3">
        <f t="shared" si="6"/>
        <v>-12.248980146541451</v>
      </c>
      <c r="I372" s="13">
        <f t="shared" si="7"/>
        <v>14.171597633136095</v>
      </c>
    </row>
    <row r="373" spans="1:9" x14ac:dyDescent="0.25">
      <c r="D373">
        <v>150</v>
      </c>
      <c r="E373" s="3">
        <v>4.4599999999999996E-6</v>
      </c>
      <c r="F373" s="3">
        <f t="shared" si="6"/>
        <v>-12.320361791932301</v>
      </c>
      <c r="I373" s="13">
        <f t="shared" si="7"/>
        <v>13.195266272189349</v>
      </c>
    </row>
    <row r="374" spans="1:9" x14ac:dyDescent="0.25">
      <c r="D374">
        <v>145</v>
      </c>
      <c r="E374" s="3">
        <v>4.2699999999999998E-6</v>
      </c>
      <c r="F374" s="3">
        <f t="shared" si="6"/>
        <v>-12.363896730723742</v>
      </c>
      <c r="I374" s="13">
        <f t="shared" si="7"/>
        <v>12.633136094674557</v>
      </c>
    </row>
    <row r="375" spans="1:9" x14ac:dyDescent="0.25">
      <c r="D375">
        <v>140</v>
      </c>
      <c r="E375" s="3">
        <v>4.0799999999999999E-6</v>
      </c>
      <c r="F375" s="3">
        <f t="shared" si="6"/>
        <v>-12.409413569548203</v>
      </c>
      <c r="I375" s="13">
        <f t="shared" si="7"/>
        <v>12.071005917159763</v>
      </c>
    </row>
    <row r="376" spans="1:9" x14ac:dyDescent="0.25">
      <c r="A376" s="6">
        <v>43818</v>
      </c>
      <c r="B376">
        <v>360</v>
      </c>
      <c r="C376">
        <v>600</v>
      </c>
      <c r="D376">
        <v>300</v>
      </c>
      <c r="E376" s="3">
        <v>1.0699999999999999E-5</v>
      </c>
      <c r="F376" s="3">
        <f t="shared" si="6"/>
        <v>-11.445266816496414</v>
      </c>
      <c r="I376" s="13">
        <f t="shared" si="7"/>
        <v>31.65680473372781</v>
      </c>
    </row>
    <row r="377" spans="1:9" x14ac:dyDescent="0.25">
      <c r="D377">
        <v>250</v>
      </c>
      <c r="E377" s="3">
        <v>7.2300000000000002E-6</v>
      </c>
      <c r="F377" s="3">
        <f t="shared" si="6"/>
        <v>-11.837271521793602</v>
      </c>
      <c r="I377" s="13">
        <f t="shared" si="7"/>
        <v>21.390532544378701</v>
      </c>
    </row>
    <row r="378" spans="1:9" x14ac:dyDescent="0.25">
      <c r="D378">
        <v>200</v>
      </c>
      <c r="E378" s="3">
        <v>5.6300000000000003E-6</v>
      </c>
      <c r="F378" s="3">
        <f t="shared" si="6"/>
        <v>-12.087401115812675</v>
      </c>
      <c r="I378" s="13">
        <f t="shared" si="7"/>
        <v>16.656804733727814</v>
      </c>
    </row>
    <row r="379" spans="1:9" x14ac:dyDescent="0.25">
      <c r="D379">
        <v>150</v>
      </c>
      <c r="E379" s="3">
        <v>3.9999999999999998E-6</v>
      </c>
      <c r="F379" s="3">
        <f t="shared" si="6"/>
        <v>-12.429216196844383</v>
      </c>
      <c r="I379" s="13">
        <f t="shared" si="7"/>
        <v>11.834319526627219</v>
      </c>
    </row>
    <row r="380" spans="1:9" x14ac:dyDescent="0.25">
      <c r="D380">
        <v>100</v>
      </c>
      <c r="E380" s="3">
        <v>2.5000000000000002E-6</v>
      </c>
      <c r="F380" s="3">
        <f t="shared" si="6"/>
        <v>-12.899219826090119</v>
      </c>
      <c r="I380" s="13">
        <f t="shared" si="7"/>
        <v>7.3964497041420127</v>
      </c>
    </row>
    <row r="381" spans="1:9" x14ac:dyDescent="0.25">
      <c r="D381">
        <v>50</v>
      </c>
      <c r="E381" s="3">
        <v>8.6100000000000006E-6</v>
      </c>
      <c r="F381" s="3">
        <f t="shared" si="6"/>
        <v>-11.662586239524634</v>
      </c>
      <c r="I381" s="13">
        <f t="shared" si="7"/>
        <v>25.473372781065091</v>
      </c>
    </row>
    <row r="382" spans="1:9" x14ac:dyDescent="0.25">
      <c r="A382" s="6">
        <v>43822</v>
      </c>
      <c r="B382">
        <v>360</v>
      </c>
      <c r="C382">
        <v>600</v>
      </c>
      <c r="D382">
        <v>300</v>
      </c>
      <c r="E382" s="3">
        <v>1.15E-5</v>
      </c>
      <c r="F382" s="3">
        <f t="shared" si="6"/>
        <v>-11.373163522595069</v>
      </c>
    </row>
    <row r="383" spans="1:9" x14ac:dyDescent="0.25">
      <c r="D383">
        <v>250</v>
      </c>
      <c r="E383" s="3">
        <v>7.5599999999999996E-6</v>
      </c>
      <c r="F383" s="3">
        <f t="shared" si="6"/>
        <v>-11.792639367772832</v>
      </c>
    </row>
    <row r="384" spans="1:9" x14ac:dyDescent="0.25">
      <c r="D384">
        <v>200</v>
      </c>
      <c r="E384" s="3">
        <v>5.8799999999999996E-6</v>
      </c>
      <c r="F384" s="3">
        <f t="shared" si="6"/>
        <v>-12.043953796053739</v>
      </c>
    </row>
    <row r="385" spans="1:15" x14ac:dyDescent="0.25">
      <c r="D385">
        <v>150</v>
      </c>
      <c r="E385" s="3">
        <v>4.1799999999999998E-6</v>
      </c>
      <c r="F385" s="3">
        <f t="shared" si="6"/>
        <v>-12.385199311427609</v>
      </c>
    </row>
    <row r="386" spans="1:15" x14ac:dyDescent="0.25">
      <c r="D386">
        <v>100</v>
      </c>
      <c r="E386" s="3">
        <v>2.5600000000000001E-6</v>
      </c>
      <c r="F386" s="3">
        <f t="shared" si="6"/>
        <v>-12.875503299472802</v>
      </c>
    </row>
    <row r="387" spans="1:15" x14ac:dyDescent="0.25">
      <c r="D387">
        <v>50</v>
      </c>
      <c r="E387" s="3">
        <v>9.2099999999999995E-7</v>
      </c>
      <c r="F387" s="3">
        <f t="shared" si="6"/>
        <v>-13.897805800691104</v>
      </c>
    </row>
    <row r="388" spans="1:15" x14ac:dyDescent="0.25">
      <c r="A388" s="6">
        <v>43838</v>
      </c>
      <c r="B388">
        <v>360</v>
      </c>
      <c r="C388">
        <v>600</v>
      </c>
      <c r="D388">
        <v>300</v>
      </c>
      <c r="E388" s="3">
        <v>1.2E-5</v>
      </c>
      <c r="F388" s="3">
        <f t="shared" si="6"/>
        <v>-11.330603908176274</v>
      </c>
    </row>
    <row r="389" spans="1:15" x14ac:dyDescent="0.25">
      <c r="D389">
        <v>250</v>
      </c>
      <c r="E389" s="3">
        <v>7.52E-6</v>
      </c>
      <c r="F389" s="3">
        <f t="shared" si="6"/>
        <v>-11.797944420002526</v>
      </c>
    </row>
    <row r="390" spans="1:15" x14ac:dyDescent="0.25">
      <c r="D390">
        <v>200</v>
      </c>
      <c r="E390" s="3">
        <v>5.7899999999999996E-6</v>
      </c>
      <c r="F390" s="3">
        <f t="shared" si="6"/>
        <v>-12.059378266379371</v>
      </c>
      <c r="O390">
        <v>280</v>
      </c>
    </row>
    <row r="391" spans="1:15" x14ac:dyDescent="0.25">
      <c r="D391">
        <v>150</v>
      </c>
      <c r="E391" s="3">
        <v>4.0999999999999997E-6</v>
      </c>
      <c r="F391" s="3">
        <f t="shared" si="6"/>
        <v>-12.404523584254012</v>
      </c>
      <c r="K391" s="3">
        <v>1.04E-12</v>
      </c>
      <c r="L391" s="3">
        <v>-4.3899999999999998E-10</v>
      </c>
      <c r="M391" s="3">
        <v>8.6299999999999999E-8</v>
      </c>
      <c r="N391" s="3">
        <v>-2.52E-6</v>
      </c>
      <c r="O391" s="3">
        <f>K391*O390^3+L391*O390^2+M391*O390+N391</f>
        <v>1.005648E-5</v>
      </c>
    </row>
    <row r="392" spans="1:15" x14ac:dyDescent="0.25">
      <c r="D392">
        <v>100</v>
      </c>
      <c r="E392" s="3">
        <v>2.5600000000000001E-6</v>
      </c>
      <c r="F392" s="3">
        <f t="shared" si="6"/>
        <v>-12.875503299472802</v>
      </c>
    </row>
    <row r="393" spans="1:15" x14ac:dyDescent="0.25">
      <c r="D393">
        <v>50</v>
      </c>
      <c r="E393" s="3">
        <v>8.9999999999999996E-7</v>
      </c>
      <c r="F393" s="3">
        <f t="shared" si="6"/>
        <v>-13.9208710736221</v>
      </c>
    </row>
    <row r="394" spans="1:15" x14ac:dyDescent="0.25">
      <c r="A394" s="6">
        <v>43844</v>
      </c>
      <c r="B394">
        <v>360</v>
      </c>
      <c r="C394">
        <v>600</v>
      </c>
      <c r="D394">
        <v>300</v>
      </c>
      <c r="E394" s="3">
        <v>1.15E-5</v>
      </c>
      <c r="F394" s="3">
        <f t="shared" si="6"/>
        <v>-11.373163522595069</v>
      </c>
      <c r="I394">
        <f>E394/0.000000339</f>
        <v>33.923303834808259</v>
      </c>
    </row>
    <row r="395" spans="1:15" x14ac:dyDescent="0.25">
      <c r="D395">
        <v>180</v>
      </c>
      <c r="E395" s="3">
        <v>5.1499999999999998E-6</v>
      </c>
      <c r="F395" s="3">
        <f t="shared" si="6"/>
        <v>-12.17651384328863</v>
      </c>
      <c r="I395">
        <f t="shared" ref="I395:I400" si="8">E395/0.000000339</f>
        <v>15.19174041297935</v>
      </c>
    </row>
    <row r="396" spans="1:15" x14ac:dyDescent="0.25">
      <c r="D396">
        <v>170</v>
      </c>
      <c r="E396" s="3">
        <v>4.8799999999999999E-6</v>
      </c>
      <c r="F396" s="3">
        <f t="shared" si="6"/>
        <v>-12.230365338099219</v>
      </c>
      <c r="I396">
        <f t="shared" si="8"/>
        <v>14.395280235988199</v>
      </c>
    </row>
    <row r="397" spans="1:15" x14ac:dyDescent="0.25">
      <c r="D397">
        <v>160</v>
      </c>
      <c r="E397" s="3">
        <v>4.5199999999999999E-6</v>
      </c>
      <c r="F397" s="3">
        <f t="shared" si="6"/>
        <v>-12.306998564120134</v>
      </c>
      <c r="I397">
        <f t="shared" si="8"/>
        <v>13.333333333333332</v>
      </c>
    </row>
    <row r="398" spans="1:15" x14ac:dyDescent="0.25">
      <c r="D398">
        <v>150</v>
      </c>
      <c r="E398" s="3">
        <v>4.1899999999999997E-6</v>
      </c>
      <c r="F398" s="3">
        <f t="shared" si="6"/>
        <v>-12.382809824030227</v>
      </c>
      <c r="I398">
        <f t="shared" si="8"/>
        <v>12.359882005899705</v>
      </c>
    </row>
    <row r="399" spans="1:15" x14ac:dyDescent="0.25">
      <c r="D399">
        <v>155</v>
      </c>
      <c r="E399" s="3">
        <v>4.3699999999999997E-6</v>
      </c>
      <c r="F399" s="3">
        <f t="shared" si="6"/>
        <v>-12.340747548856775</v>
      </c>
      <c r="I399">
        <f t="shared" si="8"/>
        <v>12.890855457227138</v>
      </c>
    </row>
    <row r="400" spans="1:15" x14ac:dyDescent="0.25">
      <c r="D400">
        <v>153</v>
      </c>
      <c r="E400" s="3">
        <v>4.2799999999999997E-6</v>
      </c>
      <c r="F400" s="3">
        <f t="shared" si="6"/>
        <v>-12.361557548370568</v>
      </c>
      <c r="I400">
        <f t="shared" si="8"/>
        <v>12.625368731563421</v>
      </c>
    </row>
    <row r="401" spans="1:9" x14ac:dyDescent="0.25">
      <c r="A401" s="6">
        <v>43847</v>
      </c>
      <c r="B401">
        <v>360</v>
      </c>
      <c r="C401">
        <v>600</v>
      </c>
      <c r="D401">
        <v>300</v>
      </c>
      <c r="E401" s="3">
        <v>1.19E-5</v>
      </c>
      <c r="F401" s="3">
        <f t="shared" si="6"/>
        <v>-11.33897215784679</v>
      </c>
      <c r="I401" s="13">
        <f t="shared" ref="I401:I406" si="9">E401/0.000000334</f>
        <v>35.628742514970057</v>
      </c>
    </row>
    <row r="402" spans="1:9" x14ac:dyDescent="0.25">
      <c r="D402">
        <v>180</v>
      </c>
      <c r="E402" s="3">
        <v>5.4099999999999999E-6</v>
      </c>
      <c r="F402" s="3">
        <f t="shared" si="6"/>
        <v>-12.127261465105883</v>
      </c>
      <c r="I402" s="13">
        <f t="shared" si="9"/>
        <v>16.19760479041916</v>
      </c>
    </row>
    <row r="403" spans="1:9" x14ac:dyDescent="0.25">
      <c r="D403">
        <v>170</v>
      </c>
      <c r="E403" s="3">
        <v>5.0900000000000004E-6</v>
      </c>
      <c r="F403" s="3">
        <f t="shared" si="6"/>
        <v>-12.188232727401843</v>
      </c>
      <c r="I403" s="13">
        <f t="shared" si="9"/>
        <v>15.239520958083833</v>
      </c>
    </row>
    <row r="404" spans="1:9" x14ac:dyDescent="0.25">
      <c r="D404">
        <v>160</v>
      </c>
      <c r="E404" s="3">
        <v>4.7199999999999997E-6</v>
      </c>
      <c r="F404" s="3">
        <f t="shared" si="6"/>
        <v>-12.26370175836681</v>
      </c>
      <c r="I404" s="13">
        <f t="shared" si="9"/>
        <v>14.131736526946106</v>
      </c>
    </row>
    <row r="405" spans="1:9" x14ac:dyDescent="0.25">
      <c r="D405">
        <v>150</v>
      </c>
      <c r="E405" s="3">
        <v>4.3699999999999997E-6</v>
      </c>
      <c r="F405" s="3">
        <f t="shared" si="6"/>
        <v>-12.340747548856775</v>
      </c>
      <c r="I405" s="13">
        <f t="shared" si="9"/>
        <v>13.08383233532934</v>
      </c>
    </row>
    <row r="406" spans="1:9" x14ac:dyDescent="0.25">
      <c r="D406">
        <v>145</v>
      </c>
      <c r="E406" s="3">
        <v>4.1899999999999997E-6</v>
      </c>
      <c r="F406" s="3">
        <f t="shared" si="6"/>
        <v>-12.382809824030227</v>
      </c>
      <c r="I406" s="13">
        <f t="shared" si="9"/>
        <v>12.544910179640718</v>
      </c>
    </row>
    <row r="407" spans="1:9" x14ac:dyDescent="0.25">
      <c r="A407" s="6">
        <v>43850</v>
      </c>
      <c r="B407">
        <v>360</v>
      </c>
      <c r="C407">
        <v>600</v>
      </c>
      <c r="D407">
        <v>300</v>
      </c>
      <c r="E407" s="3">
        <v>1.2099999999999999E-5</v>
      </c>
      <c r="F407" s="3">
        <f t="shared" si="6"/>
        <v>-11.322305105361579</v>
      </c>
      <c r="I407" s="13">
        <f t="shared" ref="I407:I412" si="10">E407/0.000000309</f>
        <v>39.158576051779939</v>
      </c>
    </row>
    <row r="408" spans="1:9" x14ac:dyDescent="0.25">
      <c r="D408">
        <v>180</v>
      </c>
      <c r="E408" s="3">
        <v>5.5099999999999998E-6</v>
      </c>
      <c r="F408" s="3">
        <f t="shared" si="6"/>
        <v>-12.108945934799451</v>
      </c>
      <c r="I408" s="13">
        <f t="shared" si="10"/>
        <v>17.831715210355988</v>
      </c>
    </row>
    <row r="409" spans="1:9" x14ac:dyDescent="0.25">
      <c r="D409">
        <v>160</v>
      </c>
      <c r="E409" s="3">
        <v>4.7700000000000001E-6</v>
      </c>
      <c r="F409" s="3">
        <f t="shared" si="6"/>
        <v>-12.253164253064025</v>
      </c>
      <c r="I409" s="13">
        <f t="shared" si="10"/>
        <v>15.436893203883496</v>
      </c>
    </row>
    <row r="410" spans="1:9" x14ac:dyDescent="0.25">
      <c r="D410">
        <v>150</v>
      </c>
      <c r="E410" s="3">
        <v>4.4399999999999998E-6</v>
      </c>
      <c r="F410" s="3">
        <f t="shared" si="6"/>
        <v>-12.324856181520142</v>
      </c>
      <c r="I410" s="13">
        <f t="shared" si="10"/>
        <v>14.368932038834952</v>
      </c>
    </row>
    <row r="411" spans="1:9" x14ac:dyDescent="0.25">
      <c r="D411">
        <v>140</v>
      </c>
      <c r="E411" s="3">
        <v>4.0400000000000003E-6</v>
      </c>
      <c r="F411" s="3">
        <f t="shared" si="6"/>
        <v>-12.419265865991216</v>
      </c>
      <c r="I411" s="13">
        <f t="shared" si="10"/>
        <v>13.074433656957931</v>
      </c>
    </row>
    <row r="412" spans="1:9" x14ac:dyDescent="0.25">
      <c r="D412">
        <v>137</v>
      </c>
      <c r="E412" s="3">
        <v>3.9600000000000002E-6</v>
      </c>
      <c r="F412" s="3">
        <f t="shared" si="6"/>
        <v>-12.439266532697886</v>
      </c>
      <c r="I412" s="13">
        <f t="shared" si="10"/>
        <v>12.815533980582526</v>
      </c>
    </row>
    <row r="413" spans="1:9" x14ac:dyDescent="0.25">
      <c r="B413">
        <v>360</v>
      </c>
      <c r="C413">
        <v>600</v>
      </c>
      <c r="D413">
        <v>300</v>
      </c>
      <c r="E413" s="3">
        <v>1.2300000000000001E-5</v>
      </c>
      <c r="F413" s="3">
        <f t="shared" si="6"/>
        <v>-11.305911295585902</v>
      </c>
      <c r="I413" s="13">
        <f>E413/0.00000032</f>
        <v>38.4375</v>
      </c>
    </row>
    <row r="414" spans="1:9" x14ac:dyDescent="0.25">
      <c r="D414">
        <v>180</v>
      </c>
      <c r="E414" s="3">
        <v>5.5600000000000001E-6</v>
      </c>
      <c r="F414" s="3">
        <f t="shared" si="6"/>
        <v>-12.099912449701783</v>
      </c>
      <c r="I414" s="13">
        <f t="shared" ref="I414:I419" si="11">E414/0.00000032</f>
        <v>17.375</v>
      </c>
    </row>
    <row r="415" spans="1:9" x14ac:dyDescent="0.25">
      <c r="D415">
        <v>170</v>
      </c>
      <c r="E415" s="3">
        <v>5.1900000000000003E-6</v>
      </c>
      <c r="F415" s="3">
        <f t="shared" si="6"/>
        <v>-12.168776860786476</v>
      </c>
      <c r="I415" s="13">
        <f t="shared" si="11"/>
        <v>16.21875</v>
      </c>
    </row>
    <row r="416" spans="1:9" x14ac:dyDescent="0.25">
      <c r="D416">
        <v>160</v>
      </c>
      <c r="E416" s="3">
        <v>4.8099999999999997E-6</v>
      </c>
      <c r="F416" s="3">
        <f t="shared" si="6"/>
        <v>-12.244813473846605</v>
      </c>
      <c r="I416" s="13">
        <f t="shared" si="11"/>
        <v>15.031249999999998</v>
      </c>
    </row>
    <row r="417" spans="1:9" x14ac:dyDescent="0.25">
      <c r="D417">
        <v>150</v>
      </c>
      <c r="E417" s="3">
        <v>4.4399999999999998E-6</v>
      </c>
      <c r="F417" s="3">
        <f t="shared" si="6"/>
        <v>-12.324856181520142</v>
      </c>
      <c r="I417" s="13">
        <f t="shared" si="11"/>
        <v>13.875</v>
      </c>
    </row>
    <row r="418" spans="1:9" x14ac:dyDescent="0.25">
      <c r="D418">
        <v>145</v>
      </c>
      <c r="E418" s="3">
        <v>4.2699999999999998E-6</v>
      </c>
      <c r="F418" s="3">
        <f t="shared" si="6"/>
        <v>-12.363896730723742</v>
      </c>
      <c r="I418" s="13">
        <f t="shared" si="11"/>
        <v>13.343749999999998</v>
      </c>
    </row>
    <row r="419" spans="1:9" x14ac:dyDescent="0.25">
      <c r="D419">
        <v>140</v>
      </c>
      <c r="E419" s="3">
        <v>4.0799999999999999E-6</v>
      </c>
      <c r="F419" s="3">
        <f t="shared" si="6"/>
        <v>-12.409413569548203</v>
      </c>
      <c r="I419" s="13">
        <f t="shared" si="11"/>
        <v>12.75</v>
      </c>
    </row>
    <row r="420" spans="1:9" x14ac:dyDescent="0.25">
      <c r="A420" s="6">
        <v>43865</v>
      </c>
      <c r="B420">
        <v>360</v>
      </c>
      <c r="C420">
        <v>600</v>
      </c>
      <c r="D420">
        <v>300</v>
      </c>
      <c r="E420" s="3">
        <v>1.2300000000000001E-5</v>
      </c>
      <c r="F420" s="3">
        <f t="shared" si="6"/>
        <v>-11.305911295585902</v>
      </c>
      <c r="I420" s="13">
        <f t="shared" ref="I420:I425" si="12">E420/0.000000324</f>
        <v>37.962962962962969</v>
      </c>
    </row>
    <row r="421" spans="1:9" x14ac:dyDescent="0.25">
      <c r="D421">
        <v>180</v>
      </c>
      <c r="E421" s="3">
        <v>5.48E-6</v>
      </c>
      <c r="F421" s="3">
        <f t="shared" si="6"/>
        <v>-12.11440545700435</v>
      </c>
      <c r="I421" s="13">
        <f t="shared" si="12"/>
        <v>16.913580246913583</v>
      </c>
    </row>
    <row r="422" spans="1:9" x14ac:dyDescent="0.25">
      <c r="D422">
        <v>160</v>
      </c>
      <c r="E422" s="3">
        <v>4.7899999999999999E-6</v>
      </c>
      <c r="F422" s="3">
        <f t="shared" si="6"/>
        <v>-12.248980146541451</v>
      </c>
      <c r="I422" s="13">
        <f t="shared" si="12"/>
        <v>14.783950617283951</v>
      </c>
    </row>
    <row r="423" spans="1:9" x14ac:dyDescent="0.25">
      <c r="D423">
        <v>145</v>
      </c>
      <c r="E423" s="3">
        <v>4.2599999999999999E-6</v>
      </c>
      <c r="F423" s="3">
        <f t="shared" si="6"/>
        <v>-12.366241397682995</v>
      </c>
      <c r="I423" s="13">
        <f t="shared" si="12"/>
        <v>13.148148148148149</v>
      </c>
    </row>
    <row r="424" spans="1:9" x14ac:dyDescent="0.25">
      <c r="D424">
        <v>143</v>
      </c>
      <c r="E424" s="3">
        <v>4.1699999999999999E-6</v>
      </c>
      <c r="F424" s="3">
        <f t="shared" si="6"/>
        <v>-12.387594522153565</v>
      </c>
      <c r="I424" s="13">
        <f t="shared" si="12"/>
        <v>12.87037037037037</v>
      </c>
    </row>
    <row r="425" spans="1:9" x14ac:dyDescent="0.25">
      <c r="D425">
        <v>141</v>
      </c>
      <c r="E425" s="3">
        <v>4.1099999999999996E-6</v>
      </c>
      <c r="F425" s="3">
        <f t="shared" si="6"/>
        <v>-12.40208752945613</v>
      </c>
      <c r="I425" s="13">
        <f t="shared" si="12"/>
        <v>12.685185185185185</v>
      </c>
    </row>
    <row r="426" spans="1:9" x14ac:dyDescent="0.25">
      <c r="A426" s="6">
        <v>43873</v>
      </c>
      <c r="B426">
        <v>360</v>
      </c>
      <c r="C426">
        <v>600</v>
      </c>
      <c r="D426">
        <v>300</v>
      </c>
      <c r="E426" s="3">
        <v>1.29E-5</v>
      </c>
      <c r="F426" s="3">
        <f t="shared" si="6"/>
        <v>-11.258283246596648</v>
      </c>
      <c r="I426" s="13">
        <f>E426/0.000000332</f>
        <v>38.855421686746986</v>
      </c>
    </row>
    <row r="427" spans="1:9" x14ac:dyDescent="0.25">
      <c r="D427">
        <v>170</v>
      </c>
      <c r="E427" s="3">
        <v>5.4399999999999996E-6</v>
      </c>
      <c r="F427" s="3">
        <f t="shared" si="6"/>
        <v>-12.121731497096423</v>
      </c>
      <c r="I427" s="13">
        <f>E427/0.000000332</f>
        <v>16.385542168674696</v>
      </c>
    </row>
    <row r="428" spans="1:9" x14ac:dyDescent="0.25">
      <c r="D428">
        <v>270</v>
      </c>
      <c r="E428" s="3">
        <v>1.01E-5</v>
      </c>
      <c r="F428" s="3">
        <f t="shared" si="6"/>
        <v>-11.50297513411706</v>
      </c>
      <c r="I428" s="13">
        <f>E428/0.000000332</f>
        <v>30.421686746987952</v>
      </c>
    </row>
    <row r="429" spans="1:9" x14ac:dyDescent="0.25">
      <c r="A429" s="6">
        <v>43875</v>
      </c>
      <c r="B429">
        <v>360</v>
      </c>
      <c r="C429">
        <v>600</v>
      </c>
      <c r="D429">
        <v>300</v>
      </c>
      <c r="E429" s="3">
        <v>1.2099999999999999E-5</v>
      </c>
      <c r="F429" s="3">
        <f t="shared" si="6"/>
        <v>-11.322305105361579</v>
      </c>
      <c r="I429" s="13">
        <f>E429/0.000000326</f>
        <v>37.116564417177912</v>
      </c>
    </row>
    <row r="430" spans="1:9" x14ac:dyDescent="0.25">
      <c r="D430">
        <v>180</v>
      </c>
      <c r="E430" s="3">
        <v>5.5099999999999998E-6</v>
      </c>
      <c r="F430" s="3">
        <f t="shared" ref="F430:F493" si="13">LN(E430)</f>
        <v>-12.108945934799451</v>
      </c>
      <c r="I430" s="13">
        <f t="shared" ref="I430:I435" si="14">E430/0.000000326</f>
        <v>16.901840490797547</v>
      </c>
    </row>
    <row r="431" spans="1:9" x14ac:dyDescent="0.25">
      <c r="D431">
        <v>170</v>
      </c>
      <c r="E431" s="3">
        <v>5.1900000000000003E-6</v>
      </c>
      <c r="F431" s="3">
        <f t="shared" si="13"/>
        <v>-12.168776860786476</v>
      </c>
      <c r="I431" s="13">
        <f t="shared" si="14"/>
        <v>15.920245398773009</v>
      </c>
    </row>
    <row r="432" spans="1:9" x14ac:dyDescent="0.25">
      <c r="D432">
        <v>155</v>
      </c>
      <c r="E432" s="3">
        <v>4.6299999999999997E-6</v>
      </c>
      <c r="F432" s="3">
        <f t="shared" si="13"/>
        <v>-12.282953689866131</v>
      </c>
      <c r="I432" s="13">
        <f t="shared" si="14"/>
        <v>14.202453987730062</v>
      </c>
    </row>
    <row r="433" spans="1:14" x14ac:dyDescent="0.25">
      <c r="D433">
        <v>145</v>
      </c>
      <c r="E433" s="3">
        <v>4.2599999999999999E-6</v>
      </c>
      <c r="F433" s="3">
        <f t="shared" si="13"/>
        <v>-12.366241397682995</v>
      </c>
      <c r="I433" s="13">
        <f t="shared" si="14"/>
        <v>13.067484662576687</v>
      </c>
    </row>
    <row r="434" spans="1:14" x14ac:dyDescent="0.25">
      <c r="D434">
        <v>140</v>
      </c>
      <c r="E434" s="3">
        <v>4.07E-6</v>
      </c>
      <c r="F434" s="3">
        <f t="shared" si="13"/>
        <v>-12.411867558509771</v>
      </c>
      <c r="I434" s="13">
        <f t="shared" si="14"/>
        <v>12.484662576687118</v>
      </c>
    </row>
    <row r="435" spans="1:14" x14ac:dyDescent="0.25">
      <c r="D435">
        <v>141</v>
      </c>
      <c r="E435" s="3">
        <v>4.1200000000000004E-6</v>
      </c>
      <c r="F435" s="3">
        <f t="shared" si="13"/>
        <v>-12.399657394602839</v>
      </c>
      <c r="I435" s="13">
        <f t="shared" si="14"/>
        <v>12.638036809815953</v>
      </c>
    </row>
    <row r="436" spans="1:14" x14ac:dyDescent="0.25">
      <c r="A436" s="6">
        <v>43879</v>
      </c>
      <c r="D436">
        <v>300</v>
      </c>
      <c r="E436" s="3">
        <v>1.24E-5</v>
      </c>
      <c r="F436" s="3">
        <f t="shared" si="13"/>
        <v>-11.297814085353282</v>
      </c>
      <c r="I436" s="13">
        <f>E436/0.000000325</f>
        <v>38.153846153846153</v>
      </c>
    </row>
    <row r="437" spans="1:14" x14ac:dyDescent="0.25">
      <c r="D437">
        <v>150</v>
      </c>
      <c r="E437" s="3">
        <v>4.51E-6</v>
      </c>
      <c r="F437" s="3">
        <f t="shared" si="13"/>
        <v>-12.309213404449688</v>
      </c>
      <c r="I437" s="13">
        <f>E437/0.000000325</f>
        <v>13.876923076923077</v>
      </c>
    </row>
    <row r="438" spans="1:14" x14ac:dyDescent="0.25">
      <c r="D438">
        <v>140</v>
      </c>
      <c r="E438" s="3">
        <v>4.1500000000000001E-6</v>
      </c>
      <c r="F438" s="3">
        <f t="shared" si="13"/>
        <v>-12.392402223721668</v>
      </c>
      <c r="I438" s="13">
        <f>E438/0.000000325</f>
        <v>12.769230769230768</v>
      </c>
    </row>
    <row r="439" spans="1:14" x14ac:dyDescent="0.25">
      <c r="D439">
        <v>135</v>
      </c>
      <c r="E439" s="3">
        <v>3.98E-6</v>
      </c>
      <c r="F439" s="3">
        <f t="shared" si="13"/>
        <v>-12.434228738667928</v>
      </c>
      <c r="I439" s="13">
        <f>E439/0.000000325</f>
        <v>12.246153846153845</v>
      </c>
    </row>
    <row r="440" spans="1:14" x14ac:dyDescent="0.25">
      <c r="A440" s="48">
        <v>43881</v>
      </c>
      <c r="B440">
        <v>360</v>
      </c>
      <c r="C440">
        <v>600</v>
      </c>
      <c r="D440">
        <v>300</v>
      </c>
      <c r="E440" s="3">
        <v>1.2099999999999999E-5</v>
      </c>
      <c r="F440" s="3">
        <f t="shared" si="13"/>
        <v>-11.322305105361579</v>
      </c>
      <c r="I440" s="13">
        <f t="shared" ref="I440:I451" si="15">E440/0.000000318</f>
        <v>38.050314465408803</v>
      </c>
    </row>
    <row r="441" spans="1:14" x14ac:dyDescent="0.25">
      <c r="D441">
        <v>150</v>
      </c>
      <c r="E441" s="3">
        <v>4.4700000000000004E-6</v>
      </c>
      <c r="F441" s="3">
        <f t="shared" si="13"/>
        <v>-12.318122149338796</v>
      </c>
      <c r="I441" s="13">
        <f t="shared" si="15"/>
        <v>14.056603773584905</v>
      </c>
    </row>
    <row r="442" spans="1:14" x14ac:dyDescent="0.25">
      <c r="D442">
        <v>140</v>
      </c>
      <c r="E442" s="3">
        <v>4.0899999999999998E-6</v>
      </c>
      <c r="F442" s="3">
        <f t="shared" si="13"/>
        <v>-12.406965587909564</v>
      </c>
      <c r="I442" s="13">
        <f t="shared" si="15"/>
        <v>12.861635220125786</v>
      </c>
    </row>
    <row r="443" spans="1:14" x14ac:dyDescent="0.25">
      <c r="D443">
        <v>137</v>
      </c>
      <c r="E443" s="3">
        <v>3.9899999999999999E-6</v>
      </c>
      <c r="F443" s="3">
        <f t="shared" si="13"/>
        <v>-12.431719327062503</v>
      </c>
      <c r="I443" s="13">
        <f t="shared" si="15"/>
        <v>12.547169811320753</v>
      </c>
    </row>
    <row r="444" spans="1:14" x14ac:dyDescent="0.25">
      <c r="D444">
        <v>138</v>
      </c>
      <c r="E444" s="3">
        <v>4.0300000000000004E-6</v>
      </c>
      <c r="F444" s="3">
        <f t="shared" si="13"/>
        <v>-12.421744182005682</v>
      </c>
      <c r="I444" s="13">
        <f t="shared" si="15"/>
        <v>12.672955974842768</v>
      </c>
    </row>
    <row r="445" spans="1:14" x14ac:dyDescent="0.25">
      <c r="A445" s="6">
        <v>43887</v>
      </c>
      <c r="B445">
        <v>360</v>
      </c>
      <c r="C445">
        <v>600</v>
      </c>
      <c r="D445">
        <v>300</v>
      </c>
      <c r="E445" s="3">
        <v>1.0699999999999999E-5</v>
      </c>
      <c r="F445" s="3">
        <f t="shared" si="13"/>
        <v>-11.445266816496414</v>
      </c>
      <c r="I445" s="13">
        <f t="shared" si="15"/>
        <v>33.647798742138363</v>
      </c>
    </row>
    <row r="446" spans="1:14" x14ac:dyDescent="0.25">
      <c r="D446">
        <v>250</v>
      </c>
      <c r="E446" s="3">
        <v>7.2599999999999999E-6</v>
      </c>
      <c r="F446" s="3">
        <f t="shared" si="13"/>
        <v>-11.83313072912757</v>
      </c>
      <c r="I446" s="13">
        <f t="shared" si="15"/>
        <v>22.830188679245282</v>
      </c>
    </row>
    <row r="447" spans="1:14" x14ac:dyDescent="0.25">
      <c r="D447">
        <v>200</v>
      </c>
      <c r="E447" s="3">
        <v>5.6300000000000003E-6</v>
      </c>
      <c r="F447" s="3">
        <f t="shared" si="13"/>
        <v>-12.087401115812675</v>
      </c>
      <c r="I447" s="13">
        <f t="shared" si="15"/>
        <v>17.70440251572327</v>
      </c>
      <c r="N447">
        <v>290</v>
      </c>
    </row>
    <row r="448" spans="1:14" x14ac:dyDescent="0.25">
      <c r="D448">
        <v>150</v>
      </c>
      <c r="E448" s="3">
        <v>4.0400000000000003E-6</v>
      </c>
      <c r="F448" s="3">
        <f t="shared" si="13"/>
        <v>-12.419265865991216</v>
      </c>
      <c r="I448" s="13">
        <f t="shared" si="15"/>
        <v>12.70440251572327</v>
      </c>
      <c r="K448" s="3">
        <v>6.3999999999999999E-11</v>
      </c>
      <c r="L448" s="3">
        <v>1.48E-8</v>
      </c>
      <c r="M448" s="3">
        <v>1.49E-7</v>
      </c>
      <c r="N448" s="3">
        <f>K448*N447^2+L448*N447+M448</f>
        <v>9.8233999999999998E-6</v>
      </c>
    </row>
    <row r="449" spans="1:9" x14ac:dyDescent="0.25">
      <c r="D449">
        <v>100</v>
      </c>
      <c r="E449" s="3">
        <v>2.52E-6</v>
      </c>
      <c r="F449" s="3">
        <f t="shared" si="13"/>
        <v>-12.891251656440943</v>
      </c>
      <c r="I449" s="13">
        <f t="shared" si="15"/>
        <v>7.9245283018867925</v>
      </c>
    </row>
    <row r="450" spans="1:9" x14ac:dyDescent="0.25">
      <c r="D450">
        <v>50</v>
      </c>
      <c r="E450" s="3">
        <v>8.9100000000000002E-7</v>
      </c>
      <c r="F450" s="3">
        <f t="shared" si="13"/>
        <v>-13.930921409475602</v>
      </c>
      <c r="I450" s="13">
        <f t="shared" si="15"/>
        <v>2.8018867924528301</v>
      </c>
    </row>
    <row r="451" spans="1:9" x14ac:dyDescent="0.25">
      <c r="D451">
        <v>0</v>
      </c>
      <c r="E451" s="3">
        <v>1.11E-7</v>
      </c>
      <c r="F451" s="3">
        <f t="shared" si="13"/>
        <v>-16.013735635634077</v>
      </c>
      <c r="I451" s="13">
        <f t="shared" si="15"/>
        <v>0.34905660377358488</v>
      </c>
    </row>
    <row r="452" spans="1:9" x14ac:dyDescent="0.25">
      <c r="A452" s="6">
        <v>43888</v>
      </c>
      <c r="B452">
        <v>360</v>
      </c>
      <c r="C452">
        <v>600</v>
      </c>
      <c r="D452">
        <v>300</v>
      </c>
      <c r="E452" s="3">
        <v>1.1800000000000001E-5</v>
      </c>
      <c r="F452" s="3">
        <f t="shared" si="13"/>
        <v>-11.347411026492654</v>
      </c>
      <c r="I452" s="13">
        <f>E452/0.000000312</f>
        <v>37.820512820512825</v>
      </c>
    </row>
    <row r="453" spans="1:9" x14ac:dyDescent="0.25">
      <c r="D453">
        <v>150</v>
      </c>
      <c r="E453" s="3">
        <v>4.2799999999999997E-6</v>
      </c>
      <c r="F453" s="3">
        <f t="shared" si="13"/>
        <v>-12.361557548370568</v>
      </c>
      <c r="I453" s="13">
        <f t="shared" ref="I453:I489" si="16">E453/0.000000312</f>
        <v>13.717948717948717</v>
      </c>
    </row>
    <row r="454" spans="1:9" x14ac:dyDescent="0.25">
      <c r="D454">
        <v>145</v>
      </c>
      <c r="E454" s="3">
        <v>4.1200000000000004E-6</v>
      </c>
      <c r="F454" s="3">
        <f t="shared" si="13"/>
        <v>-12.399657394602839</v>
      </c>
      <c r="I454" s="13">
        <f t="shared" si="16"/>
        <v>13.205128205128206</v>
      </c>
    </row>
    <row r="455" spans="1:9" x14ac:dyDescent="0.25">
      <c r="D455">
        <v>140</v>
      </c>
      <c r="E455" s="3">
        <v>3.9400000000000004E-6</v>
      </c>
      <c r="F455" s="3">
        <f t="shared" si="13"/>
        <v>-12.444329834654432</v>
      </c>
      <c r="I455" s="13">
        <f t="shared" si="16"/>
        <v>12.62820512820513</v>
      </c>
    </row>
    <row r="456" spans="1:9" x14ac:dyDescent="0.25">
      <c r="A456" s="6">
        <v>44187</v>
      </c>
      <c r="B456">
        <v>360</v>
      </c>
      <c r="C456">
        <v>600</v>
      </c>
      <c r="D456">
        <v>300</v>
      </c>
      <c r="E456" s="3">
        <v>1.0000000000000001E-5</v>
      </c>
      <c r="F456" s="3">
        <f t="shared" si="13"/>
        <v>-11.512925464970229</v>
      </c>
      <c r="I456" s="13">
        <f t="shared" si="16"/>
        <v>32.051282051282058</v>
      </c>
    </row>
    <row r="457" spans="1:9" x14ac:dyDescent="0.25">
      <c r="D457">
        <v>250</v>
      </c>
      <c r="E457" s="3">
        <v>6.6200000000000001E-6</v>
      </c>
      <c r="F457" s="3">
        <f t="shared" si="13"/>
        <v>-11.925415188015357</v>
      </c>
      <c r="I457" s="13">
        <f t="shared" si="16"/>
        <v>21.217948717948719</v>
      </c>
    </row>
    <row r="458" spans="1:9" x14ac:dyDescent="0.25">
      <c r="D458">
        <v>200</v>
      </c>
      <c r="E458" s="3">
        <v>5.1399999999999999E-6</v>
      </c>
      <c r="F458" s="3">
        <f t="shared" si="13"/>
        <v>-12.178457478497201</v>
      </c>
      <c r="I458" s="13">
        <f t="shared" si="16"/>
        <v>16.474358974358974</v>
      </c>
    </row>
    <row r="459" spans="1:9" x14ac:dyDescent="0.25">
      <c r="D459">
        <v>175</v>
      </c>
      <c r="E459" s="3">
        <v>4.42E-6</v>
      </c>
      <c r="F459" s="3">
        <f t="shared" si="13"/>
        <v>-12.329370861874667</v>
      </c>
      <c r="I459" s="13">
        <f t="shared" si="16"/>
        <v>14.166666666666668</v>
      </c>
    </row>
    <row r="460" spans="1:9" x14ac:dyDescent="0.25">
      <c r="D460">
        <v>150</v>
      </c>
      <c r="E460" s="3">
        <v>3.6799999999999999E-6</v>
      </c>
      <c r="F460" s="3">
        <f t="shared" si="13"/>
        <v>-12.512597805783434</v>
      </c>
      <c r="I460" s="13">
        <f t="shared" si="16"/>
        <v>11.794871794871796</v>
      </c>
    </row>
    <row r="461" spans="1:9" x14ac:dyDescent="0.25">
      <c r="D461">
        <v>125</v>
      </c>
      <c r="E461" s="3">
        <v>2.9500000000000001E-6</v>
      </c>
      <c r="F461" s="3">
        <f t="shared" si="13"/>
        <v>-12.733705387612545</v>
      </c>
      <c r="I461" s="13">
        <f t="shared" si="16"/>
        <v>9.4551282051282062</v>
      </c>
    </row>
    <row r="462" spans="1:9" x14ac:dyDescent="0.25">
      <c r="D462">
        <v>100</v>
      </c>
      <c r="E462" s="3">
        <v>2.2500000000000001E-6</v>
      </c>
      <c r="F462" s="3">
        <f t="shared" si="13"/>
        <v>-13.004580341747946</v>
      </c>
      <c r="I462" s="13">
        <f t="shared" si="16"/>
        <v>7.2115384615384617</v>
      </c>
    </row>
    <row r="463" spans="1:9" x14ac:dyDescent="0.25">
      <c r="D463">
        <v>50</v>
      </c>
      <c r="E463" s="3">
        <v>7.7000000000000004E-7</v>
      </c>
      <c r="F463" s="3">
        <f t="shared" si="13"/>
        <v>-14.076875322098681</v>
      </c>
      <c r="I463" s="13">
        <f t="shared" si="16"/>
        <v>2.4679487179487181</v>
      </c>
    </row>
    <row r="464" spans="1:9" x14ac:dyDescent="0.25">
      <c r="A464" s="6">
        <v>44292</v>
      </c>
      <c r="B464">
        <v>360</v>
      </c>
      <c r="C464">
        <v>600</v>
      </c>
      <c r="D464">
        <v>300</v>
      </c>
      <c r="E464" s="3">
        <v>9.73E-6</v>
      </c>
      <c r="F464" s="3">
        <f t="shared" si="13"/>
        <v>-11.54029666176636</v>
      </c>
      <c r="I464" s="13">
        <f t="shared" si="16"/>
        <v>31.185897435897438</v>
      </c>
    </row>
    <row r="465" spans="1:9" x14ac:dyDescent="0.25">
      <c r="D465">
        <v>250</v>
      </c>
      <c r="E465" s="3">
        <v>6.3E-3</v>
      </c>
      <c r="F465" s="3">
        <f t="shared" si="13"/>
        <v>-5.0672056455846501</v>
      </c>
      <c r="I465" s="13">
        <f t="shared" si="16"/>
        <v>20192.307692307691</v>
      </c>
    </row>
    <row r="466" spans="1:9" x14ac:dyDescent="0.25">
      <c r="D466">
        <v>200</v>
      </c>
      <c r="E466" s="3">
        <v>4.8999999999999997E-6</v>
      </c>
      <c r="F466" s="3">
        <f t="shared" si="13"/>
        <v>-12.226275352847694</v>
      </c>
      <c r="I466" s="13">
        <f t="shared" si="16"/>
        <v>15.705128205128204</v>
      </c>
    </row>
    <row r="467" spans="1:9" x14ac:dyDescent="0.25">
      <c r="D467">
        <v>175</v>
      </c>
      <c r="E467" s="3">
        <v>4.1999999999999996E-6</v>
      </c>
      <c r="F467" s="3">
        <f t="shared" si="13"/>
        <v>-12.380426032674952</v>
      </c>
      <c r="I467" s="13">
        <f t="shared" si="16"/>
        <v>13.46153846153846</v>
      </c>
    </row>
    <row r="468" spans="1:9" x14ac:dyDescent="0.25">
      <c r="D468">
        <v>150</v>
      </c>
      <c r="E468" s="3">
        <v>3.5099999999999999E-6</v>
      </c>
      <c r="F468" s="3">
        <f t="shared" si="13"/>
        <v>-12.5598945204865</v>
      </c>
      <c r="I468" s="13">
        <f t="shared" si="16"/>
        <v>11.25</v>
      </c>
    </row>
    <row r="469" spans="1:9" x14ac:dyDescent="0.25">
      <c r="D469">
        <v>125</v>
      </c>
      <c r="E469" s="3">
        <v>2.7999999999999999E-6</v>
      </c>
      <c r="F469" s="3">
        <f t="shared" si="13"/>
        <v>-12.785891140783116</v>
      </c>
      <c r="I469" s="13">
        <f t="shared" si="16"/>
        <v>8.9743589743589745</v>
      </c>
    </row>
    <row r="470" spans="1:9" x14ac:dyDescent="0.25">
      <c r="D470">
        <v>100</v>
      </c>
      <c r="E470" s="3">
        <v>2.1500000000000002E-6</v>
      </c>
      <c r="F470" s="3">
        <f t="shared" si="13"/>
        <v>-13.050042715824702</v>
      </c>
      <c r="I470" s="13">
        <f t="shared" si="16"/>
        <v>6.8910256410256414</v>
      </c>
    </row>
    <row r="471" spans="1:9" x14ac:dyDescent="0.25">
      <c r="D471">
        <v>50</v>
      </c>
      <c r="E471" s="3">
        <v>7.1900000000000002E-7</v>
      </c>
      <c r="F471" s="3">
        <f t="shared" si="13"/>
        <v>-14.145404479225364</v>
      </c>
      <c r="I471" s="13">
        <f t="shared" si="16"/>
        <v>2.3044871794871797</v>
      </c>
    </row>
    <row r="472" spans="1:9" x14ac:dyDescent="0.25">
      <c r="A472" s="6">
        <v>44312</v>
      </c>
      <c r="B472">
        <v>360</v>
      </c>
      <c r="C472">
        <v>600</v>
      </c>
      <c r="D472">
        <v>300</v>
      </c>
      <c r="E472" s="3">
        <v>9.55E-6</v>
      </c>
      <c r="F472" s="3">
        <f t="shared" si="13"/>
        <v>-11.558969403471636</v>
      </c>
      <c r="I472" s="13">
        <f t="shared" si="16"/>
        <v>30.608974358974361</v>
      </c>
    </row>
    <row r="473" spans="1:9" x14ac:dyDescent="0.25">
      <c r="D473">
        <v>250</v>
      </c>
      <c r="E473" s="3">
        <v>6.3099999999999997E-6</v>
      </c>
      <c r="F473" s="3">
        <f t="shared" si="13"/>
        <v>-11.973374881411152</v>
      </c>
      <c r="I473" s="13">
        <f t="shared" si="16"/>
        <v>20.224358974358974</v>
      </c>
    </row>
    <row r="474" spans="1:9" x14ac:dyDescent="0.25">
      <c r="D474">
        <v>200</v>
      </c>
      <c r="E474" s="3">
        <v>4.8799999999999999E-6</v>
      </c>
      <c r="F474" s="3">
        <f t="shared" si="13"/>
        <v>-12.230365338099219</v>
      </c>
      <c r="I474" s="13">
        <f t="shared" si="16"/>
        <v>15.641025641025641</v>
      </c>
    </row>
    <row r="475" spans="1:9" x14ac:dyDescent="0.25">
      <c r="D475">
        <v>150</v>
      </c>
      <c r="E475" s="3">
        <v>3.4999999999999999E-6</v>
      </c>
      <c r="F475" s="3">
        <f t="shared" si="13"/>
        <v>-12.562747589468906</v>
      </c>
      <c r="I475" s="13">
        <f t="shared" si="16"/>
        <v>11.217948717948719</v>
      </c>
    </row>
    <row r="476" spans="1:9" x14ac:dyDescent="0.25">
      <c r="D476">
        <v>100</v>
      </c>
      <c r="E476" s="3">
        <v>2.1399999999999998E-6</v>
      </c>
      <c r="F476" s="3">
        <f t="shared" si="13"/>
        <v>-13.054704728930513</v>
      </c>
      <c r="I476" s="13">
        <f t="shared" si="16"/>
        <v>6.8589743589743586</v>
      </c>
    </row>
    <row r="477" spans="1:9" x14ac:dyDescent="0.25">
      <c r="D477">
        <v>50</v>
      </c>
      <c r="E477" s="3">
        <v>7.1500000000000004E-7</v>
      </c>
      <c r="F477" s="3">
        <f t="shared" si="13"/>
        <v>-14.150983294252404</v>
      </c>
      <c r="I477" s="13">
        <f t="shared" si="16"/>
        <v>2.291666666666667</v>
      </c>
    </row>
    <row r="478" spans="1:9" x14ac:dyDescent="0.25">
      <c r="A478" s="6">
        <v>44511</v>
      </c>
      <c r="B478">
        <v>360</v>
      </c>
      <c r="C478">
        <v>600</v>
      </c>
      <c r="D478">
        <v>300</v>
      </c>
      <c r="E478" s="3">
        <v>1.1E-5</v>
      </c>
      <c r="F478" s="3">
        <f t="shared" si="13"/>
        <v>-11.417615285165903</v>
      </c>
      <c r="I478" s="13">
        <f t="shared" si="16"/>
        <v>35.256410256410255</v>
      </c>
    </row>
    <row r="479" spans="1:9" x14ac:dyDescent="0.25">
      <c r="D479">
        <v>250</v>
      </c>
      <c r="E479" s="3">
        <v>6.9399999999999996E-6</v>
      </c>
      <c r="F479" s="3">
        <f t="shared" si="13"/>
        <v>-11.878208783445562</v>
      </c>
      <c r="I479" s="13">
        <f t="shared" si="16"/>
        <v>22.243589743589745</v>
      </c>
    </row>
    <row r="480" spans="1:9" x14ac:dyDescent="0.25">
      <c r="D480">
        <v>200</v>
      </c>
      <c r="E480" s="3">
        <v>5.3399999999999997E-6</v>
      </c>
      <c r="F480" s="3">
        <f t="shared" si="13"/>
        <v>-12.140284904992171</v>
      </c>
      <c r="I480" s="13">
        <f t="shared" si="16"/>
        <v>17.115384615384617</v>
      </c>
    </row>
    <row r="481" spans="1:17" x14ac:dyDescent="0.25">
      <c r="D481">
        <v>150</v>
      </c>
      <c r="E481" s="3">
        <v>3.8399999999999997E-6</v>
      </c>
      <c r="F481" s="3">
        <f t="shared" si="13"/>
        <v>-12.470038191364639</v>
      </c>
      <c r="I481" s="13">
        <f t="shared" si="16"/>
        <v>12.307692307692307</v>
      </c>
    </row>
    <row r="482" spans="1:17" x14ac:dyDescent="0.25">
      <c r="D482">
        <v>100</v>
      </c>
      <c r="E482" s="3">
        <v>8.4E-7</v>
      </c>
      <c r="F482" s="3">
        <f t="shared" si="13"/>
        <v>-13.989863945109052</v>
      </c>
      <c r="I482" s="13">
        <f t="shared" si="16"/>
        <v>2.6923076923076925</v>
      </c>
    </row>
    <row r="483" spans="1:17" x14ac:dyDescent="0.25">
      <c r="D483">
        <v>50</v>
      </c>
      <c r="E483" s="3">
        <v>1.3199999999999999E-7</v>
      </c>
      <c r="F483" s="3">
        <f t="shared" si="13"/>
        <v>-15.84046391436004</v>
      </c>
      <c r="I483" s="13">
        <f t="shared" si="16"/>
        <v>0.42307692307692307</v>
      </c>
    </row>
    <row r="484" spans="1:17" x14ac:dyDescent="0.25">
      <c r="A484" s="6">
        <v>44515</v>
      </c>
      <c r="B484">
        <v>360</v>
      </c>
      <c r="C484">
        <v>600</v>
      </c>
      <c r="D484">
        <v>300</v>
      </c>
      <c r="E484" s="3">
        <v>1.01E-5</v>
      </c>
      <c r="F484" s="3">
        <f t="shared" si="13"/>
        <v>-11.50297513411706</v>
      </c>
      <c r="I484" s="13">
        <f t="shared" si="16"/>
        <v>32.371794871794876</v>
      </c>
    </row>
    <row r="485" spans="1:17" x14ac:dyDescent="0.25">
      <c r="D485">
        <v>250</v>
      </c>
      <c r="E485" s="3">
        <v>6.8499999999999996E-6</v>
      </c>
      <c r="F485" s="3">
        <f t="shared" si="13"/>
        <v>-11.89126190569014</v>
      </c>
      <c r="I485" s="13">
        <f t="shared" si="16"/>
        <v>21.955128205128204</v>
      </c>
      <c r="Q485">
        <f>0.000000303*30</f>
        <v>9.0899999999999994E-6</v>
      </c>
    </row>
    <row r="486" spans="1:17" x14ac:dyDescent="0.25">
      <c r="D486">
        <v>200</v>
      </c>
      <c r="E486" s="3">
        <v>5.3199999999999999E-6</v>
      </c>
      <c r="F486" s="3">
        <f t="shared" si="13"/>
        <v>-12.144037254610721</v>
      </c>
      <c r="I486" s="13">
        <f t="shared" si="16"/>
        <v>17.051282051282051</v>
      </c>
    </row>
    <row r="487" spans="1:17" x14ac:dyDescent="0.25">
      <c r="D487">
        <v>150</v>
      </c>
      <c r="E487" s="3">
        <v>3.8199999999999998E-6</v>
      </c>
      <c r="F487" s="3">
        <f t="shared" si="13"/>
        <v>-12.47526013534579</v>
      </c>
      <c r="I487" s="13">
        <f t="shared" si="16"/>
        <v>12.243589743589743</v>
      </c>
    </row>
    <row r="488" spans="1:17" x14ac:dyDescent="0.25">
      <c r="D488">
        <v>100</v>
      </c>
      <c r="E488" s="3">
        <v>2.3700000000000002E-6</v>
      </c>
      <c r="F488" s="3">
        <f t="shared" si="13"/>
        <v>-12.952620602817234</v>
      </c>
      <c r="I488" s="13">
        <f t="shared" si="16"/>
        <v>7.5961538461538467</v>
      </c>
    </row>
    <row r="489" spans="1:17" x14ac:dyDescent="0.25">
      <c r="D489">
        <v>50</v>
      </c>
      <c r="E489" s="3">
        <v>8.4E-7</v>
      </c>
      <c r="F489" s="3">
        <f t="shared" si="13"/>
        <v>-13.989863945109052</v>
      </c>
      <c r="I489" s="13">
        <f t="shared" si="16"/>
        <v>2.6923076923076925</v>
      </c>
    </row>
    <row r="490" spans="1:17" x14ac:dyDescent="0.25">
      <c r="A490" s="6">
        <v>44517</v>
      </c>
      <c r="B490">
        <v>360</v>
      </c>
      <c r="C490">
        <v>600</v>
      </c>
      <c r="D490">
        <v>300</v>
      </c>
      <c r="E490" s="3">
        <v>1.0200000000000001E-5</v>
      </c>
      <c r="F490" s="3">
        <f t="shared" si="13"/>
        <v>-11.493122837674049</v>
      </c>
    </row>
    <row r="491" spans="1:17" x14ac:dyDescent="0.25">
      <c r="D491">
        <v>250</v>
      </c>
      <c r="E491" s="3">
        <v>6.9500000000000004E-6</v>
      </c>
      <c r="F491" s="3">
        <f t="shared" si="13"/>
        <v>-11.876768898387573</v>
      </c>
    </row>
    <row r="492" spans="1:17" x14ac:dyDescent="0.25">
      <c r="D492">
        <v>200</v>
      </c>
      <c r="E492" s="3">
        <v>5.3900000000000001E-6</v>
      </c>
      <c r="F492" s="3">
        <f t="shared" si="13"/>
        <v>-12.130965173043368</v>
      </c>
    </row>
    <row r="493" spans="1:17" x14ac:dyDescent="0.25">
      <c r="D493">
        <v>150</v>
      </c>
      <c r="E493" s="3">
        <v>3.89E-6</v>
      </c>
      <c r="F493" s="3">
        <f t="shared" si="13"/>
        <v>-12.457101400333919</v>
      </c>
    </row>
    <row r="494" spans="1:17" x14ac:dyDescent="0.25">
      <c r="D494">
        <v>100</v>
      </c>
      <c r="E494" s="3">
        <v>2.4200000000000001E-6</v>
      </c>
      <c r="F494" s="3">
        <f t="shared" ref="F494:F499" si="17">LN(E494)</f>
        <v>-12.931743017795679</v>
      </c>
    </row>
    <row r="495" spans="1:17" x14ac:dyDescent="0.25">
      <c r="D495">
        <v>50</v>
      </c>
      <c r="E495" s="3">
        <v>8.4E-7</v>
      </c>
      <c r="F495" s="3">
        <f t="shared" si="17"/>
        <v>-13.989863945109052</v>
      </c>
    </row>
    <row r="496" spans="1:17" x14ac:dyDescent="0.25">
      <c r="A496" s="6">
        <v>44579</v>
      </c>
      <c r="B496">
        <v>360</v>
      </c>
      <c r="C496">
        <v>600</v>
      </c>
      <c r="D496">
        <v>300</v>
      </c>
      <c r="E496" s="3">
        <v>1.0000000000000001E-5</v>
      </c>
      <c r="F496" s="3">
        <f t="shared" si="17"/>
        <v>-11.512925464970229</v>
      </c>
    </row>
    <row r="497" spans="1:6" x14ac:dyDescent="0.25">
      <c r="D497">
        <v>250</v>
      </c>
      <c r="E497" s="3">
        <v>6.6200000000000001E-6</v>
      </c>
      <c r="F497" s="3">
        <f t="shared" si="17"/>
        <v>-11.925415188015357</v>
      </c>
    </row>
    <row r="498" spans="1:6" x14ac:dyDescent="0.25">
      <c r="D498">
        <v>200</v>
      </c>
      <c r="E498" s="3">
        <v>5.13E-6</v>
      </c>
      <c r="F498" s="3">
        <f t="shared" si="17"/>
        <v>-12.180404898781596</v>
      </c>
    </row>
    <row r="499" spans="1:6" x14ac:dyDescent="0.25">
      <c r="D499">
        <v>150</v>
      </c>
      <c r="E499" s="3">
        <v>3.67E-6</v>
      </c>
      <c r="F499" s="3">
        <f t="shared" si="17"/>
        <v>-12.515318895897796</v>
      </c>
    </row>
    <row r="500" spans="1:6" x14ac:dyDescent="0.25">
      <c r="D500">
        <v>100</v>
      </c>
      <c r="E500" s="3">
        <v>2.2400000000000002E-6</v>
      </c>
      <c r="F500" s="3">
        <f t="shared" ref="F500:F507" si="18">LN(E500)</f>
        <v>-13.009034692097325</v>
      </c>
    </row>
    <row r="501" spans="1:6" x14ac:dyDescent="0.25">
      <c r="D501">
        <v>50</v>
      </c>
      <c r="E501" s="3">
        <v>7.5000000000000002E-7</v>
      </c>
      <c r="F501" s="3">
        <f t="shared" si="18"/>
        <v>-14.103192630416055</v>
      </c>
    </row>
    <row r="502" spans="1:6" x14ac:dyDescent="0.25">
      <c r="A502" s="6">
        <v>44582</v>
      </c>
      <c r="B502">
        <v>360</v>
      </c>
      <c r="C502">
        <v>600</v>
      </c>
      <c r="D502">
        <v>300</v>
      </c>
      <c r="E502" s="3">
        <v>1.04E-5</v>
      </c>
      <c r="F502" s="3">
        <f t="shared" si="18"/>
        <v>-11.473704751816948</v>
      </c>
    </row>
    <row r="503" spans="1:6" x14ac:dyDescent="0.25">
      <c r="D503">
        <v>250</v>
      </c>
      <c r="E503" s="3">
        <v>7.0500000000000003E-6</v>
      </c>
      <c r="F503" s="3">
        <f t="shared" si="18"/>
        <v>-11.862482941140097</v>
      </c>
    </row>
    <row r="504" spans="1:6" x14ac:dyDescent="0.25">
      <c r="D504">
        <v>200</v>
      </c>
      <c r="E504" s="3">
        <v>5.4500000000000003E-6</v>
      </c>
      <c r="F504" s="3">
        <f t="shared" si="18"/>
        <v>-12.119894949289121</v>
      </c>
    </row>
    <row r="505" spans="1:6" x14ac:dyDescent="0.25">
      <c r="D505">
        <v>150</v>
      </c>
      <c r="E505" s="3">
        <v>3.9199999999999997E-6</v>
      </c>
      <c r="F505" s="3">
        <f t="shared" si="18"/>
        <v>-12.449418904161902</v>
      </c>
    </row>
    <row r="506" spans="1:6" x14ac:dyDescent="0.25">
      <c r="D506">
        <v>100</v>
      </c>
      <c r="E506" s="3">
        <v>2.4200000000000001E-6</v>
      </c>
      <c r="F506" s="3">
        <f t="shared" si="18"/>
        <v>-12.931743017795679</v>
      </c>
    </row>
    <row r="507" spans="1:6" x14ac:dyDescent="0.25">
      <c r="D507">
        <v>50</v>
      </c>
      <c r="E507" s="3">
        <v>8.2999999999999999E-7</v>
      </c>
      <c r="F507" s="3">
        <f t="shared" si="18"/>
        <v>-14.001840136155767</v>
      </c>
    </row>
    <row r="508" spans="1:6" x14ac:dyDescent="0.25">
      <c r="A508" s="6">
        <v>44582</v>
      </c>
      <c r="B508">
        <v>360</v>
      </c>
      <c r="C508">
        <v>600</v>
      </c>
      <c r="D508">
        <v>300</v>
      </c>
      <c r="E508" s="3">
        <v>1.0499999999999999E-5</v>
      </c>
      <c r="F508" s="3">
        <f t="shared" ref="F508:F525" si="19">LN(E508)</f>
        <v>-11.464135300800796</v>
      </c>
    </row>
    <row r="509" spans="1:6" x14ac:dyDescent="0.25">
      <c r="D509">
        <v>250</v>
      </c>
      <c r="E509" s="3">
        <v>7.1400000000000002E-6</v>
      </c>
      <c r="F509" s="3">
        <f t="shared" si="19"/>
        <v>-11.84979778161278</v>
      </c>
    </row>
    <row r="510" spans="1:6" x14ac:dyDescent="0.25">
      <c r="D510">
        <v>200</v>
      </c>
      <c r="E510" s="3">
        <v>5.48E-6</v>
      </c>
      <c r="F510" s="3">
        <f t="shared" si="19"/>
        <v>-12.11440545700435</v>
      </c>
    </row>
    <row r="511" spans="1:6" x14ac:dyDescent="0.25">
      <c r="D511">
        <v>150</v>
      </c>
      <c r="E511" s="3">
        <v>3.9600000000000002E-6</v>
      </c>
      <c r="F511" s="3">
        <f t="shared" si="19"/>
        <v>-12.439266532697886</v>
      </c>
    </row>
    <row r="512" spans="1:6" x14ac:dyDescent="0.25">
      <c r="D512">
        <v>100</v>
      </c>
      <c r="E512" s="3">
        <v>2.4399999999999999E-6</v>
      </c>
      <c r="F512" s="3">
        <f t="shared" si="19"/>
        <v>-12.923512518659164</v>
      </c>
    </row>
    <row r="513" spans="1:6" x14ac:dyDescent="0.25">
      <c r="D513">
        <v>50</v>
      </c>
      <c r="E513" s="3">
        <v>2.2500000000000001E-6</v>
      </c>
      <c r="F513" s="3">
        <f t="shared" si="19"/>
        <v>-13.004580341747946</v>
      </c>
    </row>
    <row r="514" spans="1:6" x14ac:dyDescent="0.25">
      <c r="A514" s="6">
        <v>44587</v>
      </c>
      <c r="B514">
        <v>360</v>
      </c>
      <c r="C514">
        <v>600</v>
      </c>
      <c r="D514">
        <v>300</v>
      </c>
      <c r="E514" s="3">
        <v>1.04E-5</v>
      </c>
      <c r="F514" s="3">
        <f t="shared" si="19"/>
        <v>-11.473704751816948</v>
      </c>
    </row>
    <row r="515" spans="1:6" x14ac:dyDescent="0.25">
      <c r="D515">
        <v>250</v>
      </c>
      <c r="E515" s="3">
        <v>7.1400000000000002E-6</v>
      </c>
      <c r="F515" s="3">
        <f t="shared" si="19"/>
        <v>-11.84979778161278</v>
      </c>
    </row>
    <row r="516" spans="1:6" x14ac:dyDescent="0.25">
      <c r="D516">
        <v>200</v>
      </c>
      <c r="E516" s="3">
        <v>5.48E-6</v>
      </c>
      <c r="F516" s="3">
        <f t="shared" si="19"/>
        <v>-12.11440545700435</v>
      </c>
    </row>
    <row r="517" spans="1:6" x14ac:dyDescent="0.25">
      <c r="D517">
        <v>150</v>
      </c>
      <c r="E517" s="3">
        <v>3.9600000000000002E-6</v>
      </c>
      <c r="F517" s="3">
        <f t="shared" si="19"/>
        <v>-12.439266532697886</v>
      </c>
    </row>
    <row r="518" spans="1:6" x14ac:dyDescent="0.25">
      <c r="D518">
        <v>100</v>
      </c>
      <c r="E518" s="3">
        <v>2.4399999999999999E-6</v>
      </c>
      <c r="F518" s="3">
        <f t="shared" si="19"/>
        <v>-12.923512518659164</v>
      </c>
    </row>
    <row r="519" spans="1:6" x14ac:dyDescent="0.25">
      <c r="D519">
        <v>50</v>
      </c>
      <c r="E519" s="3">
        <v>2.2500000000000001E-6</v>
      </c>
      <c r="F519" s="3">
        <f t="shared" si="19"/>
        <v>-13.004580341747946</v>
      </c>
    </row>
    <row r="520" spans="1:6" x14ac:dyDescent="0.25">
      <c r="A520" s="6">
        <v>44631</v>
      </c>
      <c r="B520">
        <v>360</v>
      </c>
      <c r="C520">
        <v>600</v>
      </c>
      <c r="D520">
        <v>300</v>
      </c>
      <c r="E520" s="3">
        <v>1.2799999999999999E-5</v>
      </c>
      <c r="F520" s="3">
        <f t="shared" si="19"/>
        <v>-11.266065387038703</v>
      </c>
    </row>
    <row r="521" spans="1:6" x14ac:dyDescent="0.25">
      <c r="D521">
        <v>250</v>
      </c>
      <c r="E521" s="3">
        <v>1.0000000000000001E-5</v>
      </c>
      <c r="F521" s="3">
        <f t="shared" si="19"/>
        <v>-11.512925464970229</v>
      </c>
    </row>
    <row r="522" spans="1:6" x14ac:dyDescent="0.25">
      <c r="D522">
        <v>200</v>
      </c>
      <c r="E522" s="3">
        <v>6.7399999999999998E-6</v>
      </c>
      <c r="F522" s="3">
        <f t="shared" si="19"/>
        <v>-11.907450633040058</v>
      </c>
    </row>
    <row r="523" spans="1:6" x14ac:dyDescent="0.25">
      <c r="D523">
        <v>150</v>
      </c>
      <c r="E523" s="3">
        <v>5.2000000000000002E-6</v>
      </c>
      <c r="F523" s="3">
        <f t="shared" si="19"/>
        <v>-12.166851932376892</v>
      </c>
    </row>
    <row r="524" spans="1:6" x14ac:dyDescent="0.25">
      <c r="D524">
        <v>100</v>
      </c>
      <c r="E524" s="3">
        <v>3.7500000000000001E-6</v>
      </c>
      <c r="F524" s="3">
        <f t="shared" si="19"/>
        <v>-12.493754717981954</v>
      </c>
    </row>
    <row r="525" spans="1:6" x14ac:dyDescent="0.25">
      <c r="D525">
        <v>50</v>
      </c>
      <c r="E525" s="3">
        <v>2.3599999999999999E-6</v>
      </c>
      <c r="F525" s="3">
        <f t="shared" si="19"/>
        <v>-12.956848938926756</v>
      </c>
    </row>
    <row r="526" spans="1:6" x14ac:dyDescent="0.25">
      <c r="A526" s="6">
        <v>44644</v>
      </c>
      <c r="B526">
        <v>360</v>
      </c>
      <c r="C526">
        <v>600</v>
      </c>
      <c r="D526">
        <v>300</v>
      </c>
      <c r="E526" s="3">
        <v>1.38E-5</v>
      </c>
      <c r="F526" s="3">
        <f t="shared" ref="F526:F617" si="20">LN(E526)</f>
        <v>-11.190841965801114</v>
      </c>
    </row>
    <row r="527" spans="1:6" x14ac:dyDescent="0.25">
      <c r="D527">
        <v>250</v>
      </c>
      <c r="E527" s="3">
        <v>1.06E-5</v>
      </c>
      <c r="F527" s="3">
        <f t="shared" si="20"/>
        <v>-11.454656556846253</v>
      </c>
    </row>
    <row r="528" spans="1:6" x14ac:dyDescent="0.25">
      <c r="D528">
        <v>200</v>
      </c>
      <c r="E528" s="3">
        <v>7.2099999999999996E-6</v>
      </c>
      <c r="F528" s="3">
        <f t="shared" si="20"/>
        <v>-11.840041606667416</v>
      </c>
    </row>
    <row r="529" spans="1:6" x14ac:dyDescent="0.25">
      <c r="D529">
        <v>150</v>
      </c>
      <c r="E529" s="3">
        <v>5.6200000000000004E-6</v>
      </c>
      <c r="F529" s="3">
        <f t="shared" si="20"/>
        <v>-12.089178894058675</v>
      </c>
    </row>
    <row r="530" spans="1:6" x14ac:dyDescent="0.25">
      <c r="D530">
        <v>100</v>
      </c>
      <c r="E530" s="3">
        <v>2.5100000000000001E-6</v>
      </c>
      <c r="F530" s="3">
        <f t="shared" si="20"/>
        <v>-12.895227804820582</v>
      </c>
    </row>
    <row r="531" spans="1:6" x14ac:dyDescent="0.25">
      <c r="D531">
        <v>50</v>
      </c>
      <c r="E531" s="3">
        <v>1.3999999999999999E-6</v>
      </c>
      <c r="F531" s="3">
        <f t="shared" si="20"/>
        <v>-13.479038321343062</v>
      </c>
    </row>
    <row r="532" spans="1:6" x14ac:dyDescent="0.25">
      <c r="A532" s="6">
        <v>44685</v>
      </c>
      <c r="B532">
        <v>360</v>
      </c>
      <c r="C532">
        <v>600</v>
      </c>
      <c r="D532">
        <v>300</v>
      </c>
      <c r="E532" s="3">
        <v>1.08E-5</v>
      </c>
      <c r="F532" s="3">
        <f t="shared" si="20"/>
        <v>-11.435964423834101</v>
      </c>
    </row>
    <row r="533" spans="1:6" x14ac:dyDescent="0.25">
      <c r="D533">
        <v>180</v>
      </c>
      <c r="E533" s="3">
        <v>5.0200000000000002E-6</v>
      </c>
      <c r="F533" s="3">
        <f t="shared" si="20"/>
        <v>-12.202080624260637</v>
      </c>
    </row>
    <row r="534" spans="1:6" x14ac:dyDescent="0.25">
      <c r="D534">
        <v>170</v>
      </c>
      <c r="E534" s="3">
        <v>4.7299999999999996E-6</v>
      </c>
      <c r="F534" s="3">
        <f t="shared" si="20"/>
        <v>-12.261585355460433</v>
      </c>
    </row>
    <row r="535" spans="1:6" x14ac:dyDescent="0.25">
      <c r="D535">
        <v>160</v>
      </c>
      <c r="E535" s="3">
        <v>4.42E-6</v>
      </c>
      <c r="F535" s="3">
        <f t="shared" si="20"/>
        <v>-12.329370861874667</v>
      </c>
    </row>
    <row r="536" spans="1:6" x14ac:dyDescent="0.25">
      <c r="D536">
        <v>150</v>
      </c>
      <c r="E536" s="3">
        <v>4.0500000000000002E-6</v>
      </c>
      <c r="F536" s="3">
        <f t="shared" si="20"/>
        <v>-12.416793676845826</v>
      </c>
    </row>
    <row r="537" spans="1:6" x14ac:dyDescent="0.25">
      <c r="D537">
        <v>145</v>
      </c>
      <c r="E537" s="3">
        <v>3.8999999999999999E-6</v>
      </c>
      <c r="F537" s="3">
        <f t="shared" si="20"/>
        <v>-12.454534004828673</v>
      </c>
    </row>
    <row r="538" spans="1:6" x14ac:dyDescent="0.25">
      <c r="D538">
        <v>100</v>
      </c>
      <c r="E538" s="3">
        <v>2.5399999999999998E-6</v>
      </c>
      <c r="F538" s="3">
        <f t="shared" si="20"/>
        <v>-12.883346476933829</v>
      </c>
    </row>
    <row r="539" spans="1:6" x14ac:dyDescent="0.25">
      <c r="D539">
        <v>50</v>
      </c>
      <c r="E539" s="3">
        <v>8.71E-7</v>
      </c>
      <c r="F539" s="3">
        <f t="shared" si="20"/>
        <v>-13.953623860093908</v>
      </c>
    </row>
    <row r="540" spans="1:6" x14ac:dyDescent="0.25">
      <c r="D540">
        <v>300</v>
      </c>
      <c r="E540" s="3">
        <v>1.08E-5</v>
      </c>
      <c r="F540" s="3">
        <f t="shared" si="20"/>
        <v>-11.435964423834101</v>
      </c>
    </row>
    <row r="541" spans="1:6" x14ac:dyDescent="0.25">
      <c r="D541">
        <v>165</v>
      </c>
      <c r="E541" s="3">
        <v>4.5900000000000001E-6</v>
      </c>
      <c r="F541" s="3">
        <f t="shared" si="20"/>
        <v>-12.291630533891821</v>
      </c>
    </row>
    <row r="542" spans="1:6" x14ac:dyDescent="0.25">
      <c r="A542" s="6">
        <v>44715</v>
      </c>
      <c r="B542">
        <v>360</v>
      </c>
      <c r="C542">
        <v>600</v>
      </c>
      <c r="D542">
        <v>300</v>
      </c>
      <c r="E542" s="3">
        <v>9.6500000000000008E-6</v>
      </c>
      <c r="F542" s="3">
        <f t="shared" si="20"/>
        <v>-11.54855264261338</v>
      </c>
    </row>
    <row r="543" spans="1:6" x14ac:dyDescent="0.25">
      <c r="D543">
        <v>250</v>
      </c>
      <c r="E543" s="3">
        <v>6.5400000000000001E-6</v>
      </c>
      <c r="F543" s="3">
        <f t="shared" si="20"/>
        <v>-11.937573392495167</v>
      </c>
    </row>
    <row r="544" spans="1:6" x14ac:dyDescent="0.25">
      <c r="D544">
        <v>200</v>
      </c>
      <c r="E544" s="3">
        <v>5.0200000000000002E-6</v>
      </c>
      <c r="F544" s="3">
        <f t="shared" si="20"/>
        <v>-12.202080624260637</v>
      </c>
    </row>
    <row r="545" spans="1:13" x14ac:dyDescent="0.25">
      <c r="D545">
        <v>150</v>
      </c>
      <c r="E545" s="3">
        <v>3.58E-6</v>
      </c>
      <c r="F545" s="3">
        <f t="shared" si="20"/>
        <v>-12.540147757551665</v>
      </c>
    </row>
    <row r="546" spans="1:13" x14ac:dyDescent="0.25">
      <c r="D546">
        <v>100</v>
      </c>
      <c r="E546" s="3">
        <v>2.26E-6</v>
      </c>
      <c r="F546" s="3">
        <f t="shared" si="20"/>
        <v>-13.000145744680079</v>
      </c>
    </row>
    <row r="547" spans="1:13" x14ac:dyDescent="0.25">
      <c r="D547">
        <v>50</v>
      </c>
      <c r="E547" s="3">
        <v>8.1100000000000005E-7</v>
      </c>
      <c r="F547" s="3">
        <f t="shared" si="20"/>
        <v>-14.024997782830997</v>
      </c>
      <c r="M547">
        <v>34</v>
      </c>
    </row>
    <row r="548" spans="1:13" x14ac:dyDescent="0.25">
      <c r="D548">
        <v>0</v>
      </c>
      <c r="E548" s="3">
        <v>5.5500000000000001E-8</v>
      </c>
      <c r="F548" s="3">
        <f t="shared" si="20"/>
        <v>-16.706882816194021</v>
      </c>
      <c r="I548" s="3">
        <v>2.7109999999999998E-13</v>
      </c>
      <c r="J548" s="3">
        <v>-5.6899999999999999E-11</v>
      </c>
      <c r="K548" s="3">
        <v>2.845E-8</v>
      </c>
      <c r="L548" s="3">
        <v>-1.043E-7</v>
      </c>
      <c r="M548" s="3">
        <f>I548*M547^3+J548*M547^2+K548*M547+L548</f>
        <v>8.0787891440000007E-7</v>
      </c>
    </row>
    <row r="549" spans="1:13" x14ac:dyDescent="0.25">
      <c r="A549" s="6">
        <v>44775</v>
      </c>
      <c r="B549">
        <v>360</v>
      </c>
      <c r="C549">
        <v>600</v>
      </c>
      <c r="D549">
        <v>300</v>
      </c>
      <c r="E549" s="3">
        <v>1.0499999999999999E-5</v>
      </c>
      <c r="F549" s="3">
        <f t="shared" si="20"/>
        <v>-11.464135300800796</v>
      </c>
    </row>
    <row r="550" spans="1:13" x14ac:dyDescent="0.25">
      <c r="D550">
        <v>250</v>
      </c>
      <c r="E550" s="3">
        <v>7.0999999999999998E-6</v>
      </c>
      <c r="F550" s="3">
        <f t="shared" si="20"/>
        <v>-11.855415773917004</v>
      </c>
    </row>
    <row r="551" spans="1:13" x14ac:dyDescent="0.25">
      <c r="D551">
        <v>200</v>
      </c>
      <c r="E551" s="3">
        <v>5.5300000000000004E-6</v>
      </c>
      <c r="F551" s="3">
        <f t="shared" si="20"/>
        <v>-12.105322742430031</v>
      </c>
    </row>
    <row r="552" spans="1:13" x14ac:dyDescent="0.25">
      <c r="D552">
        <v>150</v>
      </c>
      <c r="E552" s="3">
        <v>3.9899999999999999E-6</v>
      </c>
      <c r="F552" s="3">
        <f t="shared" si="20"/>
        <v>-12.431719327062503</v>
      </c>
    </row>
    <row r="553" spans="1:13" x14ac:dyDescent="0.25">
      <c r="D553">
        <v>100</v>
      </c>
      <c r="E553" s="3">
        <v>2.4499999999999998E-6</v>
      </c>
      <c r="F553" s="3">
        <f t="shared" si="20"/>
        <v>-12.919422533407639</v>
      </c>
    </row>
    <row r="554" spans="1:13" x14ac:dyDescent="0.25">
      <c r="D554">
        <v>50</v>
      </c>
      <c r="E554" s="3">
        <v>8.0500000000000002E-7</v>
      </c>
      <c r="F554" s="3">
        <f t="shared" si="20"/>
        <v>-14.032423559527848</v>
      </c>
    </row>
    <row r="555" spans="1:13" x14ac:dyDescent="0.25">
      <c r="D555">
        <v>0</v>
      </c>
      <c r="E555" s="3">
        <v>2.9999999999999997E-8</v>
      </c>
      <c r="F555" s="3">
        <f t="shared" si="20"/>
        <v>-17.322068455284256</v>
      </c>
    </row>
    <row r="556" spans="1:13" x14ac:dyDescent="0.25">
      <c r="A556" s="6">
        <v>44784</v>
      </c>
      <c r="B556">
        <v>360</v>
      </c>
      <c r="C556">
        <v>600</v>
      </c>
      <c r="D556">
        <v>300</v>
      </c>
      <c r="E556" s="3">
        <v>1.06E-5</v>
      </c>
      <c r="F556" s="3">
        <f t="shared" si="20"/>
        <v>-11.454656556846253</v>
      </c>
    </row>
    <row r="557" spans="1:13" x14ac:dyDescent="0.25">
      <c r="D557">
        <v>250</v>
      </c>
      <c r="E557" s="3">
        <v>7.1600000000000001E-6</v>
      </c>
      <c r="F557" s="3">
        <f t="shared" si="20"/>
        <v>-11.84700057699172</v>
      </c>
    </row>
    <row r="558" spans="1:13" x14ac:dyDescent="0.25">
      <c r="D558">
        <v>200</v>
      </c>
      <c r="E558" s="3">
        <v>5.5300000000000004E-6</v>
      </c>
      <c r="F558" s="3">
        <f t="shared" si="20"/>
        <v>-12.105322742430031</v>
      </c>
    </row>
    <row r="559" spans="1:13" x14ac:dyDescent="0.25">
      <c r="D559">
        <v>150</v>
      </c>
      <c r="E559" s="3">
        <v>3.9700000000000001E-6</v>
      </c>
      <c r="F559" s="3">
        <f t="shared" si="20"/>
        <v>-12.436744463265175</v>
      </c>
    </row>
    <row r="560" spans="1:13" x14ac:dyDescent="0.25">
      <c r="D560">
        <v>100</v>
      </c>
      <c r="E560" s="3">
        <v>2.4600000000000002E-6</v>
      </c>
      <c r="F560" s="3">
        <f t="shared" si="20"/>
        <v>-12.915349208020002</v>
      </c>
    </row>
    <row r="561" spans="1:13" x14ac:dyDescent="0.25">
      <c r="D561">
        <v>50</v>
      </c>
      <c r="E561" s="3">
        <v>8.2999999999999999E-7</v>
      </c>
      <c r="F561" s="3">
        <f t="shared" si="20"/>
        <v>-14.001840136155767</v>
      </c>
    </row>
    <row r="562" spans="1:13" x14ac:dyDescent="0.25">
      <c r="D562">
        <v>0</v>
      </c>
      <c r="E562" s="3">
        <v>4.0000000000000001E-8</v>
      </c>
      <c r="F562" s="3">
        <f t="shared" si="20"/>
        <v>-17.034386382832476</v>
      </c>
    </row>
    <row r="563" spans="1:13" x14ac:dyDescent="0.25">
      <c r="A563" s="6">
        <v>44789</v>
      </c>
      <c r="B563">
        <v>360</v>
      </c>
      <c r="C563">
        <v>600</v>
      </c>
      <c r="D563">
        <v>300</v>
      </c>
      <c r="E563" s="3">
        <v>1.08E-5</v>
      </c>
      <c r="F563" s="3">
        <f t="shared" si="20"/>
        <v>-11.435964423834101</v>
      </c>
    </row>
    <row r="564" spans="1:13" x14ac:dyDescent="0.25">
      <c r="D564">
        <v>250</v>
      </c>
      <c r="E564" s="3">
        <v>7.2599999999999999E-6</v>
      </c>
      <c r="F564" s="3">
        <f t="shared" si="20"/>
        <v>-11.83313072912757</v>
      </c>
    </row>
    <row r="565" spans="1:13" x14ac:dyDescent="0.25">
      <c r="D565">
        <v>200</v>
      </c>
      <c r="E565" s="3">
        <v>5.6300000000000003E-6</v>
      </c>
      <c r="F565" s="3">
        <f t="shared" si="20"/>
        <v>-12.087401115812675</v>
      </c>
    </row>
    <row r="566" spans="1:13" x14ac:dyDescent="0.25">
      <c r="D566">
        <v>150</v>
      </c>
      <c r="E566" s="3">
        <v>4.0400000000000003E-6</v>
      </c>
      <c r="F566" s="3">
        <f t="shared" si="20"/>
        <v>-12.419265865991216</v>
      </c>
    </row>
    <row r="567" spans="1:13" x14ac:dyDescent="0.25">
      <c r="D567">
        <v>100</v>
      </c>
      <c r="E567" s="3">
        <v>2.5100000000000001E-6</v>
      </c>
      <c r="F567" s="3">
        <f t="shared" si="20"/>
        <v>-12.895227804820582</v>
      </c>
    </row>
    <row r="568" spans="1:13" x14ac:dyDescent="0.25">
      <c r="D568">
        <v>50</v>
      </c>
      <c r="E568" s="3">
        <v>8.5000000000000001E-7</v>
      </c>
      <c r="F568" s="3">
        <f t="shared" si="20"/>
        <v>-13.978029487462049</v>
      </c>
    </row>
    <row r="569" spans="1:13" x14ac:dyDescent="0.25">
      <c r="D569">
        <v>0</v>
      </c>
      <c r="E569" s="3">
        <v>4.9999999999999998E-8</v>
      </c>
      <c r="F569" s="3">
        <f t="shared" si="20"/>
        <v>-16.811242831518264</v>
      </c>
    </row>
    <row r="570" spans="1:13" x14ac:dyDescent="0.25">
      <c r="A570" s="6">
        <v>44800</v>
      </c>
      <c r="B570">
        <v>360</v>
      </c>
      <c r="C570">
        <v>600</v>
      </c>
      <c r="D570">
        <v>300</v>
      </c>
      <c r="E570" s="3">
        <v>1.0200000000000001E-5</v>
      </c>
      <c r="F570" s="3">
        <f t="shared" si="20"/>
        <v>-11.493122837674049</v>
      </c>
    </row>
    <row r="571" spans="1:13" x14ac:dyDescent="0.25">
      <c r="D571">
        <v>250</v>
      </c>
      <c r="E571" s="3">
        <v>6.9099999999999999E-6</v>
      </c>
      <c r="F571" s="3">
        <f t="shared" si="20"/>
        <v>-11.882540920184695</v>
      </c>
    </row>
    <row r="572" spans="1:13" x14ac:dyDescent="0.25">
      <c r="D572">
        <v>200</v>
      </c>
      <c r="E572" s="3">
        <v>5.3000000000000001E-6</v>
      </c>
      <c r="F572" s="3">
        <f t="shared" si="20"/>
        <v>-12.147803737406198</v>
      </c>
      <c r="M572">
        <v>51</v>
      </c>
    </row>
    <row r="573" spans="1:13" x14ac:dyDescent="0.25">
      <c r="D573">
        <v>150</v>
      </c>
      <c r="E573" s="3">
        <v>3.8500000000000004E-6</v>
      </c>
      <c r="F573" s="3">
        <f t="shared" si="20"/>
        <v>-12.467437409664582</v>
      </c>
      <c r="I573" s="3">
        <v>6.9039999999999997E-13</v>
      </c>
      <c r="J573" s="3">
        <v>-2.9870000000000001E-10</v>
      </c>
      <c r="K573" s="3">
        <v>6.828E-8</v>
      </c>
      <c r="L573" s="3">
        <v>-1.9970000000000001E-6</v>
      </c>
      <c r="M573" s="3">
        <f>I573*M572^3+J573*M572^2+K573*M572+L573</f>
        <v>7.9994355039999984E-7</v>
      </c>
    </row>
    <row r="574" spans="1:13" x14ac:dyDescent="0.25">
      <c r="D574">
        <v>100</v>
      </c>
      <c r="E574" s="3">
        <v>2.3800000000000001E-6</v>
      </c>
      <c r="F574" s="3">
        <f t="shared" si="20"/>
        <v>-12.948410070280891</v>
      </c>
    </row>
    <row r="575" spans="1:13" x14ac:dyDescent="0.25">
      <c r="D575">
        <v>50</v>
      </c>
      <c r="E575" s="3">
        <v>7.9999999999999996E-7</v>
      </c>
      <c r="F575" s="3">
        <f t="shared" si="20"/>
        <v>-14.038654109278484</v>
      </c>
    </row>
    <row r="576" spans="1:13" x14ac:dyDescent="0.25">
      <c r="D576">
        <v>0</v>
      </c>
      <c r="E576" s="3">
        <v>7.1E-8</v>
      </c>
      <c r="F576" s="3">
        <f t="shared" si="20"/>
        <v>-16.460585959905096</v>
      </c>
    </row>
    <row r="577" spans="1:6" x14ac:dyDescent="0.25">
      <c r="A577" s="6">
        <v>44812</v>
      </c>
      <c r="B577">
        <v>360</v>
      </c>
      <c r="C577">
        <v>600</v>
      </c>
      <c r="D577">
        <v>300</v>
      </c>
      <c r="E577" s="3">
        <v>1.03E-5</v>
      </c>
      <c r="F577" s="3">
        <f t="shared" si="20"/>
        <v>-11.483366662728685</v>
      </c>
    </row>
    <row r="578" spans="1:6" x14ac:dyDescent="0.25">
      <c r="D578">
        <v>250</v>
      </c>
      <c r="E578" s="3">
        <v>6.9999999999999999E-6</v>
      </c>
      <c r="F578" s="3">
        <f t="shared" si="20"/>
        <v>-11.86960040890896</v>
      </c>
    </row>
    <row r="579" spans="1:6" x14ac:dyDescent="0.25">
      <c r="D579">
        <v>200</v>
      </c>
      <c r="E579" s="3">
        <v>5.4099999999999999E-6</v>
      </c>
      <c r="F579" s="3">
        <f t="shared" si="20"/>
        <v>-12.127261465105883</v>
      </c>
    </row>
    <row r="580" spans="1:6" x14ac:dyDescent="0.25">
      <c r="D580">
        <v>150</v>
      </c>
      <c r="E580" s="3">
        <v>3.8800000000000001E-6</v>
      </c>
      <c r="F580" s="3">
        <f t="shared" si="20"/>
        <v>-12.459675404329092</v>
      </c>
    </row>
    <row r="581" spans="1:6" x14ac:dyDescent="0.25">
      <c r="D581">
        <v>100</v>
      </c>
      <c r="E581" s="3">
        <v>2.4200000000000001E-6</v>
      </c>
      <c r="F581" s="3">
        <f t="shared" si="20"/>
        <v>-12.931743017795679</v>
      </c>
    </row>
    <row r="582" spans="1:6" x14ac:dyDescent="0.25">
      <c r="D582">
        <v>50</v>
      </c>
      <c r="E582" s="3">
        <v>7.9999999999999996E-7</v>
      </c>
      <c r="F582" s="3">
        <f t="shared" si="20"/>
        <v>-14.038654109278484</v>
      </c>
    </row>
    <row r="583" spans="1:6" x14ac:dyDescent="0.25">
      <c r="D583">
        <v>0</v>
      </c>
      <c r="E583" s="3">
        <v>9.9999999999999995E-8</v>
      </c>
      <c r="F583" s="3">
        <f t="shared" si="20"/>
        <v>-16.11809565095832</v>
      </c>
    </row>
    <row r="584" spans="1:6" x14ac:dyDescent="0.25">
      <c r="A584" s="6">
        <v>44813</v>
      </c>
      <c r="B584">
        <v>360</v>
      </c>
      <c r="C584">
        <v>600</v>
      </c>
      <c r="D584">
        <v>300</v>
      </c>
      <c r="E584" s="3">
        <v>9.7499999999999998E-6</v>
      </c>
      <c r="F584" s="3">
        <f t="shared" si="20"/>
        <v>-11.538243272954519</v>
      </c>
    </row>
    <row r="585" spans="1:6" x14ac:dyDescent="0.25">
      <c r="D585">
        <v>0</v>
      </c>
      <c r="E585" s="3">
        <v>5.8000000000000003E-8</v>
      </c>
      <c r="F585" s="3">
        <f t="shared" si="20"/>
        <v>-16.662822826399992</v>
      </c>
    </row>
    <row r="586" spans="1:6" x14ac:dyDescent="0.25">
      <c r="A586" s="6">
        <v>44862</v>
      </c>
      <c r="B586">
        <v>360</v>
      </c>
      <c r="C586">
        <v>600</v>
      </c>
      <c r="D586">
        <v>300</v>
      </c>
      <c r="E586" s="3">
        <v>9.3400000000000004E-6</v>
      </c>
      <c r="F586" s="3">
        <f t="shared" si="20"/>
        <v>-11.581204305723523</v>
      </c>
    </row>
    <row r="587" spans="1:6" x14ac:dyDescent="0.25">
      <c r="D587">
        <v>250</v>
      </c>
      <c r="E587" s="3">
        <v>6.37E-6</v>
      </c>
      <c r="F587" s="3">
        <f t="shared" si="20"/>
        <v>-11.963911088380202</v>
      </c>
    </row>
    <row r="588" spans="1:6" x14ac:dyDescent="0.25">
      <c r="D588">
        <v>200</v>
      </c>
      <c r="E588" s="3">
        <v>4.9699999999999998E-6</v>
      </c>
      <c r="F588" s="3">
        <f t="shared" si="20"/>
        <v>-12.212090717855737</v>
      </c>
    </row>
    <row r="589" spans="1:6" x14ac:dyDescent="0.25">
      <c r="D589">
        <v>150</v>
      </c>
      <c r="E589" s="3">
        <v>3.5499999999999999E-6</v>
      </c>
      <c r="F589" s="3">
        <f t="shared" si="20"/>
        <v>-12.548562954476949</v>
      </c>
    </row>
    <row r="590" spans="1:6" x14ac:dyDescent="0.25">
      <c r="D590">
        <v>100</v>
      </c>
      <c r="E590" s="3">
        <v>2.1600000000000001E-6</v>
      </c>
      <c r="F590" s="3">
        <f t="shared" si="20"/>
        <v>-13.0454023362682</v>
      </c>
    </row>
    <row r="591" spans="1:6" x14ac:dyDescent="0.25">
      <c r="D591">
        <v>50</v>
      </c>
      <c r="E591" s="3">
        <v>7.4600000000000004E-7</v>
      </c>
      <c r="F591" s="3">
        <f t="shared" si="20"/>
        <v>-14.10854023674265</v>
      </c>
    </row>
    <row r="592" spans="1:6" x14ac:dyDescent="0.25">
      <c r="D592">
        <v>0</v>
      </c>
      <c r="E592" s="3">
        <v>4.7199999999999999E-8</v>
      </c>
      <c r="F592" s="3">
        <f t="shared" si="20"/>
        <v>-16.8688719443549</v>
      </c>
    </row>
    <row r="593" spans="1:16" x14ac:dyDescent="0.25">
      <c r="A593" s="6">
        <v>44868</v>
      </c>
      <c r="B593">
        <v>360</v>
      </c>
      <c r="C593">
        <v>600</v>
      </c>
      <c r="D593">
        <v>300</v>
      </c>
      <c r="E593" s="3">
        <v>9.3700000000000001E-6</v>
      </c>
      <c r="F593" s="3">
        <f t="shared" si="20"/>
        <v>-11.577997461713943</v>
      </c>
      <c r="L593">
        <v>20</v>
      </c>
    </row>
    <row r="594" spans="1:16" x14ac:dyDescent="0.25">
      <c r="D594">
        <v>250</v>
      </c>
      <c r="E594" s="3">
        <v>6.0399999999999998E-6</v>
      </c>
      <c r="F594" s="3">
        <f t="shared" si="20"/>
        <v>-12.017106546017551</v>
      </c>
      <c r="H594" s="3">
        <v>1.908E-13</v>
      </c>
      <c r="I594" s="3">
        <v>-3.1849999999999999E-11</v>
      </c>
      <c r="J594" s="3">
        <v>2.3289999999999999E-8</v>
      </c>
      <c r="K594" s="3">
        <v>-7.7649999999999997E-8</v>
      </c>
      <c r="L594" s="3">
        <f>H594*L593^3+I594*L593^2+J594*L593+K594</f>
        <v>3.7693639999999995E-7</v>
      </c>
    </row>
    <row r="595" spans="1:16" x14ac:dyDescent="0.25">
      <c r="D595">
        <v>200</v>
      </c>
      <c r="E595" s="3">
        <v>4700000</v>
      </c>
      <c r="F595" s="3">
        <f t="shared" si="20"/>
        <v>15.363073066680286</v>
      </c>
    </row>
    <row r="596" spans="1:16" x14ac:dyDescent="0.25">
      <c r="D596">
        <v>150</v>
      </c>
      <c r="E596" s="3">
        <v>3.36E-6</v>
      </c>
      <c r="F596" s="3">
        <f t="shared" si="20"/>
        <v>-12.603569583989161</v>
      </c>
    </row>
    <row r="597" spans="1:16" x14ac:dyDescent="0.25">
      <c r="D597">
        <v>125</v>
      </c>
      <c r="E597" s="3">
        <v>2.6900000000000001E-6</v>
      </c>
      <c r="F597" s="3">
        <f t="shared" si="20"/>
        <v>-12.825969364350525</v>
      </c>
    </row>
    <row r="598" spans="1:16" x14ac:dyDescent="0.25">
      <c r="D598">
        <v>100</v>
      </c>
      <c r="E598" s="3">
        <v>2.04E-6</v>
      </c>
      <c r="F598" s="3">
        <f t="shared" si="20"/>
        <v>-13.102560750108148</v>
      </c>
    </row>
    <row r="599" spans="1:16" x14ac:dyDescent="0.25">
      <c r="D599">
        <v>75</v>
      </c>
      <c r="E599" s="3">
        <v>1.3799999999999999E-6</v>
      </c>
      <c r="F599" s="3">
        <f t="shared" si="20"/>
        <v>-13.493427058795161</v>
      </c>
    </row>
    <row r="600" spans="1:16" x14ac:dyDescent="0.25">
      <c r="D600">
        <v>50</v>
      </c>
      <c r="E600" s="3">
        <v>7.0399999999999995E-7</v>
      </c>
      <c r="F600" s="3">
        <f t="shared" si="20"/>
        <v>-14.166487480788369</v>
      </c>
    </row>
    <row r="601" spans="1:16" x14ac:dyDescent="0.25">
      <c r="D601">
        <v>25</v>
      </c>
      <c r="E601" s="3">
        <v>1.1899999999999999E-7</v>
      </c>
      <c r="F601" s="3">
        <f t="shared" si="20"/>
        <v>-15.944142343834882</v>
      </c>
    </row>
    <row r="602" spans="1:16" x14ac:dyDescent="0.25">
      <c r="A602" s="6">
        <v>44873</v>
      </c>
      <c r="B602">
        <v>365</v>
      </c>
      <c r="C602">
        <v>600</v>
      </c>
      <c r="D602">
        <v>300</v>
      </c>
      <c r="E602" s="3">
        <v>1.42E-5</v>
      </c>
      <c r="F602" s="3">
        <f t="shared" si="20"/>
        <v>-11.162268593357059</v>
      </c>
      <c r="H602" t="s">
        <v>205</v>
      </c>
    </row>
    <row r="603" spans="1:16" x14ac:dyDescent="0.25">
      <c r="D603">
        <v>250</v>
      </c>
      <c r="E603" s="3">
        <v>9.0999999999999993E-6</v>
      </c>
      <c r="F603" s="3">
        <f t="shared" si="20"/>
        <v>-11.607236144441471</v>
      </c>
      <c r="I603" t="s">
        <v>207</v>
      </c>
      <c r="J603" t="s">
        <v>203</v>
      </c>
      <c r="K603" t="s">
        <v>204</v>
      </c>
      <c r="M603" t="s">
        <v>208</v>
      </c>
      <c r="N603" t="s">
        <v>209</v>
      </c>
      <c r="O603" t="s">
        <v>210</v>
      </c>
      <c r="P603" t="s">
        <v>211</v>
      </c>
    </row>
    <row r="604" spans="1:16" x14ac:dyDescent="0.25">
      <c r="D604">
        <v>200</v>
      </c>
      <c r="E604" s="3">
        <v>7.0299999999999996E-6</v>
      </c>
      <c r="F604" s="3">
        <f t="shared" si="20"/>
        <v>-11.865323852141701</v>
      </c>
      <c r="H604" t="s">
        <v>201</v>
      </c>
      <c r="I604" s="3">
        <v>2.8599999999999999E-7</v>
      </c>
      <c r="J604" s="3">
        <v>9.0999999999999997E-7</v>
      </c>
      <c r="K604" s="3">
        <v>5.7000000000000005E-7</v>
      </c>
      <c r="M604" s="3">
        <v>0.25</v>
      </c>
      <c r="N604" s="3">
        <v>14</v>
      </c>
      <c r="O604" s="3">
        <f>M604*N604</f>
        <v>3.5</v>
      </c>
      <c r="P604" s="3">
        <f>(K604+0.000000354)*O604</f>
        <v>3.2340000000000003E-6</v>
      </c>
    </row>
    <row r="605" spans="1:16" x14ac:dyDescent="0.25">
      <c r="D605">
        <v>150</v>
      </c>
      <c r="E605" s="3">
        <v>5.04E-6</v>
      </c>
      <c r="F605" s="3">
        <f t="shared" si="20"/>
        <v>-12.198104475880998</v>
      </c>
      <c r="H605" t="s">
        <v>202</v>
      </c>
      <c r="I605" s="3">
        <v>6.4999999999999996E-6</v>
      </c>
      <c r="J605" s="3">
        <v>9.0999999999999993E-6</v>
      </c>
      <c r="K605" s="3">
        <v>7.6000000000000001E-6</v>
      </c>
    </row>
    <row r="606" spans="1:16" x14ac:dyDescent="0.25">
      <c r="D606">
        <v>100</v>
      </c>
      <c r="E606" s="3">
        <v>3.0699999999999998E-6</v>
      </c>
      <c r="F606" s="3">
        <f t="shared" si="20"/>
        <v>-12.693832996365169</v>
      </c>
      <c r="H606" t="s">
        <v>206</v>
      </c>
      <c r="I606" s="3">
        <f>I605/I604</f>
        <v>22.727272727272727</v>
      </c>
      <c r="J606" s="3">
        <f>J605/J604</f>
        <v>10</v>
      </c>
      <c r="K606" s="3">
        <f>K605/K604</f>
        <v>13.333333333333332</v>
      </c>
    </row>
    <row r="607" spans="1:16" x14ac:dyDescent="0.25">
      <c r="D607">
        <v>50</v>
      </c>
      <c r="E607" s="3">
        <v>1.1200000000000001E-6</v>
      </c>
      <c r="F607" s="3">
        <f t="shared" si="20"/>
        <v>-13.70218187265727</v>
      </c>
      <c r="L607" s="63"/>
      <c r="M607" s="63" t="s">
        <v>216</v>
      </c>
      <c r="N607" s="63"/>
      <c r="O607" s="63"/>
    </row>
    <row r="608" spans="1:16" x14ac:dyDescent="0.25">
      <c r="D608">
        <v>25</v>
      </c>
      <c r="E608" s="3">
        <v>3.53E-7</v>
      </c>
      <c r="F608" s="3">
        <f t="shared" si="20"/>
        <v>-14.856797780013114</v>
      </c>
      <c r="L608" s="63" t="s">
        <v>217</v>
      </c>
      <c r="M608" s="63" t="s">
        <v>38</v>
      </c>
      <c r="N608" s="63" t="s">
        <v>39</v>
      </c>
      <c r="O608" s="63" t="s">
        <v>218</v>
      </c>
    </row>
    <row r="609" spans="1:15" x14ac:dyDescent="0.25">
      <c r="A609" s="6">
        <v>44883</v>
      </c>
      <c r="B609">
        <v>365</v>
      </c>
      <c r="C609">
        <v>600</v>
      </c>
      <c r="D609">
        <v>300</v>
      </c>
      <c r="E609" s="3">
        <v>1.33E-5</v>
      </c>
      <c r="F609" s="3">
        <f t="shared" si="20"/>
        <v>-11.227746522736567</v>
      </c>
      <c r="L609" s="62">
        <v>300</v>
      </c>
      <c r="M609" s="64">
        <v>3.9099999999999999E-8</v>
      </c>
      <c r="N609" s="64">
        <v>-7.9739999999999998E-7</v>
      </c>
      <c r="O609" s="64">
        <f>M609*L609+N609</f>
        <v>1.0932599999999999E-5</v>
      </c>
    </row>
    <row r="610" spans="1:15" x14ac:dyDescent="0.25">
      <c r="D610">
        <v>250</v>
      </c>
      <c r="E610" s="3">
        <v>9.02E-6</v>
      </c>
      <c r="F610" s="3">
        <f t="shared" si="20"/>
        <v>-11.616066223889742</v>
      </c>
    </row>
    <row r="611" spans="1:15" x14ac:dyDescent="0.25">
      <c r="D611">
        <v>200</v>
      </c>
      <c r="E611" s="3">
        <v>7.0099999999999998E-6</v>
      </c>
      <c r="F611" s="3">
        <f t="shared" si="20"/>
        <v>-11.868172856917775</v>
      </c>
    </row>
    <row r="612" spans="1:15" x14ac:dyDescent="0.25">
      <c r="D612">
        <v>150</v>
      </c>
      <c r="E612" s="3">
        <v>5.0499999999999999E-6</v>
      </c>
      <c r="F612" s="3">
        <f t="shared" si="20"/>
        <v>-12.196122314677005</v>
      </c>
    </row>
    <row r="613" spans="1:15" x14ac:dyDescent="0.25">
      <c r="D613">
        <v>100</v>
      </c>
      <c r="E613" s="3">
        <v>3.0900000000000001E-6</v>
      </c>
      <c r="F613" s="3">
        <f t="shared" si="20"/>
        <v>-12.68733946705462</v>
      </c>
    </row>
    <row r="614" spans="1:15" x14ac:dyDescent="0.25">
      <c r="D614">
        <v>75</v>
      </c>
      <c r="E614" s="3">
        <v>2.1100000000000001E-6</v>
      </c>
      <c r="F614" s="3">
        <f t="shared" si="20"/>
        <v>-13.0688226104763</v>
      </c>
    </row>
    <row r="615" spans="1:15" x14ac:dyDescent="0.25">
      <c r="D615">
        <v>50</v>
      </c>
      <c r="E615" s="3">
        <v>1.0750000000000001E-6</v>
      </c>
      <c r="F615" s="3">
        <f t="shared" si="20"/>
        <v>-13.743189896384647</v>
      </c>
    </row>
    <row r="616" spans="1:15" x14ac:dyDescent="0.25">
      <c r="D616">
        <v>25</v>
      </c>
      <c r="E616" s="3">
        <v>2.9900000000000002E-7</v>
      </c>
      <c r="F616" s="3">
        <f t="shared" si="20"/>
        <v>-15.022822263555724</v>
      </c>
    </row>
    <row r="617" spans="1:15" x14ac:dyDescent="0.25">
      <c r="A617" s="6">
        <v>44909</v>
      </c>
      <c r="B617">
        <v>365</v>
      </c>
      <c r="C617">
        <v>600</v>
      </c>
      <c r="D617">
        <v>300</v>
      </c>
      <c r="E617" s="3">
        <v>1.2500000000000001E-5</v>
      </c>
      <c r="F617" s="3">
        <f t="shared" si="20"/>
        <v>-11.289781913656018</v>
      </c>
    </row>
    <row r="618" spans="1:15" x14ac:dyDescent="0.25">
      <c r="D618">
        <v>275</v>
      </c>
      <c r="E618" s="3">
        <v>1.01E-5</v>
      </c>
      <c r="F618" s="3">
        <f t="shared" ref="F618:F653" si="21">LN(E618)</f>
        <v>-11.50297513411706</v>
      </c>
    </row>
    <row r="619" spans="1:15" x14ac:dyDescent="0.25">
      <c r="D619">
        <v>250</v>
      </c>
      <c r="E619" s="3">
        <v>8.4500000000000004E-6</v>
      </c>
      <c r="F619" s="3">
        <f t="shared" si="21"/>
        <v>-11.681344116595191</v>
      </c>
    </row>
    <row r="620" spans="1:15" x14ac:dyDescent="0.25">
      <c r="D620">
        <v>200</v>
      </c>
      <c r="E620" s="3">
        <v>6.4999999999999996E-6</v>
      </c>
      <c r="F620" s="3">
        <f t="shared" si="21"/>
        <v>-11.943708381062683</v>
      </c>
    </row>
    <row r="621" spans="1:15" x14ac:dyDescent="0.25">
      <c r="D621">
        <v>150</v>
      </c>
      <c r="E621" s="3">
        <v>4.6399999999999996E-6</v>
      </c>
      <c r="F621" s="3">
        <f t="shared" si="21"/>
        <v>-12.280796191726111</v>
      </c>
    </row>
    <row r="622" spans="1:15" x14ac:dyDescent="0.25">
      <c r="D622">
        <v>100</v>
      </c>
      <c r="E622" s="3">
        <v>2.841E-6</v>
      </c>
      <c r="F622" s="3">
        <f t="shared" si="21"/>
        <v>-12.771354455092224</v>
      </c>
    </row>
    <row r="623" spans="1:15" x14ac:dyDescent="0.25">
      <c r="D623">
        <v>75</v>
      </c>
      <c r="E623" s="3">
        <v>1.9099999999999999E-6</v>
      </c>
      <c r="F623" s="3">
        <f t="shared" si="21"/>
        <v>-13.168407315905736</v>
      </c>
    </row>
    <row r="624" spans="1:15" ht="16.5" thickBot="1" x14ac:dyDescent="0.3">
      <c r="D624">
        <v>50</v>
      </c>
      <c r="E624" s="3">
        <v>9.64E-7</v>
      </c>
      <c r="F624" s="3">
        <f t="shared" si="21"/>
        <v>-13.852174542335865</v>
      </c>
    </row>
    <row r="625" spans="1:13" ht="16.5" thickBot="1" x14ac:dyDescent="0.3">
      <c r="A625" s="6">
        <v>44931</v>
      </c>
      <c r="B625">
        <v>365</v>
      </c>
      <c r="C625">
        <v>600</v>
      </c>
      <c r="D625" s="76">
        <v>300</v>
      </c>
      <c r="E625" s="77">
        <v>1.2300000000000001E-5</v>
      </c>
      <c r="F625" s="3">
        <f t="shared" si="21"/>
        <v>-11.305911295585902</v>
      </c>
    </row>
    <row r="626" spans="1:13" ht="16.5" thickBot="1" x14ac:dyDescent="0.3">
      <c r="D626" s="76">
        <v>275</v>
      </c>
      <c r="E626" s="77">
        <v>9.9399999999999997E-6</v>
      </c>
      <c r="F626" s="3">
        <f t="shared" si="21"/>
        <v>-11.518943537295792</v>
      </c>
    </row>
    <row r="627" spans="1:13" ht="16.5" thickBot="1" x14ac:dyDescent="0.3">
      <c r="D627" s="76">
        <v>250</v>
      </c>
      <c r="E627" s="77">
        <v>8.2300000000000008E-6</v>
      </c>
      <c r="F627" s="3">
        <f t="shared" si="21"/>
        <v>-11.707724543275296</v>
      </c>
    </row>
    <row r="628" spans="1:13" ht="16.5" thickBot="1" x14ac:dyDescent="0.3">
      <c r="D628" s="76">
        <v>200</v>
      </c>
      <c r="E628" s="77">
        <v>6.3300000000000004E-6</v>
      </c>
      <c r="F628" s="3">
        <f t="shared" si="21"/>
        <v>-11.970210321808189</v>
      </c>
    </row>
    <row r="629" spans="1:13" ht="16.5" thickBot="1" x14ac:dyDescent="0.3">
      <c r="D629" s="76">
        <v>150</v>
      </c>
      <c r="E629" s="77">
        <v>4.5399999999999997E-6</v>
      </c>
      <c r="F629" s="3">
        <f t="shared" si="21"/>
        <v>-12.302583545911018</v>
      </c>
    </row>
    <row r="630" spans="1:13" ht="16.5" thickBot="1" x14ac:dyDescent="0.3">
      <c r="D630" s="76">
        <v>100</v>
      </c>
      <c r="E630" s="77">
        <v>2.7700000000000002E-6</v>
      </c>
      <c r="F630" s="3">
        <f t="shared" si="21"/>
        <v>-12.796663237765028</v>
      </c>
    </row>
    <row r="631" spans="1:13" ht="16.5" thickBot="1" x14ac:dyDescent="0.3">
      <c r="D631" s="76">
        <v>75</v>
      </c>
      <c r="E631" s="77">
        <v>1.86E-6</v>
      </c>
      <c r="F631" s="3">
        <f t="shared" si="21"/>
        <v>-13.194934070239164</v>
      </c>
    </row>
    <row r="632" spans="1:13" ht="16.5" thickBot="1" x14ac:dyDescent="0.3">
      <c r="D632" s="76">
        <v>50</v>
      </c>
      <c r="E632" s="77">
        <v>9.540000000000001E-7</v>
      </c>
      <c r="F632" s="3">
        <f t="shared" si="21"/>
        <v>-13.862602165498124</v>
      </c>
    </row>
    <row r="633" spans="1:13" ht="16.5" thickBot="1" x14ac:dyDescent="0.3">
      <c r="A633" s="6">
        <v>44938</v>
      </c>
      <c r="B633">
        <v>365</v>
      </c>
      <c r="C633">
        <v>600</v>
      </c>
      <c r="D633" s="76">
        <v>300</v>
      </c>
      <c r="E633" s="3">
        <v>1.26E-5</v>
      </c>
      <c r="F633" s="3">
        <f t="shared" si="21"/>
        <v>-11.281813744006842</v>
      </c>
    </row>
    <row r="634" spans="1:13" ht="16.5" thickBot="1" x14ac:dyDescent="0.3">
      <c r="D634" s="76">
        <v>250</v>
      </c>
      <c r="E634" s="3">
        <v>8.5299999999999996E-6</v>
      </c>
      <c r="F634" s="82">
        <f t="shared" si="21"/>
        <v>-11.671921196460687</v>
      </c>
    </row>
    <row r="635" spans="1:13" ht="16.5" thickBot="1" x14ac:dyDescent="0.3">
      <c r="D635" s="76">
        <v>200</v>
      </c>
      <c r="E635" s="3">
        <v>6.63E-6</v>
      </c>
      <c r="F635" s="82">
        <f t="shared" si="21"/>
        <v>-11.923905753766503</v>
      </c>
    </row>
    <row r="636" spans="1:13" ht="16.5" thickBot="1" x14ac:dyDescent="0.3">
      <c r="D636" s="76">
        <v>150</v>
      </c>
      <c r="E636" s="3">
        <v>4.7500000000000003E-6</v>
      </c>
      <c r="F636" s="82">
        <f t="shared" si="21"/>
        <v>-12.257365939917724</v>
      </c>
      <c r="M636">
        <v>225</v>
      </c>
    </row>
    <row r="637" spans="1:13" ht="16.5" thickBot="1" x14ac:dyDescent="0.3">
      <c r="D637" s="76">
        <v>100</v>
      </c>
      <c r="E637" s="3">
        <v>2.9299999999999999E-6</v>
      </c>
      <c r="F637" s="82">
        <f t="shared" si="21"/>
        <v>-12.740508134935299</v>
      </c>
      <c r="I637" s="3">
        <v>3.3219999999999999E-13</v>
      </c>
      <c r="J637" s="3">
        <v>-7.1809999999999996E-11</v>
      </c>
      <c r="K637" s="3">
        <v>3.4569999999999998E-8</v>
      </c>
      <c r="L637" s="3">
        <v>-6.8929999999999996E-8</v>
      </c>
      <c r="M637" s="3">
        <f>I637*M636^3+J637*M636^2+K637*M636+L637</f>
        <v>7.8579043749999992E-6</v>
      </c>
    </row>
    <row r="638" spans="1:13" ht="16.5" thickBot="1" x14ac:dyDescent="0.3">
      <c r="D638" s="76">
        <v>50</v>
      </c>
      <c r="E638" s="3">
        <v>9.9199999999999999E-7</v>
      </c>
      <c r="F638" s="82">
        <f t="shared" si="21"/>
        <v>-13.823542729661538</v>
      </c>
    </row>
    <row r="639" spans="1:13" ht="16.5" thickBot="1" x14ac:dyDescent="0.3">
      <c r="D639" s="76">
        <v>0</v>
      </c>
      <c r="E639" s="3">
        <v>1.17E-7</v>
      </c>
      <c r="F639" s="82">
        <f t="shared" si="21"/>
        <v>-15.961091902148654</v>
      </c>
    </row>
    <row r="640" spans="1:13" ht="16.5" thickBot="1" x14ac:dyDescent="0.3">
      <c r="A640" s="6">
        <v>44938</v>
      </c>
      <c r="B640">
        <v>365</v>
      </c>
      <c r="C640">
        <v>600</v>
      </c>
      <c r="D640" s="76">
        <v>300</v>
      </c>
      <c r="E640" s="3">
        <v>1.27E-5</v>
      </c>
      <c r="F640" s="82">
        <f t="shared" si="21"/>
        <v>-11.273908564499729</v>
      </c>
    </row>
    <row r="641" spans="1:6" ht="16.5" thickBot="1" x14ac:dyDescent="0.3">
      <c r="D641" s="76">
        <v>250</v>
      </c>
      <c r="E641" s="3">
        <v>8.5900000000000008E-6</v>
      </c>
      <c r="F641" s="82">
        <f t="shared" si="21"/>
        <v>-11.66491182196811</v>
      </c>
    </row>
    <row r="642" spans="1:6" ht="16.5" thickBot="1" x14ac:dyDescent="0.3">
      <c r="D642" s="76">
        <v>200</v>
      </c>
      <c r="E642" s="3">
        <v>6.6200000000000001E-6</v>
      </c>
      <c r="F642" s="82">
        <f t="shared" si="21"/>
        <v>-11.925415188015357</v>
      </c>
    </row>
    <row r="643" spans="1:6" ht="16.5" thickBot="1" x14ac:dyDescent="0.3">
      <c r="D643" s="76">
        <v>150</v>
      </c>
      <c r="E643" s="3">
        <v>4.7600000000000002E-6</v>
      </c>
      <c r="F643" s="82">
        <f t="shared" si="21"/>
        <v>-12.255262889720946</v>
      </c>
    </row>
    <row r="644" spans="1:6" ht="16.5" thickBot="1" x14ac:dyDescent="0.3">
      <c r="D644" s="76">
        <v>100</v>
      </c>
      <c r="E644" s="3">
        <v>2.9399999999999998E-6</v>
      </c>
      <c r="F644" s="82">
        <f t="shared" si="21"/>
        <v>-12.737100976613684</v>
      </c>
    </row>
    <row r="645" spans="1:6" ht="16.5" thickBot="1" x14ac:dyDescent="0.3">
      <c r="D645" s="76">
        <v>50</v>
      </c>
      <c r="E645" s="3">
        <v>9.9999999999999995E-7</v>
      </c>
      <c r="F645" s="82">
        <f t="shared" si="21"/>
        <v>-13.815510557964274</v>
      </c>
    </row>
    <row r="646" spans="1:6" ht="16.5" thickBot="1" x14ac:dyDescent="0.3">
      <c r="D646" s="76">
        <v>0</v>
      </c>
      <c r="E646" s="3">
        <v>1.0700000000000001E-7</v>
      </c>
      <c r="F646" s="82">
        <f t="shared" si="21"/>
        <v>-16.050437002484504</v>
      </c>
    </row>
    <row r="647" spans="1:6" ht="16.5" thickBot="1" x14ac:dyDescent="0.3">
      <c r="A647" s="6">
        <v>44959</v>
      </c>
      <c r="B647">
        <v>365</v>
      </c>
      <c r="C647">
        <v>600</v>
      </c>
      <c r="D647" s="76">
        <v>300</v>
      </c>
      <c r="E647" s="3">
        <v>1.24E-5</v>
      </c>
      <c r="F647" s="82">
        <f t="shared" si="21"/>
        <v>-11.297814085353282</v>
      </c>
    </row>
    <row r="648" spans="1:6" ht="16.5" thickBot="1" x14ac:dyDescent="0.3">
      <c r="D648" s="76">
        <v>250</v>
      </c>
      <c r="E648" s="3">
        <v>8.3999999999999992E-6</v>
      </c>
      <c r="F648" s="82">
        <f t="shared" si="21"/>
        <v>-11.687278852115007</v>
      </c>
    </row>
    <row r="649" spans="1:6" ht="16.5" thickBot="1" x14ac:dyDescent="0.3">
      <c r="D649" s="76">
        <v>200</v>
      </c>
      <c r="E649" s="3">
        <v>6.4999999999999996E-6</v>
      </c>
      <c r="F649" s="82">
        <f t="shared" si="21"/>
        <v>-11.943708381062683</v>
      </c>
    </row>
    <row r="650" spans="1:6" ht="16.5" thickBot="1" x14ac:dyDescent="0.3">
      <c r="D650" s="76">
        <v>150</v>
      </c>
      <c r="E650" s="3">
        <v>4.6800000000000001E-6</v>
      </c>
      <c r="F650" s="82">
        <f t="shared" si="21"/>
        <v>-12.272212448034718</v>
      </c>
    </row>
    <row r="651" spans="1:6" ht="16.5" thickBot="1" x14ac:dyDescent="0.3">
      <c r="D651" s="76">
        <v>100</v>
      </c>
      <c r="E651" s="3">
        <v>2.9500000000000001E-6</v>
      </c>
      <c r="F651" s="82">
        <f t="shared" si="21"/>
        <v>-12.733705387612545</v>
      </c>
    </row>
    <row r="652" spans="1:6" ht="16.5" thickBot="1" x14ac:dyDescent="0.3">
      <c r="D652" s="76">
        <v>50</v>
      </c>
      <c r="E652" s="3">
        <v>1.02E-6</v>
      </c>
      <c r="F652" s="82">
        <f t="shared" si="21"/>
        <v>-13.795707930668094</v>
      </c>
    </row>
    <row r="653" spans="1:6" ht="16.5" thickBot="1" x14ac:dyDescent="0.3">
      <c r="D653" s="76">
        <v>0</v>
      </c>
      <c r="E653" s="3">
        <v>1.05E-7</v>
      </c>
      <c r="F653" s="82">
        <f t="shared" si="21"/>
        <v>-16.069305486788888</v>
      </c>
    </row>
    <row r="654" spans="1:6" ht="16.5" thickBot="1" x14ac:dyDescent="0.3">
      <c r="A654" s="6">
        <v>44978</v>
      </c>
      <c r="B654">
        <v>365</v>
      </c>
      <c r="C654">
        <v>600</v>
      </c>
      <c r="D654" s="76">
        <v>300</v>
      </c>
      <c r="E654" s="3">
        <v>1.2999999999999999E-5</v>
      </c>
      <c r="F654" s="82">
        <f t="shared" ref="F654:F688" si="22">LN(E654)</f>
        <v>-11.250561200502737</v>
      </c>
    </row>
    <row r="655" spans="1:6" ht="16.5" thickBot="1" x14ac:dyDescent="0.3">
      <c r="D655" s="76">
        <v>250</v>
      </c>
      <c r="E655" s="3">
        <v>8.8100000000000004E-6</v>
      </c>
      <c r="F655" s="82">
        <f t="shared" si="22"/>
        <v>-11.639623118016186</v>
      </c>
    </row>
    <row r="656" spans="1:6" ht="16.5" thickBot="1" x14ac:dyDescent="0.3">
      <c r="D656" s="76">
        <v>200</v>
      </c>
      <c r="E656" s="3">
        <v>6.7800000000000003E-6</v>
      </c>
      <c r="F656" s="82">
        <f t="shared" si="22"/>
        <v>-11.90153345601197</v>
      </c>
    </row>
    <row r="657" spans="1:8" ht="16.5" thickBot="1" x14ac:dyDescent="0.3">
      <c r="D657" s="76">
        <v>150</v>
      </c>
      <c r="E657" s="3">
        <v>4.8899999999999998E-6</v>
      </c>
      <c r="F657" s="82">
        <f t="shared" si="22"/>
        <v>-12.228318254477493</v>
      </c>
    </row>
    <row r="658" spans="1:8" ht="16.5" thickBot="1" x14ac:dyDescent="0.3">
      <c r="D658" s="76">
        <v>100</v>
      </c>
      <c r="E658" s="3">
        <v>3.1200000000000002E-6</v>
      </c>
      <c r="F658" s="82">
        <f t="shared" si="22"/>
        <v>-12.677677556142884</v>
      </c>
    </row>
    <row r="659" spans="1:8" ht="16.5" thickBot="1" x14ac:dyDescent="0.3">
      <c r="D659" s="76">
        <v>50</v>
      </c>
      <c r="E659" s="3">
        <v>1.08E-6</v>
      </c>
      <c r="F659" s="82">
        <f t="shared" si="22"/>
        <v>-13.738549516828146</v>
      </c>
    </row>
    <row r="660" spans="1:8" ht="16.5" thickBot="1" x14ac:dyDescent="0.3">
      <c r="D660" s="76">
        <v>0</v>
      </c>
      <c r="E660" s="3">
        <v>1.15E-7</v>
      </c>
      <c r="F660" s="82">
        <f t="shared" si="22"/>
        <v>-15.978333708583161</v>
      </c>
    </row>
    <row r="661" spans="1:8" ht="16.5" thickBot="1" x14ac:dyDescent="0.3">
      <c r="A661" s="6">
        <v>44986</v>
      </c>
      <c r="B661">
        <v>365</v>
      </c>
      <c r="C661">
        <v>600</v>
      </c>
      <c r="D661" s="76">
        <v>300</v>
      </c>
      <c r="E661" s="3">
        <v>8.4999999999999999E-6</v>
      </c>
      <c r="F661" s="82">
        <f t="shared" si="22"/>
        <v>-11.675444394468004</v>
      </c>
      <c r="H661" t="s">
        <v>237</v>
      </c>
    </row>
    <row r="662" spans="1:8" ht="16.5" thickBot="1" x14ac:dyDescent="0.3">
      <c r="D662" s="76">
        <v>250</v>
      </c>
      <c r="E662" s="3">
        <v>5.6300000000000003E-6</v>
      </c>
      <c r="F662" s="82">
        <f t="shared" si="22"/>
        <v>-12.087401115812675</v>
      </c>
    </row>
    <row r="663" spans="1:8" ht="16.5" thickBot="1" x14ac:dyDescent="0.3">
      <c r="D663" s="76">
        <v>200</v>
      </c>
      <c r="E663" s="3">
        <v>4.2799999999999997E-6</v>
      </c>
      <c r="F663" s="82">
        <f t="shared" si="22"/>
        <v>-12.361557548370568</v>
      </c>
    </row>
    <row r="664" spans="1:8" ht="16.5" thickBot="1" x14ac:dyDescent="0.3">
      <c r="D664" s="76">
        <v>150</v>
      </c>
      <c r="E664" s="3">
        <v>3.0400000000000001E-6</v>
      </c>
      <c r="F664" s="82">
        <f t="shared" si="22"/>
        <v>-12.703653042546144</v>
      </c>
    </row>
    <row r="665" spans="1:8" ht="16.5" thickBot="1" x14ac:dyDescent="0.3">
      <c r="D665" s="76">
        <v>100</v>
      </c>
      <c r="E665" s="3">
        <v>1.8199999999999999E-6</v>
      </c>
      <c r="F665" s="82">
        <f t="shared" si="22"/>
        <v>-13.21667405687557</v>
      </c>
    </row>
    <row r="666" spans="1:8" ht="16.5" thickBot="1" x14ac:dyDescent="0.3">
      <c r="D666" s="76">
        <v>50</v>
      </c>
      <c r="E666" s="3">
        <v>6.1500000000000004E-7</v>
      </c>
      <c r="F666" s="82">
        <f t="shared" si="22"/>
        <v>-14.301643569139893</v>
      </c>
    </row>
    <row r="667" spans="1:8" ht="16.5" thickBot="1" x14ac:dyDescent="0.3">
      <c r="D667" s="76">
        <v>0</v>
      </c>
      <c r="E667" s="3">
        <v>5.9999999999999995E-8</v>
      </c>
      <c r="F667" s="82">
        <f t="shared" si="22"/>
        <v>-16.628921274724309</v>
      </c>
    </row>
    <row r="668" spans="1:8" ht="16.5" thickBot="1" x14ac:dyDescent="0.3">
      <c r="A668" s="6">
        <v>44991</v>
      </c>
      <c r="B668">
        <v>365</v>
      </c>
      <c r="C668">
        <v>600</v>
      </c>
      <c r="D668" s="76">
        <v>300</v>
      </c>
      <c r="E668" s="3">
        <v>8.8999999999999995E-6</v>
      </c>
      <c r="F668" s="82">
        <f t="shared" si="22"/>
        <v>-11.629459281226181</v>
      </c>
    </row>
    <row r="669" spans="1:8" ht="16.5" thickBot="1" x14ac:dyDescent="0.3">
      <c r="D669" s="76">
        <v>250</v>
      </c>
      <c r="E669" s="3">
        <v>5.9100000000000002E-6</v>
      </c>
      <c r="F669" s="82">
        <f t="shared" si="22"/>
        <v>-12.038864726546267</v>
      </c>
    </row>
    <row r="670" spans="1:8" ht="16.5" thickBot="1" x14ac:dyDescent="0.3">
      <c r="D670" s="76">
        <v>200</v>
      </c>
      <c r="E670" s="3">
        <v>4.5399999999999997E-6</v>
      </c>
      <c r="F670" s="82">
        <f t="shared" si="22"/>
        <v>-12.302583545911018</v>
      </c>
    </row>
    <row r="671" spans="1:8" ht="16.5" thickBot="1" x14ac:dyDescent="0.3">
      <c r="D671" s="76">
        <v>150</v>
      </c>
      <c r="E671" s="3">
        <v>3.2200000000000001E-6</v>
      </c>
      <c r="F671" s="82">
        <f t="shared" si="22"/>
        <v>-12.646129198407957</v>
      </c>
    </row>
    <row r="672" spans="1:8" ht="16.5" thickBot="1" x14ac:dyDescent="0.3">
      <c r="D672" s="76">
        <v>100</v>
      </c>
      <c r="E672" s="3">
        <v>1.9300000000000002E-6</v>
      </c>
      <c r="F672" s="82">
        <f t="shared" si="22"/>
        <v>-13.15799055504748</v>
      </c>
    </row>
    <row r="673" spans="1:12" ht="16.5" thickBot="1" x14ac:dyDescent="0.3">
      <c r="D673" s="76">
        <v>50</v>
      </c>
      <c r="E673" s="3">
        <v>6.4899999999999995E-7</v>
      </c>
      <c r="F673" s="82">
        <f t="shared" si="22"/>
        <v>-14.247833120242321</v>
      </c>
    </row>
    <row r="674" spans="1:12" ht="16.5" thickBot="1" x14ac:dyDescent="0.3">
      <c r="D674" s="76">
        <v>0</v>
      </c>
      <c r="E674" s="3">
        <v>6.2499999999999997E-8</v>
      </c>
      <c r="F674" s="82">
        <f t="shared" si="22"/>
        <v>-16.588099280204055</v>
      </c>
    </row>
    <row r="675" spans="1:12" ht="16.5" thickBot="1" x14ac:dyDescent="0.3">
      <c r="A675" s="6">
        <v>45000</v>
      </c>
      <c r="B675">
        <v>365</v>
      </c>
      <c r="C675">
        <v>600</v>
      </c>
      <c r="D675" s="76">
        <v>300</v>
      </c>
      <c r="E675" s="3">
        <v>8.9299999999999992E-6</v>
      </c>
      <c r="F675" s="82">
        <f t="shared" si="22"/>
        <v>-11.626094163075866</v>
      </c>
    </row>
    <row r="676" spans="1:12" ht="16.5" thickBot="1" x14ac:dyDescent="0.3">
      <c r="D676" s="76">
        <v>250</v>
      </c>
      <c r="E676" s="3">
        <v>5.9000000000000003E-6</v>
      </c>
      <c r="F676" s="82">
        <f t="shared" si="22"/>
        <v>-12.0405582070526</v>
      </c>
    </row>
    <row r="677" spans="1:12" ht="16.5" thickBot="1" x14ac:dyDescent="0.3">
      <c r="D677" s="76">
        <v>200</v>
      </c>
      <c r="E677" s="3">
        <v>4.51E-6</v>
      </c>
      <c r="F677" s="82">
        <f t="shared" si="22"/>
        <v>-12.309213404449688</v>
      </c>
    </row>
    <row r="678" spans="1:12" ht="16.5" thickBot="1" x14ac:dyDescent="0.3">
      <c r="D678" s="76">
        <v>150</v>
      </c>
      <c r="E678" s="3">
        <v>3.1999999999999999E-6</v>
      </c>
      <c r="F678" s="82">
        <f t="shared" si="22"/>
        <v>-12.652359748158593</v>
      </c>
    </row>
    <row r="679" spans="1:12" ht="16.5" thickBot="1" x14ac:dyDescent="0.3">
      <c r="D679" s="76">
        <v>100</v>
      </c>
      <c r="E679" s="3">
        <v>1.9099999999999999E-6</v>
      </c>
      <c r="F679" s="82">
        <f t="shared" si="22"/>
        <v>-13.168407315905736</v>
      </c>
    </row>
    <row r="680" spans="1:12" ht="16.5" thickBot="1" x14ac:dyDescent="0.3">
      <c r="D680" s="76">
        <v>50</v>
      </c>
      <c r="E680" s="3">
        <v>6.5000000000000002E-7</v>
      </c>
      <c r="F680" s="82">
        <f t="shared" si="22"/>
        <v>-14.246293474056728</v>
      </c>
    </row>
    <row r="681" spans="1:12" ht="16.5" thickBot="1" x14ac:dyDescent="0.3">
      <c r="D681" s="76">
        <v>0</v>
      </c>
      <c r="E681" s="3">
        <v>7.5100000000000004E-8</v>
      </c>
      <c r="F681" s="82">
        <f t="shared" si="22"/>
        <v>-16.404445278176322</v>
      </c>
    </row>
    <row r="682" spans="1:12" ht="16.5" thickBot="1" x14ac:dyDescent="0.3">
      <c r="A682" s="6">
        <v>45000</v>
      </c>
      <c r="B682">
        <v>365</v>
      </c>
      <c r="C682">
        <v>600</v>
      </c>
      <c r="D682" s="76">
        <v>300</v>
      </c>
      <c r="E682" s="3">
        <v>8.8999999999999995E-6</v>
      </c>
      <c r="F682" s="82">
        <f t="shared" si="22"/>
        <v>-11.629459281226181</v>
      </c>
    </row>
    <row r="683" spans="1:12" ht="16.5" thickBot="1" x14ac:dyDescent="0.3">
      <c r="D683" s="76">
        <v>250</v>
      </c>
      <c r="E683" s="3">
        <v>5.9000000000000003E-6</v>
      </c>
      <c r="F683" s="82">
        <f t="shared" si="22"/>
        <v>-12.0405582070526</v>
      </c>
    </row>
    <row r="684" spans="1:12" ht="16.5" thickBot="1" x14ac:dyDescent="0.3">
      <c r="D684" s="76">
        <v>200</v>
      </c>
      <c r="E684" s="3">
        <v>4.51E-6</v>
      </c>
      <c r="F684" s="82">
        <f t="shared" si="22"/>
        <v>-12.309213404449688</v>
      </c>
    </row>
    <row r="685" spans="1:12" ht="16.5" thickBot="1" x14ac:dyDescent="0.3">
      <c r="D685" s="76">
        <v>150</v>
      </c>
      <c r="E685" s="3">
        <v>3.2100000000000002E-6</v>
      </c>
      <c r="F685" s="82">
        <f t="shared" si="22"/>
        <v>-12.64923962082235</v>
      </c>
    </row>
    <row r="686" spans="1:12" ht="16.5" thickBot="1" x14ac:dyDescent="0.3">
      <c r="D686" s="76">
        <v>100</v>
      </c>
      <c r="E686" s="3">
        <v>1.95E-6</v>
      </c>
      <c r="F686" s="82">
        <f t="shared" si="22"/>
        <v>-13.147681185388619</v>
      </c>
    </row>
    <row r="687" spans="1:12" ht="16.5" thickBot="1" x14ac:dyDescent="0.3">
      <c r="D687" s="76">
        <v>50</v>
      </c>
      <c r="E687" s="3">
        <v>6.5499999999999998E-7</v>
      </c>
      <c r="F687" s="82">
        <f t="shared" si="22"/>
        <v>-14.23863060131116</v>
      </c>
      <c r="L687">
        <v>237</v>
      </c>
    </row>
    <row r="688" spans="1:12" ht="16.5" thickBot="1" x14ac:dyDescent="0.3">
      <c r="D688" s="76">
        <v>0</v>
      </c>
      <c r="E688" s="3">
        <v>7.5100000000000004E-8</v>
      </c>
      <c r="F688" s="82">
        <f t="shared" si="22"/>
        <v>-16.404445278176322</v>
      </c>
      <c r="H688" s="3">
        <v>2.2659999999999999E-13</v>
      </c>
      <c r="I688" s="3">
        <v>-4.1730000000000001E-11</v>
      </c>
      <c r="J688" s="3">
        <v>2.1480000000000001E-8</v>
      </c>
      <c r="K688" s="3">
        <v>-5.1450000000000001E-8</v>
      </c>
      <c r="L688" s="3">
        <f>H688*L687^3+I688*L687^2+J688*L687+K688</f>
        <v>5.7118888397999999E-6</v>
      </c>
    </row>
    <row r="689" spans="1:8" ht="16.5" thickBot="1" x14ac:dyDescent="0.3">
      <c r="A689" s="49" t="s">
        <v>245</v>
      </c>
      <c r="B689" s="49"/>
      <c r="C689" s="49"/>
      <c r="D689" s="49"/>
      <c r="E689" s="49"/>
      <c r="F689" s="49"/>
      <c r="G689" s="49"/>
      <c r="H689" s="49" t="s">
        <v>246</v>
      </c>
    </row>
    <row r="690" spans="1:8" ht="16.5" thickBot="1" x14ac:dyDescent="0.3">
      <c r="A690" s="6">
        <v>45049</v>
      </c>
      <c r="B690">
        <v>365</v>
      </c>
      <c r="C690">
        <v>600</v>
      </c>
      <c r="D690" s="90">
        <v>300</v>
      </c>
      <c r="E690" s="91">
        <v>1.2E-5</v>
      </c>
      <c r="F690" s="82">
        <f>LN(E690)</f>
        <v>-11.330603908176274</v>
      </c>
    </row>
    <row r="691" spans="1:8" ht="16.5" thickBot="1" x14ac:dyDescent="0.3">
      <c r="D691" s="90">
        <v>250</v>
      </c>
      <c r="E691" s="91">
        <v>7.9699999999999999E-6</v>
      </c>
      <c r="F691" s="82">
        <f t="shared" ref="F691:F709" si="23">LN(E691)</f>
        <v>-11.73982606516215</v>
      </c>
    </row>
    <row r="692" spans="1:8" ht="16.5" thickBot="1" x14ac:dyDescent="0.3">
      <c r="D692" s="90">
        <v>200</v>
      </c>
      <c r="E692" s="91">
        <v>6.1600000000000003E-6</v>
      </c>
      <c r="F692" s="82">
        <f t="shared" si="23"/>
        <v>-11.997433780418845</v>
      </c>
    </row>
    <row r="693" spans="1:8" ht="16.5" thickBot="1" x14ac:dyDescent="0.3">
      <c r="D693" s="90">
        <v>150</v>
      </c>
      <c r="E693" s="91">
        <v>4.33E-6</v>
      </c>
      <c r="F693" s="82">
        <f t="shared" si="23"/>
        <v>-12.349943015949876</v>
      </c>
    </row>
    <row r="694" spans="1:8" ht="16.5" thickBot="1" x14ac:dyDescent="0.3">
      <c r="D694" s="90">
        <v>100</v>
      </c>
      <c r="E694" s="91">
        <v>2.6199999999999999E-6</v>
      </c>
      <c r="F694" s="82">
        <f t="shared" si="23"/>
        <v>-12.852336240191269</v>
      </c>
    </row>
    <row r="695" spans="1:8" ht="16.5" thickBot="1" x14ac:dyDescent="0.3">
      <c r="D695" s="90">
        <v>50</v>
      </c>
      <c r="E695" s="91">
        <v>8.7400000000000002E-7</v>
      </c>
      <c r="F695" s="82">
        <f t="shared" si="23"/>
        <v>-13.950185461290875</v>
      </c>
    </row>
    <row r="696" spans="1:8" ht="16.5" thickBot="1" x14ac:dyDescent="0.3">
      <c r="A696" s="6">
        <v>45069</v>
      </c>
      <c r="B696">
        <v>365</v>
      </c>
      <c r="C696">
        <v>600</v>
      </c>
      <c r="D696" s="90">
        <v>300</v>
      </c>
      <c r="E696" s="3">
        <v>1.47E-5</v>
      </c>
      <c r="F696" s="82">
        <f t="shared" si="23"/>
        <v>-11.127663064179583</v>
      </c>
    </row>
    <row r="697" spans="1:8" ht="16.5" thickBot="1" x14ac:dyDescent="0.3">
      <c r="D697" s="90">
        <v>250</v>
      </c>
      <c r="E697" s="3">
        <v>9.8099999999999992E-6</v>
      </c>
      <c r="F697" s="82">
        <f t="shared" si="23"/>
        <v>-11.532108284387002</v>
      </c>
    </row>
    <row r="698" spans="1:8" ht="16.5" thickBot="1" x14ac:dyDescent="0.3">
      <c r="D698" s="90">
        <v>200</v>
      </c>
      <c r="E698" s="3">
        <v>7.5000000000000002E-6</v>
      </c>
      <c r="F698" s="82">
        <f t="shared" si="23"/>
        <v>-11.800607537422009</v>
      </c>
    </row>
    <row r="699" spans="1:8" ht="16.5" thickBot="1" x14ac:dyDescent="0.3">
      <c r="D699" s="90">
        <v>150</v>
      </c>
      <c r="E699" s="3">
        <v>5.3399999999999997E-6</v>
      </c>
      <c r="F699" s="82">
        <f t="shared" si="23"/>
        <v>-12.140284904992171</v>
      </c>
    </row>
    <row r="700" spans="1:8" ht="16.5" thickBot="1" x14ac:dyDescent="0.3">
      <c r="D700" s="90">
        <v>100</v>
      </c>
      <c r="E700" s="3">
        <v>3.1700000000000001E-6</v>
      </c>
      <c r="F700" s="82">
        <f t="shared" si="23"/>
        <v>-12.661778970075085</v>
      </c>
    </row>
    <row r="701" spans="1:8" ht="16.5" thickBot="1" x14ac:dyDescent="0.3">
      <c r="D701" s="90">
        <v>50</v>
      </c>
      <c r="E701" s="3">
        <v>1.06E-6</v>
      </c>
      <c r="F701" s="82">
        <f t="shared" si="23"/>
        <v>-13.757241649840298</v>
      </c>
    </row>
    <row r="702" spans="1:8" ht="16.5" thickBot="1" x14ac:dyDescent="0.3">
      <c r="D702" s="92">
        <v>0</v>
      </c>
      <c r="E702" s="3">
        <v>1.17E-7</v>
      </c>
      <c r="F702" s="82">
        <f t="shared" si="23"/>
        <v>-15.961091902148654</v>
      </c>
    </row>
    <row r="703" spans="1:8" ht="16.5" thickBot="1" x14ac:dyDescent="0.3">
      <c r="A703" s="6">
        <v>45089</v>
      </c>
      <c r="B703">
        <v>365</v>
      </c>
      <c r="C703">
        <v>600</v>
      </c>
      <c r="D703" s="90">
        <v>300</v>
      </c>
      <c r="E703" s="3">
        <v>1.3699999999999999E-5</v>
      </c>
      <c r="F703" s="82">
        <f t="shared" si="23"/>
        <v>-11.198114725130194</v>
      </c>
    </row>
    <row r="704" spans="1:8" ht="16.5" thickBot="1" x14ac:dyDescent="0.3">
      <c r="D704" s="90">
        <v>250</v>
      </c>
      <c r="E704" s="3">
        <v>9.1600000000000004E-6</v>
      </c>
      <c r="F704" s="82">
        <f t="shared" si="23"/>
        <v>-11.600664379278236</v>
      </c>
    </row>
    <row r="705" spans="1:12" ht="16.5" thickBot="1" x14ac:dyDescent="0.3">
      <c r="D705" s="90">
        <v>200</v>
      </c>
      <c r="E705" s="3">
        <v>7.0500000000000003E-6</v>
      </c>
      <c r="F705" s="82">
        <f t="shared" si="23"/>
        <v>-11.862482941140097</v>
      </c>
    </row>
    <row r="706" spans="1:12" ht="16.5" thickBot="1" x14ac:dyDescent="0.3">
      <c r="D706" s="90">
        <v>150</v>
      </c>
      <c r="E706" s="3">
        <v>4.9400000000000001E-6</v>
      </c>
      <c r="F706" s="82">
        <f t="shared" si="23"/>
        <v>-12.218145226764443</v>
      </c>
    </row>
    <row r="707" spans="1:12" ht="16.5" thickBot="1" x14ac:dyDescent="0.3">
      <c r="D707" s="90">
        <v>100</v>
      </c>
      <c r="E707" s="3">
        <v>2.9900000000000002E-6</v>
      </c>
      <c r="F707" s="82">
        <f t="shared" si="23"/>
        <v>-12.720237170561679</v>
      </c>
    </row>
    <row r="708" spans="1:12" ht="16.5" thickBot="1" x14ac:dyDescent="0.3">
      <c r="D708" s="90">
        <v>50</v>
      </c>
      <c r="E708" s="3">
        <v>1.02E-6</v>
      </c>
      <c r="F708" s="82">
        <f t="shared" si="23"/>
        <v>-13.795707930668094</v>
      </c>
    </row>
    <row r="709" spans="1:12" ht="16.5" thickBot="1" x14ac:dyDescent="0.3">
      <c r="D709" s="92">
        <v>0</v>
      </c>
      <c r="E709" s="3">
        <v>1.17E-7</v>
      </c>
      <c r="F709" s="82">
        <f t="shared" si="23"/>
        <v>-15.961091902148654</v>
      </c>
    </row>
    <row r="710" spans="1:12" ht="16.5" thickBot="1" x14ac:dyDescent="0.3">
      <c r="A710" s="6">
        <v>45090</v>
      </c>
      <c r="B710">
        <v>365</v>
      </c>
      <c r="C710" s="95">
        <v>900</v>
      </c>
      <c r="D710" s="90">
        <v>300</v>
      </c>
      <c r="E710" s="3">
        <v>6.5200000000000003E-6</v>
      </c>
    </row>
    <row r="711" spans="1:12" ht="16.5" thickBot="1" x14ac:dyDescent="0.3">
      <c r="D711" s="90">
        <v>250</v>
      </c>
      <c r="E711" s="3">
        <v>4.2599999999999999E-6</v>
      </c>
    </row>
    <row r="712" spans="1:12" ht="16.5" thickBot="1" x14ac:dyDescent="0.3">
      <c r="D712" s="90">
        <v>200</v>
      </c>
      <c r="E712" s="3">
        <v>3.2600000000000001E-6</v>
      </c>
    </row>
    <row r="713" spans="1:12" ht="16.5" thickBot="1" x14ac:dyDescent="0.3">
      <c r="D713" s="90">
        <v>150</v>
      </c>
      <c r="E713" s="3">
        <v>2.3300000000000001E-6</v>
      </c>
    </row>
    <row r="714" spans="1:12" ht="16.5" thickBot="1" x14ac:dyDescent="0.3">
      <c r="D714" s="90">
        <v>100</v>
      </c>
      <c r="E714" s="3">
        <v>1.44E-6</v>
      </c>
    </row>
    <row r="715" spans="1:12" ht="16.5" thickBot="1" x14ac:dyDescent="0.3">
      <c r="D715" s="90">
        <v>50</v>
      </c>
      <c r="E715" s="3">
        <v>5.3200000000000005E-7</v>
      </c>
    </row>
    <row r="716" spans="1:12" ht="16.5" thickBot="1" x14ac:dyDescent="0.3">
      <c r="D716" s="92">
        <v>0</v>
      </c>
      <c r="E716" s="3">
        <v>2.3499999999999999E-8</v>
      </c>
      <c r="L716">
        <v>228</v>
      </c>
    </row>
    <row r="717" spans="1:12" ht="16.5" thickBot="1" x14ac:dyDescent="0.3">
      <c r="A717" s="6">
        <v>45092</v>
      </c>
      <c r="B717">
        <v>365</v>
      </c>
      <c r="C717" s="95">
        <v>900</v>
      </c>
      <c r="D717" s="90">
        <v>300</v>
      </c>
      <c r="E717" s="3">
        <v>6.7499999999999997E-6</v>
      </c>
      <c r="H717" s="3">
        <v>2.0999999999999999E-13</v>
      </c>
      <c r="I717" s="3">
        <v>-5.0580000000000001E-11</v>
      </c>
      <c r="J717" s="3">
        <v>1.7800000000000001E-8</v>
      </c>
      <c r="K717" s="3">
        <v>-6.2999999999999995E-8</v>
      </c>
      <c r="L717" s="3">
        <f>H717*L716^3+I717*L716^2+J717*L716+K717</f>
        <v>3.8550431999999995E-6</v>
      </c>
    </row>
    <row r="718" spans="1:12" ht="16.5" thickBot="1" x14ac:dyDescent="0.3">
      <c r="D718" s="90">
        <v>250</v>
      </c>
      <c r="E718" s="3">
        <v>4.5399999999999997E-6</v>
      </c>
    </row>
    <row r="719" spans="1:12" ht="16.5" thickBot="1" x14ac:dyDescent="0.3">
      <c r="D719" s="90">
        <v>200</v>
      </c>
      <c r="E719" s="3">
        <v>3.4300000000000002E-6</v>
      </c>
    </row>
    <row r="720" spans="1:12" ht="16.5" thickBot="1" x14ac:dyDescent="0.3">
      <c r="D720" s="90">
        <v>150</v>
      </c>
      <c r="E720" s="3">
        <v>2.4600000000000002E-6</v>
      </c>
    </row>
    <row r="721" spans="1:6" ht="16.5" thickBot="1" x14ac:dyDescent="0.3">
      <c r="D721" s="90">
        <v>100</v>
      </c>
      <c r="E721" s="3">
        <v>1.5400000000000001E-6</v>
      </c>
    </row>
    <row r="722" spans="1:6" ht="16.5" thickBot="1" x14ac:dyDescent="0.3">
      <c r="D722" s="90">
        <v>50</v>
      </c>
      <c r="E722" s="3">
        <v>5.5899999999999996E-7</v>
      </c>
    </row>
    <row r="723" spans="1:6" ht="16.5" thickBot="1" x14ac:dyDescent="0.3">
      <c r="D723" s="92">
        <v>0</v>
      </c>
      <c r="E723" s="3">
        <v>2.6700000000000001E-8</v>
      </c>
    </row>
    <row r="724" spans="1:6" ht="16.5" thickBot="1" x14ac:dyDescent="0.3">
      <c r="A724" s="6">
        <v>45118</v>
      </c>
      <c r="B724">
        <v>365</v>
      </c>
      <c r="C724">
        <v>600</v>
      </c>
      <c r="D724" s="90">
        <v>300</v>
      </c>
      <c r="E724" s="3">
        <v>1.4100000000000001E-5</v>
      </c>
      <c r="F724" s="82">
        <f t="shared" ref="F724:F726" si="24">LN(E724)</f>
        <v>-11.169335760580152</v>
      </c>
    </row>
    <row r="725" spans="1:6" ht="16.5" thickBot="1" x14ac:dyDescent="0.3">
      <c r="D725" s="90">
        <v>200</v>
      </c>
      <c r="E725" s="3">
        <v>7.2099999999999996E-6</v>
      </c>
      <c r="F725" s="82">
        <f t="shared" si="24"/>
        <v>-11.840041606667416</v>
      </c>
    </row>
    <row r="726" spans="1:6" ht="16.5" thickBot="1" x14ac:dyDescent="0.3">
      <c r="D726" s="90">
        <v>100</v>
      </c>
      <c r="E726" s="3">
        <v>3.1E-6</v>
      </c>
      <c r="F726" s="82">
        <f t="shared" si="24"/>
        <v>-12.684108446473173</v>
      </c>
    </row>
    <row r="727" spans="1:6" ht="16.5" thickBot="1" x14ac:dyDescent="0.3">
      <c r="D727" s="90">
        <v>0</v>
      </c>
      <c r="E727" s="3">
        <v>1.14E-7</v>
      </c>
    </row>
    <row r="728" spans="1:6" ht="16.5" thickBot="1" x14ac:dyDescent="0.3">
      <c r="A728" s="6">
        <v>45120</v>
      </c>
      <c r="B728">
        <v>365</v>
      </c>
      <c r="C728">
        <v>600</v>
      </c>
      <c r="D728" s="90">
        <v>300</v>
      </c>
      <c r="E728" s="3">
        <v>1.42E-5</v>
      </c>
      <c r="F728" s="82">
        <f>LN(E728)</f>
        <v>-11.162268593357059</v>
      </c>
    </row>
    <row r="729" spans="1:6" ht="16.5" thickBot="1" x14ac:dyDescent="0.3">
      <c r="D729" s="90">
        <v>200</v>
      </c>
      <c r="E729" s="3">
        <v>7.2300000000000002E-6</v>
      </c>
      <c r="F729" s="82">
        <f>LN(E729)</f>
        <v>-11.837271521793602</v>
      </c>
    </row>
    <row r="730" spans="1:6" ht="16.5" thickBot="1" x14ac:dyDescent="0.3">
      <c r="D730" s="90">
        <v>100</v>
      </c>
      <c r="E730" s="3">
        <v>3.0900000000000001E-6</v>
      </c>
      <c r="F730" s="82">
        <f>LN(E730)</f>
        <v>-12.68733946705462</v>
      </c>
    </row>
    <row r="731" spans="1:6" ht="16.5" thickBot="1" x14ac:dyDescent="0.3">
      <c r="D731" s="90">
        <v>0</v>
      </c>
      <c r="E731" s="3">
        <v>1.2499999999999999E-7</v>
      </c>
    </row>
    <row r="732" spans="1:6" x14ac:dyDescent="0.25">
      <c r="A732" s="6">
        <v>45205</v>
      </c>
      <c r="B732">
        <v>365</v>
      </c>
      <c r="C732">
        <v>900</v>
      </c>
      <c r="D732" s="92">
        <v>300</v>
      </c>
      <c r="E732" s="3">
        <v>6.4500000000000001E-6</v>
      </c>
    </row>
    <row r="733" spans="1:6" x14ac:dyDescent="0.25">
      <c r="D733" s="92">
        <v>250</v>
      </c>
      <c r="E733" s="3">
        <v>4.25E-6</v>
      </c>
    </row>
    <row r="734" spans="1:6" x14ac:dyDescent="0.25">
      <c r="D734" s="92">
        <v>200</v>
      </c>
      <c r="E734" s="3">
        <v>3.1999999999999999E-6</v>
      </c>
    </row>
    <row r="735" spans="1:6" x14ac:dyDescent="0.25">
      <c r="D735" s="92">
        <v>150</v>
      </c>
      <c r="E735" s="3">
        <v>2.26E-6</v>
      </c>
    </row>
    <row r="736" spans="1:6" x14ac:dyDescent="0.25">
      <c r="D736" s="92">
        <v>100</v>
      </c>
      <c r="E736" s="3">
        <v>1.3599999999999999E-6</v>
      </c>
    </row>
    <row r="737" spans="1:12" x14ac:dyDescent="0.25">
      <c r="D737" s="92">
        <v>50</v>
      </c>
      <c r="E737" s="3">
        <v>4.8100000000000003E-7</v>
      </c>
    </row>
    <row r="738" spans="1:12" x14ac:dyDescent="0.25">
      <c r="D738" s="92">
        <v>0</v>
      </c>
      <c r="E738" s="3">
        <v>4.1199999999999998E-8</v>
      </c>
    </row>
    <row r="739" spans="1:12" x14ac:dyDescent="0.25">
      <c r="A739" s="6">
        <v>45211</v>
      </c>
      <c r="B739">
        <v>365</v>
      </c>
      <c r="C739">
        <v>900</v>
      </c>
      <c r="D739" s="92">
        <v>300</v>
      </c>
      <c r="E739" s="3">
        <v>7.3900000000000004E-6</v>
      </c>
      <c r="L739">
        <v>297</v>
      </c>
    </row>
    <row r="740" spans="1:12" x14ac:dyDescent="0.25">
      <c r="D740" s="92">
        <v>250</v>
      </c>
      <c r="E740" s="3">
        <v>4.87E-6</v>
      </c>
      <c r="H740" s="3">
        <v>2.38E-13</v>
      </c>
      <c r="I740" s="3">
        <v>-6.5000000000000002E-12</v>
      </c>
      <c r="J740" s="3">
        <v>2.747E-8</v>
      </c>
      <c r="K740" s="3">
        <v>1.1000000000000001E-7</v>
      </c>
      <c r="L740" s="3">
        <f>H740*L739^3+I740*L739^2+J740*L739+K740</f>
        <v>1.3930372874000001E-5</v>
      </c>
    </row>
    <row r="741" spans="1:12" x14ac:dyDescent="0.25">
      <c r="D741" s="92">
        <v>200</v>
      </c>
      <c r="E741" s="3">
        <v>3.67E-6</v>
      </c>
    </row>
    <row r="742" spans="1:12" x14ac:dyDescent="0.25">
      <c r="D742" s="92">
        <v>150</v>
      </c>
      <c r="E742" s="3">
        <v>2.5399999999999998E-6</v>
      </c>
    </row>
    <row r="743" spans="1:12" x14ac:dyDescent="0.25">
      <c r="D743" s="92">
        <v>100</v>
      </c>
      <c r="E743" s="3">
        <v>1.5999999999999999E-6</v>
      </c>
    </row>
    <row r="744" spans="1:12" x14ac:dyDescent="0.25">
      <c r="D744" s="92">
        <v>50</v>
      </c>
      <c r="E744" s="3">
        <v>5.75E-7</v>
      </c>
    </row>
    <row r="745" spans="1:12" x14ac:dyDescent="0.25">
      <c r="D745" s="92">
        <v>0</v>
      </c>
      <c r="E745" s="3">
        <v>6.1999999999999999E-8</v>
      </c>
    </row>
    <row r="746" spans="1:12" x14ac:dyDescent="0.25">
      <c r="A746" s="6">
        <v>45223</v>
      </c>
      <c r="B746">
        <v>365</v>
      </c>
      <c r="C746">
        <v>600</v>
      </c>
      <c r="D746" s="92">
        <v>300</v>
      </c>
      <c r="E746" s="3">
        <v>1.4399999999999999E-5</v>
      </c>
    </row>
    <row r="747" spans="1:12" x14ac:dyDescent="0.25">
      <c r="D747" s="92">
        <v>200</v>
      </c>
      <c r="E747" s="3">
        <v>7.3000000000000004E-6</v>
      </c>
    </row>
    <row r="748" spans="1:12" x14ac:dyDescent="0.25">
      <c r="D748" s="92">
        <v>100</v>
      </c>
      <c r="E748" s="3">
        <v>3.1E-6</v>
      </c>
    </row>
    <row r="749" spans="1:12" x14ac:dyDescent="0.25">
      <c r="D749" s="92">
        <v>0</v>
      </c>
      <c r="E749" s="3">
        <v>1.1000000000000001E-7</v>
      </c>
    </row>
    <row r="750" spans="1:12" x14ac:dyDescent="0.25">
      <c r="A750" s="6">
        <v>45226</v>
      </c>
      <c r="B750">
        <v>365</v>
      </c>
      <c r="C750">
        <v>600</v>
      </c>
      <c r="D750" s="92">
        <v>300</v>
      </c>
      <c r="E750" s="3">
        <v>1.3699999999999999E-5</v>
      </c>
    </row>
    <row r="751" spans="1:12" x14ac:dyDescent="0.25">
      <c r="D751" s="92">
        <v>200</v>
      </c>
      <c r="E751" s="3">
        <v>7.0600000000000002E-6</v>
      </c>
    </row>
    <row r="752" spans="1:12" x14ac:dyDescent="0.25">
      <c r="D752" s="92">
        <v>100</v>
      </c>
      <c r="E752" s="3">
        <v>2.96E-6</v>
      </c>
    </row>
    <row r="753" spans="1:5" x14ac:dyDescent="0.25">
      <c r="D753" s="92">
        <v>0</v>
      </c>
      <c r="E753" s="3">
        <v>1.1000000000000001E-7</v>
      </c>
    </row>
    <row r="754" spans="1:5" x14ac:dyDescent="0.25">
      <c r="A754" s="6">
        <v>45229</v>
      </c>
      <c r="B754">
        <v>365</v>
      </c>
      <c r="C754">
        <v>900</v>
      </c>
      <c r="D754" s="92">
        <v>300</v>
      </c>
      <c r="E754" s="3">
        <v>7.5700000000000004E-6</v>
      </c>
    </row>
    <row r="755" spans="1:5" x14ac:dyDescent="0.25">
      <c r="D755" s="92">
        <v>250</v>
      </c>
      <c r="E755" s="3">
        <v>4.95E-6</v>
      </c>
    </row>
    <row r="756" spans="1:5" x14ac:dyDescent="0.25">
      <c r="D756" s="92">
        <v>200</v>
      </c>
      <c r="E756" s="3">
        <v>3.7500000000000001E-6</v>
      </c>
    </row>
    <row r="757" spans="1:5" x14ac:dyDescent="0.25">
      <c r="D757" s="92">
        <v>150</v>
      </c>
      <c r="E757" s="3">
        <v>2.6299999999999998E-6</v>
      </c>
    </row>
    <row r="758" spans="1:5" x14ac:dyDescent="0.25">
      <c r="D758" s="92">
        <v>100</v>
      </c>
      <c r="E758" s="3">
        <v>1.5999999999999999E-6</v>
      </c>
    </row>
    <row r="759" spans="1:5" x14ac:dyDescent="0.25">
      <c r="D759" s="92">
        <v>0</v>
      </c>
      <c r="E759" s="3">
        <v>5.9999999999999995E-8</v>
      </c>
    </row>
    <row r="760" spans="1:5" x14ac:dyDescent="0.25">
      <c r="A760" s="6">
        <v>45233</v>
      </c>
      <c r="B760">
        <v>365</v>
      </c>
      <c r="C760">
        <v>600</v>
      </c>
      <c r="D760" s="92">
        <v>300</v>
      </c>
      <c r="E760" s="3">
        <v>1.42E-5</v>
      </c>
    </row>
    <row r="761" spans="1:5" x14ac:dyDescent="0.25">
      <c r="D761" s="92">
        <v>200</v>
      </c>
      <c r="E761" s="3">
        <v>7.25E-6</v>
      </c>
    </row>
    <row r="762" spans="1:5" x14ac:dyDescent="0.25">
      <c r="D762" s="92">
        <v>100</v>
      </c>
      <c r="E762" s="3">
        <v>3.0299999999999998E-6</v>
      </c>
    </row>
    <row r="763" spans="1:5" x14ac:dyDescent="0.25">
      <c r="D763" s="92">
        <v>0</v>
      </c>
      <c r="E763" s="3">
        <v>1.1000000000000001E-7</v>
      </c>
    </row>
    <row r="764" spans="1:5" x14ac:dyDescent="0.25">
      <c r="A764" s="6">
        <v>45250</v>
      </c>
      <c r="B764">
        <v>365</v>
      </c>
      <c r="C764">
        <v>600</v>
      </c>
      <c r="D764" s="92">
        <v>300</v>
      </c>
      <c r="E764" s="3">
        <v>1.3499999999999999E-5</v>
      </c>
    </row>
    <row r="765" spans="1:5" x14ac:dyDescent="0.25">
      <c r="D765" s="92">
        <v>200</v>
      </c>
      <c r="E765" s="3">
        <v>6.9199999999999998E-6</v>
      </c>
    </row>
    <row r="766" spans="1:5" x14ac:dyDescent="0.25">
      <c r="D766" s="92">
        <v>100</v>
      </c>
      <c r="E766" s="3">
        <v>2.8899999999999999E-6</v>
      </c>
    </row>
    <row r="767" spans="1:5" x14ac:dyDescent="0.25">
      <c r="D767" s="92">
        <v>0</v>
      </c>
      <c r="E767" s="3">
        <v>1.4499999999999999E-7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opLeftCell="D1" zoomScale="55" zoomScaleNormal="55" workbookViewId="0">
      <pane ySplit="1" topLeftCell="A944" activePane="bottomLeft" state="frozen"/>
      <selection pane="bottomLeft" activeCell="N999" sqref="N999"/>
    </sheetView>
  </sheetViews>
  <sheetFormatPr defaultRowHeight="15.75" x14ac:dyDescent="0.25"/>
  <cols>
    <col min="1" max="1" width="12.875" customWidth="1"/>
    <col min="3" max="3" width="14.5" customWidth="1"/>
    <col min="6" max="6" width="12.375" customWidth="1"/>
    <col min="7" max="7" width="16.625" customWidth="1"/>
    <col min="8" max="8" width="15.5" customWidth="1"/>
    <col min="10" max="10" width="10.875" customWidth="1"/>
    <col min="11" max="11" width="12.375" bestFit="1" customWidth="1"/>
    <col min="12" max="12" width="11.75" customWidth="1"/>
    <col min="13" max="13" width="12.5" customWidth="1"/>
    <col min="14" max="14" width="11.5" customWidth="1"/>
    <col min="15" max="15" width="15.75" customWidth="1"/>
    <col min="17" max="17" width="15" customWidth="1"/>
  </cols>
  <sheetData>
    <row r="1" spans="1:16" s="28" customFormat="1" ht="15" x14ac:dyDescent="0.25">
      <c r="A1" s="28" t="s">
        <v>14</v>
      </c>
      <c r="B1" s="28" t="s">
        <v>72</v>
      </c>
      <c r="C1" s="28" t="s">
        <v>73</v>
      </c>
      <c r="D1" s="28" t="s">
        <v>74</v>
      </c>
      <c r="E1" s="28" t="s">
        <v>70</v>
      </c>
      <c r="F1" s="28" t="s">
        <v>69</v>
      </c>
      <c r="G1" s="28" t="s">
        <v>46</v>
      </c>
      <c r="H1" s="28" t="s">
        <v>71</v>
      </c>
      <c r="I1" s="28" t="s">
        <v>20</v>
      </c>
    </row>
    <row r="2" spans="1:16" x14ac:dyDescent="0.25">
      <c r="A2" s="7">
        <v>43238</v>
      </c>
      <c r="B2">
        <v>525</v>
      </c>
      <c r="C2">
        <v>790</v>
      </c>
      <c r="D2">
        <v>900</v>
      </c>
      <c r="E2">
        <v>300</v>
      </c>
      <c r="F2" s="3">
        <v>9.4499999999999995E-7</v>
      </c>
      <c r="G2">
        <f>LN(F2)</f>
        <v>-13.872080909452668</v>
      </c>
    </row>
    <row r="3" spans="1:16" x14ac:dyDescent="0.25">
      <c r="E3">
        <v>250</v>
      </c>
      <c r="F3" s="3">
        <v>8.5899999999999995E-7</v>
      </c>
      <c r="G3">
        <f t="shared" ref="G3:G66" si="0">LN(F3)</f>
        <v>-13.967496914962156</v>
      </c>
    </row>
    <row r="4" spans="1:16" x14ac:dyDescent="0.25">
      <c r="E4">
        <v>225</v>
      </c>
      <c r="F4" s="3">
        <v>8.1500000000000003E-7</v>
      </c>
      <c r="G4">
        <f t="shared" si="0"/>
        <v>-14.020077723705548</v>
      </c>
    </row>
    <row r="5" spans="1:16" x14ac:dyDescent="0.25">
      <c r="E5">
        <v>200</v>
      </c>
      <c r="F5" s="3">
        <v>7.6400000000000001E-7</v>
      </c>
      <c r="G5">
        <f t="shared" si="0"/>
        <v>-14.08469804777989</v>
      </c>
    </row>
    <row r="6" spans="1:16" x14ac:dyDescent="0.25">
      <c r="E6">
        <v>175</v>
      </c>
      <c r="F6" s="3">
        <v>7.1200000000000002E-7</v>
      </c>
      <c r="G6">
        <f t="shared" si="0"/>
        <v>-14.155187925534435</v>
      </c>
    </row>
    <row r="7" spans="1:16" x14ac:dyDescent="0.25">
      <c r="E7">
        <v>150</v>
      </c>
      <c r="F7" s="3">
        <v>6.5899999999999996E-7</v>
      </c>
      <c r="G7">
        <f t="shared" si="0"/>
        <v>-14.232542302443903</v>
      </c>
    </row>
    <row r="8" spans="1:16" x14ac:dyDescent="0.25">
      <c r="E8">
        <v>125</v>
      </c>
      <c r="F8" s="3">
        <v>6.0299999999999999E-7</v>
      </c>
      <c r="G8">
        <f t="shared" si="0"/>
        <v>-14.321348640219226</v>
      </c>
    </row>
    <row r="9" spans="1:16" x14ac:dyDescent="0.25">
      <c r="E9">
        <v>100</v>
      </c>
      <c r="F9" s="3">
        <v>5.4300000000000003E-7</v>
      </c>
      <c r="G9">
        <f t="shared" si="0"/>
        <v>-14.426156517012476</v>
      </c>
    </row>
    <row r="10" spans="1:16" x14ac:dyDescent="0.25">
      <c r="E10">
        <v>75</v>
      </c>
      <c r="F10" s="3">
        <v>4.7899999999999999E-7</v>
      </c>
      <c r="G10">
        <f t="shared" si="0"/>
        <v>-14.551565239535496</v>
      </c>
    </row>
    <row r="11" spans="1:16" x14ac:dyDescent="0.25">
      <c r="E11">
        <v>50</v>
      </c>
      <c r="F11" s="3">
        <v>3.96E-7</v>
      </c>
      <c r="G11">
        <f t="shared" si="0"/>
        <v>-14.741851625691931</v>
      </c>
    </row>
    <row r="12" spans="1:16" x14ac:dyDescent="0.25">
      <c r="E12">
        <v>25</v>
      </c>
      <c r="F12" s="3">
        <v>3.0800000000000001E-7</v>
      </c>
      <c r="G12">
        <f t="shared" si="0"/>
        <v>-14.993166053972837</v>
      </c>
    </row>
    <row r="13" spans="1:16" x14ac:dyDescent="0.25">
      <c r="A13" s="7">
        <v>43243</v>
      </c>
      <c r="B13">
        <v>525</v>
      </c>
      <c r="C13">
        <v>790</v>
      </c>
      <c r="D13">
        <v>900</v>
      </c>
      <c r="E13">
        <v>300</v>
      </c>
      <c r="F13" s="3">
        <v>9.7000000000000003E-7</v>
      </c>
      <c r="G13">
        <f t="shared" si="0"/>
        <v>-13.845969765448983</v>
      </c>
    </row>
    <row r="14" spans="1:16" x14ac:dyDescent="0.25">
      <c r="E14">
        <v>250</v>
      </c>
      <c r="F14" s="3">
        <v>8.8800000000000001E-7</v>
      </c>
      <c r="G14">
        <f t="shared" si="0"/>
        <v>-13.934294093954241</v>
      </c>
    </row>
    <row r="15" spans="1:16" x14ac:dyDescent="0.25">
      <c r="E15">
        <v>225</v>
      </c>
      <c r="F15" s="3">
        <v>8.4099999999999997E-7</v>
      </c>
      <c r="G15">
        <f t="shared" si="0"/>
        <v>-13.988674176973463</v>
      </c>
    </row>
    <row r="16" spans="1:16" x14ac:dyDescent="0.25">
      <c r="E16">
        <v>200</v>
      </c>
      <c r="F16" s="3">
        <v>7.92E-7</v>
      </c>
      <c r="G16">
        <f t="shared" si="0"/>
        <v>-14.048704445131985</v>
      </c>
      <c r="K16" t="s">
        <v>38</v>
      </c>
      <c r="L16" t="s">
        <v>39</v>
      </c>
      <c r="M16" t="s">
        <v>40</v>
      </c>
      <c r="N16" t="s">
        <v>41</v>
      </c>
      <c r="O16" t="s">
        <v>42</v>
      </c>
      <c r="P16" t="s">
        <v>12</v>
      </c>
    </row>
    <row r="17" spans="1:16" x14ac:dyDescent="0.25">
      <c r="E17">
        <v>150</v>
      </c>
      <c r="F17" s="3">
        <v>6.8299999999999996E-7</v>
      </c>
      <c r="G17">
        <f t="shared" si="0"/>
        <v>-14.196770977375621</v>
      </c>
      <c r="K17" s="3">
        <v>-1.258E-14</v>
      </c>
      <c r="L17" s="3">
        <v>7.7780000000000002E-11</v>
      </c>
      <c r="M17" s="3">
        <v>2.384E-8</v>
      </c>
      <c r="N17" s="3">
        <v>-4.1199999999999998E-7</v>
      </c>
      <c r="O17" s="13">
        <v>135</v>
      </c>
      <c r="P17" s="3">
        <f>K17*O17^3+L17*O17^2+M17*O17+N17</f>
        <v>4.1929889825000006E-6</v>
      </c>
    </row>
    <row r="18" spans="1:16" x14ac:dyDescent="0.25">
      <c r="E18">
        <v>100</v>
      </c>
      <c r="F18" s="3">
        <v>5.6499999999999999E-7</v>
      </c>
      <c r="G18">
        <f t="shared" si="0"/>
        <v>-14.38644010579997</v>
      </c>
    </row>
    <row r="19" spans="1:16" x14ac:dyDescent="0.25">
      <c r="A19" s="6">
        <v>43423</v>
      </c>
      <c r="B19">
        <v>525</v>
      </c>
      <c r="C19">
        <v>790</v>
      </c>
      <c r="D19">
        <v>900</v>
      </c>
      <c r="E19">
        <v>300</v>
      </c>
      <c r="F19" s="3">
        <v>1.77E-6</v>
      </c>
      <c r="G19">
        <f t="shared" si="0"/>
        <v>-13.244531011378536</v>
      </c>
    </row>
    <row r="20" spans="1:16" x14ac:dyDescent="0.25">
      <c r="E20">
        <v>250</v>
      </c>
      <c r="F20" s="3">
        <v>1.6300000000000001E-6</v>
      </c>
      <c r="G20">
        <f t="shared" si="0"/>
        <v>-13.326930543145602</v>
      </c>
    </row>
    <row r="21" spans="1:16" x14ac:dyDescent="0.25">
      <c r="E21">
        <v>200</v>
      </c>
      <c r="F21" s="3">
        <v>1.46E-6</v>
      </c>
      <c r="G21">
        <f t="shared" si="0"/>
        <v>-13.437074122244029</v>
      </c>
    </row>
    <row r="22" spans="1:16" x14ac:dyDescent="0.25">
      <c r="E22">
        <v>175</v>
      </c>
      <c r="F22" s="3">
        <v>1.3599999999999999E-6</v>
      </c>
      <c r="G22">
        <f t="shared" si="0"/>
        <v>-13.508025858216314</v>
      </c>
    </row>
    <row r="23" spans="1:16" x14ac:dyDescent="0.25">
      <c r="E23">
        <v>150</v>
      </c>
      <c r="F23" s="3">
        <v>1.2699999999999999E-6</v>
      </c>
      <c r="G23">
        <f t="shared" si="0"/>
        <v>-13.576493657493774</v>
      </c>
    </row>
    <row r="24" spans="1:16" x14ac:dyDescent="0.25">
      <c r="E24">
        <v>125</v>
      </c>
      <c r="F24" s="3">
        <v>1.15E-6</v>
      </c>
      <c r="G24">
        <f t="shared" si="0"/>
        <v>-13.675748615589116</v>
      </c>
    </row>
    <row r="25" spans="1:16" x14ac:dyDescent="0.25">
      <c r="E25">
        <v>100</v>
      </c>
      <c r="F25" s="3">
        <v>1.04E-6</v>
      </c>
      <c r="G25">
        <f t="shared" si="0"/>
        <v>-13.776289844810993</v>
      </c>
    </row>
    <row r="26" spans="1:16" x14ac:dyDescent="0.25">
      <c r="E26">
        <v>50</v>
      </c>
      <c r="F26" s="3">
        <v>7.7499999999999999E-7</v>
      </c>
      <c r="G26">
        <f t="shared" si="0"/>
        <v>-14.070402807593064</v>
      </c>
    </row>
    <row r="27" spans="1:16" x14ac:dyDescent="0.25">
      <c r="E27">
        <v>75</v>
      </c>
      <c r="F27" s="3">
        <v>9.1100000000000004E-7</v>
      </c>
      <c r="G27">
        <f t="shared" si="0"/>
        <v>-13.908722939686452</v>
      </c>
    </row>
    <row r="28" spans="1:16" x14ac:dyDescent="0.25">
      <c r="E28">
        <v>70</v>
      </c>
      <c r="F28" s="3">
        <v>8.8800000000000001E-7</v>
      </c>
      <c r="G28">
        <f t="shared" si="0"/>
        <v>-13.934294093954241</v>
      </c>
    </row>
    <row r="29" spans="1:16" x14ac:dyDescent="0.25">
      <c r="E29">
        <v>0</v>
      </c>
      <c r="F29" s="3">
        <v>4.1100000000000001E-7</v>
      </c>
      <c r="G29">
        <f t="shared" si="0"/>
        <v>-14.704672622450177</v>
      </c>
    </row>
    <row r="30" spans="1:16" x14ac:dyDescent="0.25">
      <c r="A30" s="6">
        <v>43521</v>
      </c>
      <c r="B30">
        <v>525</v>
      </c>
      <c r="C30">
        <v>790</v>
      </c>
      <c r="D30">
        <v>900</v>
      </c>
      <c r="E30">
        <v>300</v>
      </c>
      <c r="F30" s="3">
        <v>1.7400000000000001E-6</v>
      </c>
      <c r="G30">
        <f t="shared" si="0"/>
        <v>-13.261625444737836</v>
      </c>
    </row>
    <row r="31" spans="1:16" x14ac:dyDescent="0.25">
      <c r="E31">
        <v>250</v>
      </c>
      <c r="F31" s="3">
        <v>1.59E-6</v>
      </c>
      <c r="G31">
        <f t="shared" si="0"/>
        <v>-13.351776541732134</v>
      </c>
    </row>
    <row r="32" spans="1:16" x14ac:dyDescent="0.25">
      <c r="E32">
        <v>200</v>
      </c>
      <c r="F32" s="3">
        <v>1.42E-6</v>
      </c>
      <c r="G32">
        <f t="shared" si="0"/>
        <v>-13.464853686351105</v>
      </c>
    </row>
    <row r="33" spans="1:19" x14ac:dyDescent="0.25">
      <c r="E33">
        <v>175</v>
      </c>
      <c r="F33" s="3">
        <v>1.33E-6</v>
      </c>
      <c r="G33">
        <f t="shared" si="0"/>
        <v>-13.530331615730612</v>
      </c>
    </row>
    <row r="34" spans="1:19" x14ac:dyDescent="0.25">
      <c r="E34">
        <v>150</v>
      </c>
      <c r="F34" s="3">
        <v>1.2300000000000001E-6</v>
      </c>
      <c r="G34">
        <f t="shared" si="0"/>
        <v>-13.608496388579947</v>
      </c>
    </row>
    <row r="35" spans="1:19" x14ac:dyDescent="0.25">
      <c r="E35">
        <v>125</v>
      </c>
      <c r="F35" s="3">
        <v>1.1200000000000001E-6</v>
      </c>
      <c r="G35">
        <f t="shared" si="0"/>
        <v>-13.70218187265727</v>
      </c>
      <c r="K35" t="s">
        <v>38</v>
      </c>
      <c r="L35" t="s">
        <v>39</v>
      </c>
      <c r="M35" t="s">
        <v>40</v>
      </c>
      <c r="N35" t="s">
        <v>41</v>
      </c>
      <c r="P35" t="s">
        <v>13</v>
      </c>
      <c r="Q35" s="37" t="s">
        <v>106</v>
      </c>
    </row>
    <row r="36" spans="1:19" x14ac:dyDescent="0.25">
      <c r="E36">
        <v>100</v>
      </c>
      <c r="F36" s="3">
        <v>1.0100000000000001E-6</v>
      </c>
      <c r="G36">
        <f t="shared" si="0"/>
        <v>-13.805560227111107</v>
      </c>
      <c r="K36" s="3">
        <v>4.49E-15</v>
      </c>
      <c r="L36" s="3">
        <v>3.7700000000000003E-12</v>
      </c>
      <c r="M36" s="3">
        <v>2.0000000000000001E-9</v>
      </c>
      <c r="N36" s="3">
        <v>1.2499999999999999E-7</v>
      </c>
      <c r="O36" s="13"/>
      <c r="P36" s="3">
        <v>40</v>
      </c>
      <c r="Q36" s="3">
        <f>(K36*(P36^3))-(L36*(P36^2))+M36*(P36)+N36</f>
        <v>1.9925536E-7</v>
      </c>
      <c r="S36" t="s">
        <v>107</v>
      </c>
    </row>
    <row r="37" spans="1:19" x14ac:dyDescent="0.25">
      <c r="E37">
        <v>50</v>
      </c>
      <c r="F37" s="3">
        <v>7.7499999999999999E-7</v>
      </c>
      <c r="G37">
        <f t="shared" si="0"/>
        <v>-14.070402807593064</v>
      </c>
      <c r="S37" t="s">
        <v>108</v>
      </c>
    </row>
    <row r="38" spans="1:19" x14ac:dyDescent="0.25">
      <c r="E38">
        <v>75</v>
      </c>
      <c r="F38" s="3">
        <v>8.9599999999999998E-7</v>
      </c>
      <c r="G38">
        <f t="shared" si="0"/>
        <v>-13.925325423971481</v>
      </c>
    </row>
    <row r="39" spans="1:19" x14ac:dyDescent="0.25">
      <c r="E39">
        <v>70</v>
      </c>
      <c r="F39" s="3">
        <v>8.7000000000000003E-7</v>
      </c>
      <c r="G39">
        <f t="shared" si="0"/>
        <v>-13.954772625297782</v>
      </c>
    </row>
    <row r="40" spans="1:19" x14ac:dyDescent="0.25">
      <c r="E40">
        <v>0</v>
      </c>
      <c r="F40" s="3">
        <v>4.08E-7</v>
      </c>
      <c r="G40">
        <f t="shared" si="0"/>
        <v>-14.71199866254225</v>
      </c>
    </row>
    <row r="41" spans="1:19" x14ac:dyDescent="0.25">
      <c r="A41" s="6">
        <v>43549</v>
      </c>
      <c r="B41">
        <v>525</v>
      </c>
      <c r="C41">
        <v>790</v>
      </c>
      <c r="D41">
        <v>900</v>
      </c>
      <c r="E41">
        <v>300</v>
      </c>
      <c r="F41" s="3">
        <v>1.72E-6</v>
      </c>
      <c r="G41">
        <f t="shared" si="0"/>
        <v>-13.273186267138913</v>
      </c>
    </row>
    <row r="42" spans="1:19" x14ac:dyDescent="0.25">
      <c r="E42">
        <v>250</v>
      </c>
      <c r="F42" s="3">
        <v>1.57E-6</v>
      </c>
      <c r="G42">
        <f t="shared" si="0"/>
        <v>-13.364434938604058</v>
      </c>
    </row>
    <row r="43" spans="1:19" x14ac:dyDescent="0.25">
      <c r="E43">
        <v>200</v>
      </c>
      <c r="F43" s="3">
        <v>1.4100000000000001E-6</v>
      </c>
      <c r="G43">
        <f t="shared" si="0"/>
        <v>-13.471920853574197</v>
      </c>
      <c r="K43" s="11" t="s">
        <v>103</v>
      </c>
    </row>
    <row r="44" spans="1:19" ht="16.5" thickBot="1" x14ac:dyDescent="0.3">
      <c r="E44">
        <v>175</v>
      </c>
      <c r="F44" s="3">
        <v>1.31E-6</v>
      </c>
      <c r="G44">
        <f t="shared" si="0"/>
        <v>-13.545483420751214</v>
      </c>
      <c r="K44" t="s">
        <v>104</v>
      </c>
      <c r="L44" t="s">
        <v>176</v>
      </c>
      <c r="N44" t="s">
        <v>105</v>
      </c>
      <c r="O44" t="s">
        <v>149</v>
      </c>
      <c r="Q44" t="s">
        <v>239</v>
      </c>
      <c r="R44" t="s">
        <v>240</v>
      </c>
    </row>
    <row r="45" spans="1:19" ht="16.5" thickBot="1" x14ac:dyDescent="0.3">
      <c r="E45">
        <v>150</v>
      </c>
      <c r="F45" s="3">
        <v>1.22E-6</v>
      </c>
      <c r="G45">
        <f t="shared" si="0"/>
        <v>-13.61665969921911</v>
      </c>
      <c r="K45" s="66"/>
      <c r="L45" s="66"/>
      <c r="N45" s="66"/>
      <c r="O45" s="66"/>
      <c r="Q45" s="84">
        <v>502</v>
      </c>
      <c r="R45" s="84">
        <v>507</v>
      </c>
    </row>
    <row r="46" spans="1:19" ht="16.5" thickBot="1" x14ac:dyDescent="0.3">
      <c r="E46">
        <v>125</v>
      </c>
      <c r="F46" s="3">
        <v>1.1200000000000001E-6</v>
      </c>
      <c r="G46">
        <f t="shared" si="0"/>
        <v>-13.70218187265727</v>
      </c>
      <c r="K46" s="66"/>
      <c r="L46" s="66"/>
      <c r="N46" s="66"/>
      <c r="O46" s="66"/>
      <c r="Q46" s="84">
        <v>480</v>
      </c>
      <c r="R46" s="84">
        <v>485</v>
      </c>
    </row>
    <row r="47" spans="1:19" ht="16.5" thickBot="1" x14ac:dyDescent="0.3">
      <c r="E47">
        <v>100</v>
      </c>
      <c r="F47" s="3">
        <v>1.0100000000000001E-6</v>
      </c>
      <c r="G47">
        <f t="shared" si="0"/>
        <v>-13.805560227111107</v>
      </c>
      <c r="K47" s="66">
        <v>541</v>
      </c>
      <c r="L47" s="66">
        <v>490</v>
      </c>
      <c r="N47" s="66">
        <v>487</v>
      </c>
      <c r="O47" s="66">
        <v>446</v>
      </c>
      <c r="Q47" s="84">
        <v>460</v>
      </c>
      <c r="R47" s="84">
        <v>460</v>
      </c>
    </row>
    <row r="48" spans="1:19" ht="16.5" thickBot="1" x14ac:dyDescent="0.3">
      <c r="E48">
        <v>75</v>
      </c>
      <c r="F48" s="3">
        <v>9.0400000000000005E-7</v>
      </c>
      <c r="G48">
        <f t="shared" si="0"/>
        <v>-13.916436476554235</v>
      </c>
      <c r="K48" s="66">
        <v>520</v>
      </c>
      <c r="L48" s="66">
        <v>500</v>
      </c>
      <c r="N48" s="66">
        <v>467</v>
      </c>
      <c r="O48" s="66">
        <v>423</v>
      </c>
      <c r="Q48" s="85">
        <v>436</v>
      </c>
      <c r="R48" s="85">
        <v>435</v>
      </c>
    </row>
    <row r="49" spans="1:21" ht="16.5" thickBot="1" x14ac:dyDescent="0.3">
      <c r="E49">
        <v>70</v>
      </c>
      <c r="F49" s="3">
        <v>8.7899999999999997E-7</v>
      </c>
      <c r="G49">
        <f t="shared" si="0"/>
        <v>-13.944480939261235</v>
      </c>
      <c r="J49" s="43"/>
      <c r="K49" s="66">
        <v>510</v>
      </c>
      <c r="L49" s="66">
        <v>475</v>
      </c>
      <c r="N49" s="66">
        <v>458</v>
      </c>
      <c r="O49" s="66">
        <v>399</v>
      </c>
      <c r="Q49" s="85">
        <v>410</v>
      </c>
      <c r="R49" s="85">
        <v>409</v>
      </c>
    </row>
    <row r="50" spans="1:21" ht="16.5" thickBot="1" x14ac:dyDescent="0.3">
      <c r="E50">
        <v>50</v>
      </c>
      <c r="F50" s="3">
        <v>7.5600000000000005E-7</v>
      </c>
      <c r="G50">
        <f t="shared" si="0"/>
        <v>-14.095224460766879</v>
      </c>
      <c r="K50" s="66">
        <v>500</v>
      </c>
      <c r="L50" s="66">
        <v>515</v>
      </c>
      <c r="N50" s="66">
        <v>449</v>
      </c>
      <c r="O50" s="66">
        <v>441</v>
      </c>
      <c r="Q50" s="85">
        <v>387</v>
      </c>
      <c r="R50" s="85">
        <v>383</v>
      </c>
    </row>
    <row r="51" spans="1:21" ht="16.5" thickBot="1" x14ac:dyDescent="0.3">
      <c r="E51">
        <v>0</v>
      </c>
      <c r="F51" s="3">
        <v>4.2300000000000002E-7</v>
      </c>
      <c r="G51">
        <f t="shared" si="0"/>
        <v>-14.675893657900133</v>
      </c>
      <c r="K51" s="66">
        <v>480</v>
      </c>
      <c r="L51" s="66">
        <v>540</v>
      </c>
      <c r="N51" s="66">
        <v>430</v>
      </c>
      <c r="O51" s="66">
        <v>465</v>
      </c>
      <c r="Q51" s="85">
        <v>430</v>
      </c>
      <c r="R51" s="85">
        <v>406</v>
      </c>
    </row>
    <row r="52" spans="1:21" ht="16.5" thickBot="1" x14ac:dyDescent="0.3">
      <c r="A52" s="6">
        <v>43558</v>
      </c>
      <c r="B52">
        <v>525</v>
      </c>
      <c r="C52">
        <v>790</v>
      </c>
      <c r="D52">
        <v>900</v>
      </c>
      <c r="E52">
        <v>300</v>
      </c>
      <c r="F52" s="3">
        <v>1.7799999999999999E-6</v>
      </c>
      <c r="G52">
        <f t="shared" si="0"/>
        <v>-13.23889719366028</v>
      </c>
      <c r="K52" s="66"/>
      <c r="L52" s="66">
        <v>575</v>
      </c>
      <c r="N52" s="66"/>
      <c r="O52" s="66"/>
      <c r="Q52" s="85">
        <v>460</v>
      </c>
      <c r="R52" s="85">
        <v>430</v>
      </c>
    </row>
    <row r="53" spans="1:21" ht="16.5" thickBot="1" x14ac:dyDescent="0.3">
      <c r="E53">
        <v>250</v>
      </c>
      <c r="F53" s="3">
        <v>1.61E-6</v>
      </c>
      <c r="G53">
        <f t="shared" si="0"/>
        <v>-13.339276378967902</v>
      </c>
      <c r="K53" s="66"/>
      <c r="L53" s="66"/>
      <c r="N53" s="66"/>
      <c r="O53" s="66"/>
      <c r="Q53" s="85">
        <v>480</v>
      </c>
      <c r="R53" s="85">
        <v>459</v>
      </c>
    </row>
    <row r="54" spans="1:21" ht="16.5" thickBot="1" x14ac:dyDescent="0.3">
      <c r="E54">
        <v>200</v>
      </c>
      <c r="F54" s="3">
        <v>1.4300000000000001E-6</v>
      </c>
      <c r="G54">
        <f t="shared" si="0"/>
        <v>-13.457836113692458</v>
      </c>
      <c r="K54" s="66"/>
      <c r="L54" s="66"/>
      <c r="N54" s="66"/>
      <c r="O54" s="66"/>
      <c r="Q54" s="85"/>
      <c r="R54" s="85">
        <v>482</v>
      </c>
    </row>
    <row r="55" spans="1:21" ht="16.5" thickBot="1" x14ac:dyDescent="0.3">
      <c r="E55">
        <v>175</v>
      </c>
      <c r="F55" s="3">
        <v>1.3400000000000001E-6</v>
      </c>
      <c r="G55">
        <f t="shared" si="0"/>
        <v>-13.522840944001453</v>
      </c>
      <c r="K55" s="66"/>
      <c r="L55" s="66"/>
      <c r="N55" s="66"/>
      <c r="O55" s="66"/>
      <c r="Q55" s="85"/>
      <c r="R55" s="85"/>
    </row>
    <row r="56" spans="1:21" ht="16.5" thickBot="1" x14ac:dyDescent="0.3">
      <c r="E56">
        <v>150</v>
      </c>
      <c r="F56" s="3">
        <v>1.2300000000000001E-6</v>
      </c>
      <c r="G56">
        <f t="shared" si="0"/>
        <v>-13.608496388579947</v>
      </c>
      <c r="K56" s="66"/>
      <c r="L56" s="66"/>
      <c r="N56" s="66"/>
      <c r="O56" s="66"/>
      <c r="Q56" s="85"/>
      <c r="R56" s="86"/>
    </row>
    <row r="57" spans="1:21" ht="16.5" thickBot="1" x14ac:dyDescent="0.3">
      <c r="E57">
        <v>125</v>
      </c>
      <c r="F57" s="3">
        <v>1.1400000000000001E-6</v>
      </c>
      <c r="G57">
        <f t="shared" si="0"/>
        <v>-13.684482295557871</v>
      </c>
      <c r="K57" s="66"/>
      <c r="L57" s="66"/>
      <c r="N57" s="66"/>
      <c r="O57" s="66"/>
      <c r="Q57" s="85"/>
      <c r="R57" s="86"/>
    </row>
    <row r="58" spans="1:21" ht="16.5" thickBot="1" x14ac:dyDescent="0.3">
      <c r="E58">
        <v>100</v>
      </c>
      <c r="F58" s="3">
        <v>1.0300000000000001E-6</v>
      </c>
      <c r="G58">
        <f t="shared" si="0"/>
        <v>-13.78595175572273</v>
      </c>
      <c r="K58" s="66"/>
      <c r="L58" s="66"/>
      <c r="N58" s="66"/>
      <c r="O58" s="66"/>
    </row>
    <row r="59" spans="1:21" x14ac:dyDescent="0.25">
      <c r="E59">
        <v>75</v>
      </c>
      <c r="F59" s="3">
        <v>9.0599999999999999E-7</v>
      </c>
      <c r="G59">
        <f t="shared" si="0"/>
        <v>-13.914226530903433</v>
      </c>
      <c r="N59" s="43"/>
    </row>
    <row r="60" spans="1:21" x14ac:dyDescent="0.25">
      <c r="E60">
        <v>50</v>
      </c>
      <c r="F60" s="3">
        <v>7.6799999999999999E-7</v>
      </c>
      <c r="G60">
        <f t="shared" si="0"/>
        <v>-14.079476103798738</v>
      </c>
      <c r="K60" t="s">
        <v>111</v>
      </c>
      <c r="L60">
        <v>358</v>
      </c>
      <c r="Q60" t="s">
        <v>110</v>
      </c>
      <c r="S60" t="s">
        <v>147</v>
      </c>
    </row>
    <row r="61" spans="1:21" x14ac:dyDescent="0.25">
      <c r="E61">
        <v>25</v>
      </c>
      <c r="F61" s="3">
        <v>6.0500000000000003E-7</v>
      </c>
      <c r="G61">
        <f t="shared" si="0"/>
        <v>-14.318037378915569</v>
      </c>
      <c r="K61" t="s">
        <v>109</v>
      </c>
      <c r="L61">
        <v>474.67</v>
      </c>
      <c r="M61">
        <v>-2500.9</v>
      </c>
      <c r="Q61">
        <f>L61*LN(L60)+M61</f>
        <v>290.4125926548204</v>
      </c>
      <c r="S61">
        <v>0.99919999999999998</v>
      </c>
    </row>
    <row r="62" spans="1:21" x14ac:dyDescent="0.25">
      <c r="E62">
        <v>0</v>
      </c>
      <c r="F62" s="3">
        <v>4.3000000000000001E-7</v>
      </c>
      <c r="G62">
        <f t="shared" si="0"/>
        <v>-14.659480628258803</v>
      </c>
      <c r="K62" t="s">
        <v>241</v>
      </c>
      <c r="L62" s="13">
        <v>483.21</v>
      </c>
      <c r="M62" s="13">
        <v>-2564</v>
      </c>
      <c r="N62" s="3"/>
      <c r="Q62" s="13">
        <f>L62*LN(L60)+M62</f>
        <v>277.53234435868217</v>
      </c>
      <c r="S62">
        <v>1</v>
      </c>
    </row>
    <row r="63" spans="1:21" x14ac:dyDescent="0.25">
      <c r="A63" s="6">
        <v>43560</v>
      </c>
      <c r="B63">
        <v>500</v>
      </c>
      <c r="C63">
        <v>790</v>
      </c>
      <c r="D63">
        <v>900</v>
      </c>
      <c r="E63">
        <v>300</v>
      </c>
      <c r="F63" s="3">
        <v>7.5000000000000002E-7</v>
      </c>
      <c r="G63">
        <f t="shared" si="0"/>
        <v>-14.103192630416055</v>
      </c>
      <c r="I63" t="s">
        <v>100</v>
      </c>
      <c r="U63" s="11"/>
    </row>
    <row r="64" spans="1:21" x14ac:dyDescent="0.25">
      <c r="E64">
        <v>250</v>
      </c>
      <c r="F64" s="3">
        <v>6.8500000000000001E-7</v>
      </c>
      <c r="G64">
        <f t="shared" si="0"/>
        <v>-14.193846998684187</v>
      </c>
      <c r="L64">
        <v>459</v>
      </c>
    </row>
    <row r="65" spans="1:17" x14ac:dyDescent="0.25">
      <c r="E65">
        <v>200</v>
      </c>
      <c r="F65" s="3">
        <v>6.1600000000000001E-7</v>
      </c>
      <c r="G65">
        <f t="shared" si="0"/>
        <v>-14.300018873412892</v>
      </c>
      <c r="K65" t="s">
        <v>150</v>
      </c>
      <c r="L65">
        <v>505.47</v>
      </c>
      <c r="M65">
        <v>-2717.1</v>
      </c>
      <c r="Q65">
        <f>L65*LN(L64)+M65</f>
        <v>380.95100967930421</v>
      </c>
    </row>
    <row r="66" spans="1:17" x14ac:dyDescent="0.25">
      <c r="E66">
        <v>175</v>
      </c>
      <c r="F66" s="3">
        <v>5.7199999999999999E-7</v>
      </c>
      <c r="G66">
        <f t="shared" si="0"/>
        <v>-14.374126845566613</v>
      </c>
      <c r="K66" t="s">
        <v>242</v>
      </c>
      <c r="L66" s="13">
        <v>510.92</v>
      </c>
      <c r="M66" s="13">
        <v>-2735.8</v>
      </c>
      <c r="Q66">
        <f>L66*LN(L64)+M66</f>
        <v>395.65433332413386</v>
      </c>
    </row>
    <row r="67" spans="1:17" x14ac:dyDescent="0.25">
      <c r="E67">
        <v>150</v>
      </c>
      <c r="F67" s="3">
        <v>5.3200000000000005E-7</v>
      </c>
      <c r="G67">
        <f t="shared" ref="G67:G150" si="1">LN(F67)</f>
        <v>-14.446622347604766</v>
      </c>
    </row>
    <row r="68" spans="1:17" x14ac:dyDescent="0.25">
      <c r="E68">
        <v>125</v>
      </c>
      <c r="F68" s="3">
        <v>4.89E-7</v>
      </c>
      <c r="G68">
        <f t="shared" si="1"/>
        <v>-14.53090334747154</v>
      </c>
    </row>
    <row r="69" spans="1:17" x14ac:dyDescent="0.25">
      <c r="E69">
        <v>100</v>
      </c>
      <c r="F69" s="3">
        <v>4.3799999999999998E-7</v>
      </c>
      <c r="G69">
        <f t="shared" si="1"/>
        <v>-14.641046926569965</v>
      </c>
    </row>
    <row r="70" spans="1:17" x14ac:dyDescent="0.25">
      <c r="E70">
        <v>75</v>
      </c>
      <c r="F70" s="3">
        <v>3.89E-7</v>
      </c>
      <c r="G70">
        <f t="shared" si="1"/>
        <v>-14.759686493327965</v>
      </c>
    </row>
    <row r="71" spans="1:17" x14ac:dyDescent="0.25">
      <c r="E71">
        <v>50</v>
      </c>
      <c r="F71" s="3">
        <v>3.2599999999999998E-7</v>
      </c>
      <c r="G71">
        <f t="shared" si="1"/>
        <v>-14.936368455579704</v>
      </c>
      <c r="Q71" s="43"/>
    </row>
    <row r="72" spans="1:17" x14ac:dyDescent="0.25">
      <c r="E72">
        <v>25</v>
      </c>
      <c r="F72" s="3">
        <v>2.5699999999999999E-7</v>
      </c>
      <c r="G72">
        <f t="shared" si="1"/>
        <v>-15.174189752051191</v>
      </c>
      <c r="Q72" s="43"/>
    </row>
    <row r="73" spans="1:17" x14ac:dyDescent="0.25">
      <c r="E73">
        <v>0</v>
      </c>
      <c r="F73" s="3">
        <v>1.85E-7</v>
      </c>
      <c r="G73">
        <f t="shared" si="1"/>
        <v>-15.502910011868087</v>
      </c>
      <c r="Q73" s="43"/>
    </row>
    <row r="74" spans="1:17" x14ac:dyDescent="0.25">
      <c r="A74" s="6">
        <v>43570</v>
      </c>
      <c r="B74">
        <v>490</v>
      </c>
      <c r="C74">
        <v>790</v>
      </c>
      <c r="D74">
        <v>900</v>
      </c>
      <c r="E74">
        <v>300</v>
      </c>
      <c r="F74" s="3">
        <v>5.1600000000000001E-7</v>
      </c>
      <c r="G74">
        <f t="shared" si="1"/>
        <v>-14.477159071464849</v>
      </c>
      <c r="Q74" s="43"/>
    </row>
    <row r="75" spans="1:17" x14ac:dyDescent="0.25">
      <c r="E75">
        <v>250</v>
      </c>
      <c r="F75" s="3">
        <v>4.75E-7</v>
      </c>
      <c r="G75">
        <f t="shared" si="1"/>
        <v>-14.559951032911769</v>
      </c>
      <c r="Q75" s="44"/>
    </row>
    <row r="76" spans="1:17" x14ac:dyDescent="0.25">
      <c r="E76">
        <v>200</v>
      </c>
      <c r="F76" s="3">
        <v>4.2500000000000001E-7</v>
      </c>
      <c r="G76">
        <f t="shared" si="1"/>
        <v>-14.671176668021994</v>
      </c>
      <c r="Q76" s="43"/>
    </row>
    <row r="77" spans="1:17" x14ac:dyDescent="0.25">
      <c r="E77">
        <v>175</v>
      </c>
      <c r="F77" s="3">
        <v>3.9799999999999999E-7</v>
      </c>
      <c r="G77">
        <f t="shared" si="1"/>
        <v>-14.736813831661973</v>
      </c>
      <c r="Q77" s="43"/>
    </row>
    <row r="78" spans="1:17" x14ac:dyDescent="0.25">
      <c r="E78">
        <v>150</v>
      </c>
      <c r="F78" s="3">
        <v>3.6699999999999999E-7</v>
      </c>
      <c r="G78">
        <f t="shared" si="1"/>
        <v>-14.817903988891841</v>
      </c>
      <c r="Q78" s="43"/>
    </row>
    <row r="79" spans="1:17" x14ac:dyDescent="0.25">
      <c r="E79">
        <v>125</v>
      </c>
      <c r="F79" s="3">
        <v>3.3500000000000002E-7</v>
      </c>
      <c r="G79">
        <f t="shared" si="1"/>
        <v>-14.909135305121344</v>
      </c>
      <c r="Q79" s="43"/>
    </row>
    <row r="80" spans="1:17" x14ac:dyDescent="0.25">
      <c r="E80">
        <v>100</v>
      </c>
      <c r="F80" s="3">
        <v>3.0400000000000002E-7</v>
      </c>
      <c r="G80">
        <f t="shared" si="1"/>
        <v>-15.006238135540189</v>
      </c>
    </row>
    <row r="81" spans="1:7" x14ac:dyDescent="0.25">
      <c r="E81">
        <v>75</v>
      </c>
      <c r="F81" s="3">
        <v>2.6800000000000002E-7</v>
      </c>
      <c r="G81">
        <f t="shared" si="1"/>
        <v>-15.132278856435555</v>
      </c>
    </row>
    <row r="82" spans="1:7" x14ac:dyDescent="0.25">
      <c r="E82">
        <v>50</v>
      </c>
      <c r="F82" s="3">
        <v>2.2499999999999999E-7</v>
      </c>
      <c r="G82">
        <f t="shared" si="1"/>
        <v>-15.307165434741991</v>
      </c>
    </row>
    <row r="83" spans="1:7" x14ac:dyDescent="0.25">
      <c r="E83">
        <v>25</v>
      </c>
      <c r="F83" s="3">
        <v>1.7599999999999999E-7</v>
      </c>
      <c r="G83">
        <f t="shared" si="1"/>
        <v>-15.55278184190826</v>
      </c>
    </row>
    <row r="84" spans="1:7" x14ac:dyDescent="0.25">
      <c r="E84">
        <v>0</v>
      </c>
      <c r="F84" s="3">
        <v>1.2700000000000001E-7</v>
      </c>
      <c r="G84">
        <f t="shared" si="1"/>
        <v>-15.879078750487819</v>
      </c>
    </row>
    <row r="85" spans="1:7" x14ac:dyDescent="0.25">
      <c r="A85" s="6">
        <v>43572</v>
      </c>
      <c r="B85">
        <v>490</v>
      </c>
      <c r="C85">
        <v>790</v>
      </c>
      <c r="D85">
        <v>900</v>
      </c>
      <c r="E85">
        <v>300</v>
      </c>
      <c r="F85" s="3">
        <v>5.2499999999999995E-7</v>
      </c>
      <c r="G85">
        <f t="shared" si="1"/>
        <v>-14.459867574354787</v>
      </c>
    </row>
    <row r="86" spans="1:7" x14ac:dyDescent="0.25">
      <c r="E86">
        <v>250</v>
      </c>
      <c r="F86" s="3">
        <v>4.7800000000000002E-7</v>
      </c>
      <c r="G86">
        <f t="shared" si="1"/>
        <v>-14.553655104454956</v>
      </c>
    </row>
    <row r="87" spans="1:7" x14ac:dyDescent="0.25">
      <c r="E87">
        <v>200</v>
      </c>
      <c r="F87" s="3">
        <v>4.2800000000000002E-7</v>
      </c>
      <c r="G87">
        <f t="shared" si="1"/>
        <v>-14.664142641364615</v>
      </c>
    </row>
    <row r="88" spans="1:7" x14ac:dyDescent="0.25">
      <c r="E88">
        <v>175</v>
      </c>
      <c r="F88" s="3">
        <v>3.9700000000000002E-7</v>
      </c>
      <c r="G88">
        <f t="shared" si="1"/>
        <v>-14.739329556259221</v>
      </c>
    </row>
    <row r="89" spans="1:7" x14ac:dyDescent="0.25">
      <c r="E89">
        <v>150</v>
      </c>
      <c r="F89" s="3">
        <v>3.6800000000000001E-7</v>
      </c>
      <c r="G89">
        <f t="shared" si="1"/>
        <v>-14.815182898777481</v>
      </c>
    </row>
    <row r="90" spans="1:7" x14ac:dyDescent="0.25">
      <c r="E90">
        <v>125</v>
      </c>
      <c r="F90" s="3">
        <v>3.3799999999999998E-7</v>
      </c>
      <c r="G90">
        <f t="shared" si="1"/>
        <v>-14.900219941463392</v>
      </c>
    </row>
    <row r="91" spans="1:7" x14ac:dyDescent="0.25">
      <c r="E91">
        <v>100</v>
      </c>
      <c r="F91" s="3">
        <v>3.0600000000000001E-7</v>
      </c>
      <c r="G91">
        <f t="shared" si="1"/>
        <v>-14.99968073499403</v>
      </c>
    </row>
    <row r="92" spans="1:7" x14ac:dyDescent="0.25">
      <c r="E92">
        <v>75</v>
      </c>
      <c r="F92" s="3">
        <v>2.7099999999999998E-7</v>
      </c>
      <c r="G92">
        <f t="shared" si="1"/>
        <v>-15.121147016066711</v>
      </c>
    </row>
    <row r="93" spans="1:7" x14ac:dyDescent="0.25">
      <c r="E93">
        <v>50</v>
      </c>
      <c r="F93" s="3">
        <v>2.2700000000000001E-7</v>
      </c>
      <c r="G93">
        <f t="shared" si="1"/>
        <v>-15.298315819465008</v>
      </c>
    </row>
    <row r="94" spans="1:7" x14ac:dyDescent="0.25">
      <c r="E94">
        <v>25</v>
      </c>
      <c r="F94" s="3">
        <v>1.7700000000000001E-7</v>
      </c>
      <c r="G94">
        <f t="shared" si="1"/>
        <v>-15.547116104372583</v>
      </c>
    </row>
    <row r="95" spans="1:7" x14ac:dyDescent="0.25">
      <c r="E95">
        <v>0</v>
      </c>
      <c r="F95" s="3">
        <v>1.2800000000000001E-7</v>
      </c>
      <c r="G95">
        <f t="shared" si="1"/>
        <v>-15.871235573026794</v>
      </c>
    </row>
    <row r="96" spans="1:7" x14ac:dyDescent="0.25">
      <c r="A96" s="6">
        <v>43575</v>
      </c>
      <c r="B96">
        <v>490</v>
      </c>
      <c r="C96">
        <v>790</v>
      </c>
      <c r="D96">
        <v>900</v>
      </c>
      <c r="E96">
        <v>300</v>
      </c>
      <c r="F96" s="3">
        <v>5.1699999999999998E-7</v>
      </c>
      <c r="G96">
        <f t="shared" si="1"/>
        <v>-14.475222962437982</v>
      </c>
    </row>
    <row r="97" spans="1:7" x14ac:dyDescent="0.25">
      <c r="E97">
        <v>250</v>
      </c>
      <c r="F97" s="3">
        <v>4.7199999999999999E-7</v>
      </c>
      <c r="G97">
        <f t="shared" si="1"/>
        <v>-14.566286851360855</v>
      </c>
    </row>
    <row r="98" spans="1:7" x14ac:dyDescent="0.25">
      <c r="E98">
        <v>200</v>
      </c>
      <c r="F98" s="3">
        <v>4.2100000000000002E-7</v>
      </c>
      <c r="G98">
        <f t="shared" si="1"/>
        <v>-14.680633003264029</v>
      </c>
    </row>
    <row r="99" spans="1:7" x14ac:dyDescent="0.25">
      <c r="E99">
        <v>175</v>
      </c>
      <c r="F99" s="3">
        <v>3.9400000000000001E-7</v>
      </c>
      <c r="G99">
        <f t="shared" si="1"/>
        <v>-14.746914927648477</v>
      </c>
    </row>
    <row r="100" spans="1:7" x14ac:dyDescent="0.25">
      <c r="E100">
        <v>150</v>
      </c>
      <c r="F100" s="3">
        <v>3.5999999999999999E-7</v>
      </c>
      <c r="G100">
        <f t="shared" si="1"/>
        <v>-14.837161805496255</v>
      </c>
    </row>
    <row r="101" spans="1:7" x14ac:dyDescent="0.25">
      <c r="E101">
        <v>125</v>
      </c>
      <c r="F101" s="3">
        <v>3.3099999999999999E-7</v>
      </c>
      <c r="G101">
        <f t="shared" si="1"/>
        <v>-14.921147461569348</v>
      </c>
    </row>
    <row r="102" spans="1:7" x14ac:dyDescent="0.25">
      <c r="E102">
        <v>100</v>
      </c>
      <c r="F102" s="3">
        <v>2.9999999999999999E-7</v>
      </c>
      <c r="G102">
        <f t="shared" si="1"/>
        <v>-15.01948336229021</v>
      </c>
    </row>
    <row r="103" spans="1:7" x14ac:dyDescent="0.25">
      <c r="E103">
        <v>75</v>
      </c>
      <c r="F103" s="3">
        <v>2.65E-7</v>
      </c>
      <c r="G103">
        <f t="shared" si="1"/>
        <v>-15.143536010960188</v>
      </c>
    </row>
    <row r="104" spans="1:7" x14ac:dyDescent="0.25">
      <c r="E104">
        <v>50</v>
      </c>
      <c r="F104" s="3">
        <v>2.2399999999999999E-7</v>
      </c>
      <c r="G104">
        <f t="shared" si="1"/>
        <v>-15.311619785091372</v>
      </c>
    </row>
    <row r="105" spans="1:7" x14ac:dyDescent="0.25">
      <c r="E105">
        <v>25</v>
      </c>
      <c r="F105" s="3">
        <v>1.7599999999999999E-7</v>
      </c>
      <c r="G105">
        <f t="shared" si="1"/>
        <v>-15.55278184190826</v>
      </c>
    </row>
    <row r="106" spans="1:7" x14ac:dyDescent="0.25">
      <c r="E106">
        <v>0</v>
      </c>
      <c r="F106" s="3">
        <v>1.2599999999999999E-7</v>
      </c>
      <c r="G106">
        <f t="shared" si="1"/>
        <v>-15.886983929994933</v>
      </c>
    </row>
    <row r="107" spans="1:7" x14ac:dyDescent="0.25">
      <c r="A107" s="6">
        <v>43608</v>
      </c>
      <c r="B107">
        <v>490</v>
      </c>
      <c r="C107">
        <v>790</v>
      </c>
      <c r="D107">
        <v>900</v>
      </c>
      <c r="E107">
        <v>300</v>
      </c>
      <c r="F107" s="3">
        <v>5.0500000000000004E-7</v>
      </c>
      <c r="G107">
        <f t="shared" si="1"/>
        <v>-14.498707407671052</v>
      </c>
    </row>
    <row r="108" spans="1:7" x14ac:dyDescent="0.25">
      <c r="E108">
        <v>250</v>
      </c>
      <c r="F108" s="3">
        <v>4.6100000000000001E-7</v>
      </c>
      <c r="G108">
        <f t="shared" si="1"/>
        <v>-14.589867793949763</v>
      </c>
    </row>
    <row r="109" spans="1:7" x14ac:dyDescent="0.25">
      <c r="E109">
        <v>200</v>
      </c>
      <c r="F109" s="3">
        <v>4.1100000000000001E-7</v>
      </c>
      <c r="G109">
        <f t="shared" si="1"/>
        <v>-14.704672622450177</v>
      </c>
    </row>
    <row r="110" spans="1:7" x14ac:dyDescent="0.25">
      <c r="E110">
        <v>175</v>
      </c>
      <c r="F110" s="3">
        <v>3.8299999999999998E-7</v>
      </c>
      <c r="G110">
        <f t="shared" si="1"/>
        <v>-14.775230847765766</v>
      </c>
    </row>
    <row r="111" spans="1:7" x14ac:dyDescent="0.25">
      <c r="E111">
        <v>150</v>
      </c>
      <c r="F111" s="3">
        <v>3.53E-7</v>
      </c>
      <c r="G111">
        <f t="shared" si="1"/>
        <v>-14.856797780013114</v>
      </c>
    </row>
    <row r="112" spans="1:7" x14ac:dyDescent="0.25">
      <c r="E112">
        <v>125</v>
      </c>
      <c r="F112" s="3">
        <v>3.22E-7</v>
      </c>
      <c r="G112">
        <f t="shared" si="1"/>
        <v>-14.948714291402004</v>
      </c>
    </row>
    <row r="113" spans="1:7" x14ac:dyDescent="0.25">
      <c r="E113">
        <v>100</v>
      </c>
      <c r="F113" s="3">
        <v>2.91E-7</v>
      </c>
      <c r="G113">
        <f t="shared" si="1"/>
        <v>-15.049942569774919</v>
      </c>
    </row>
    <row r="114" spans="1:7" x14ac:dyDescent="0.25">
      <c r="E114">
        <v>75</v>
      </c>
      <c r="F114" s="3">
        <v>2.5800000000000001E-7</v>
      </c>
      <c r="G114">
        <f t="shared" si="1"/>
        <v>-15.170306252024794</v>
      </c>
    </row>
    <row r="115" spans="1:7" x14ac:dyDescent="0.25">
      <c r="E115">
        <v>50</v>
      </c>
      <c r="F115" s="3">
        <v>2.1899999999999999E-7</v>
      </c>
      <c r="G115">
        <f t="shared" si="1"/>
        <v>-15.33419410712991</v>
      </c>
    </row>
    <row r="116" spans="1:7" x14ac:dyDescent="0.25">
      <c r="E116">
        <v>25</v>
      </c>
      <c r="F116" s="3">
        <v>1.72E-7</v>
      </c>
      <c r="G116">
        <f t="shared" si="1"/>
        <v>-15.575771360132958</v>
      </c>
    </row>
    <row r="117" spans="1:7" x14ac:dyDescent="0.25">
      <c r="E117">
        <v>0</v>
      </c>
      <c r="F117" s="3">
        <v>1.24E-7</v>
      </c>
      <c r="G117">
        <f t="shared" si="1"/>
        <v>-15.902984271341374</v>
      </c>
    </row>
    <row r="118" spans="1:7" x14ac:dyDescent="0.25">
      <c r="A118" s="6">
        <v>43585</v>
      </c>
      <c r="B118">
        <v>490</v>
      </c>
      <c r="C118">
        <v>790</v>
      </c>
      <c r="D118">
        <v>900</v>
      </c>
      <c r="E118">
        <v>300</v>
      </c>
      <c r="F118" s="3">
        <v>5.0200000000000002E-7</v>
      </c>
      <c r="G118">
        <f t="shared" si="1"/>
        <v>-14.504665717254682</v>
      </c>
    </row>
    <row r="119" spans="1:7" x14ac:dyDescent="0.25">
      <c r="E119">
        <v>250</v>
      </c>
      <c r="F119" s="3">
        <v>4.5900000000000002E-7</v>
      </c>
      <c r="G119">
        <f t="shared" si="1"/>
        <v>-14.594215626885866</v>
      </c>
    </row>
    <row r="120" spans="1:7" x14ac:dyDescent="0.25">
      <c r="E120">
        <v>200</v>
      </c>
      <c r="F120" s="3">
        <v>4.08E-7</v>
      </c>
      <c r="G120">
        <f t="shared" si="1"/>
        <v>-14.71199866254225</v>
      </c>
    </row>
    <row r="121" spans="1:7" x14ac:dyDescent="0.25">
      <c r="E121">
        <v>175</v>
      </c>
      <c r="F121" s="3">
        <v>3.7899999999999999E-7</v>
      </c>
      <c r="G121">
        <f t="shared" si="1"/>
        <v>-14.785729631863985</v>
      </c>
    </row>
    <row r="122" spans="1:7" x14ac:dyDescent="0.25">
      <c r="E122">
        <v>150</v>
      </c>
      <c r="F122" s="3">
        <v>3.5199999999999998E-7</v>
      </c>
      <c r="G122">
        <f t="shared" si="1"/>
        <v>-14.859634661348315</v>
      </c>
    </row>
    <row r="123" spans="1:7" x14ac:dyDescent="0.25">
      <c r="E123">
        <v>125</v>
      </c>
      <c r="F123" s="3">
        <v>3.2300000000000002E-7</v>
      </c>
      <c r="G123">
        <f t="shared" si="1"/>
        <v>-14.945613513723755</v>
      </c>
    </row>
    <row r="124" spans="1:7" x14ac:dyDescent="0.25">
      <c r="E124">
        <v>100</v>
      </c>
      <c r="F124" s="3">
        <v>2.8999999999999998E-7</v>
      </c>
      <c r="G124">
        <f t="shared" si="1"/>
        <v>-15.053384913965891</v>
      </c>
    </row>
    <row r="125" spans="1:7" x14ac:dyDescent="0.25">
      <c r="E125">
        <v>75</v>
      </c>
      <c r="F125" s="3">
        <v>2.5600000000000002E-7</v>
      </c>
      <c r="G125">
        <f t="shared" si="1"/>
        <v>-15.178088392466849</v>
      </c>
    </row>
    <row r="126" spans="1:7" x14ac:dyDescent="0.25">
      <c r="E126">
        <v>50</v>
      </c>
      <c r="F126" s="3">
        <v>2.17E-7</v>
      </c>
      <c r="G126">
        <f t="shared" si="1"/>
        <v>-15.343368483405952</v>
      </c>
    </row>
    <row r="127" spans="1:7" x14ac:dyDescent="0.25">
      <c r="E127">
        <v>25</v>
      </c>
      <c r="F127" s="3">
        <v>1.7100000000000001E-7</v>
      </c>
      <c r="G127">
        <f t="shared" si="1"/>
        <v>-15.581602280443752</v>
      </c>
    </row>
    <row r="128" spans="1:7" x14ac:dyDescent="0.25">
      <c r="E128">
        <v>0</v>
      </c>
      <c r="F128" s="3">
        <v>1.23E-7</v>
      </c>
      <c r="G128">
        <f t="shared" si="1"/>
        <v>-15.911081481573994</v>
      </c>
    </row>
    <row r="129" spans="1:7" x14ac:dyDescent="0.25">
      <c r="A129" s="6">
        <v>43622</v>
      </c>
      <c r="B129">
        <v>490</v>
      </c>
      <c r="C129">
        <v>790</v>
      </c>
      <c r="D129">
        <v>900</v>
      </c>
      <c r="E129">
        <v>300</v>
      </c>
      <c r="F129" s="3">
        <v>4.9900000000000001E-7</v>
      </c>
      <c r="G129">
        <f t="shared" si="1"/>
        <v>-14.510659741194893</v>
      </c>
    </row>
    <row r="130" spans="1:7" x14ac:dyDescent="0.25">
      <c r="E130">
        <v>250</v>
      </c>
      <c r="F130" s="3">
        <v>4.5299999999999999E-7</v>
      </c>
      <c r="G130">
        <f t="shared" si="1"/>
        <v>-14.607373711463378</v>
      </c>
    </row>
    <row r="131" spans="1:7" x14ac:dyDescent="0.25">
      <c r="E131">
        <v>200</v>
      </c>
      <c r="F131" s="3">
        <v>4.0400000000000002E-7</v>
      </c>
      <c r="G131">
        <f t="shared" si="1"/>
        <v>-14.721850958985261</v>
      </c>
    </row>
    <row r="132" spans="1:7" x14ac:dyDescent="0.25">
      <c r="E132">
        <v>175</v>
      </c>
      <c r="F132" s="3">
        <v>3.7500000000000001E-7</v>
      </c>
      <c r="G132">
        <f t="shared" si="1"/>
        <v>-14.796339810976001</v>
      </c>
    </row>
    <row r="133" spans="1:7" x14ac:dyDescent="0.25">
      <c r="E133">
        <v>150</v>
      </c>
      <c r="F133" s="3">
        <v>3.4799999999999999E-7</v>
      </c>
      <c r="G133">
        <f t="shared" si="1"/>
        <v>-14.871063357171938</v>
      </c>
    </row>
    <row r="134" spans="1:7" x14ac:dyDescent="0.25">
      <c r="E134">
        <v>125</v>
      </c>
      <c r="F134" s="3">
        <v>3.2300000000000002E-7</v>
      </c>
      <c r="G134">
        <f t="shared" si="1"/>
        <v>-14.945613513723755</v>
      </c>
    </row>
    <row r="135" spans="1:7" x14ac:dyDescent="0.25">
      <c r="E135">
        <v>100</v>
      </c>
      <c r="F135" s="3">
        <v>2.8700000000000002E-7</v>
      </c>
      <c r="G135">
        <f t="shared" si="1"/>
        <v>-15.06378362118679</v>
      </c>
    </row>
    <row r="136" spans="1:7" x14ac:dyDescent="0.25">
      <c r="E136">
        <v>75</v>
      </c>
      <c r="F136" s="3">
        <v>2.5400000000000002E-7</v>
      </c>
      <c r="G136">
        <f t="shared" si="1"/>
        <v>-15.185931569927874</v>
      </c>
    </row>
    <row r="137" spans="1:7" x14ac:dyDescent="0.25">
      <c r="E137">
        <v>50</v>
      </c>
      <c r="F137" s="3">
        <v>2.1400000000000001E-7</v>
      </c>
      <c r="G137">
        <f t="shared" si="1"/>
        <v>-15.35728982192456</v>
      </c>
    </row>
    <row r="138" spans="1:7" x14ac:dyDescent="0.25">
      <c r="E138">
        <v>25</v>
      </c>
      <c r="F138" s="3">
        <v>1.6899999999999999E-7</v>
      </c>
      <c r="G138">
        <f t="shared" si="1"/>
        <v>-15.593367122023338</v>
      </c>
    </row>
    <row r="139" spans="1:7" x14ac:dyDescent="0.25">
      <c r="E139">
        <v>0</v>
      </c>
      <c r="F139" s="3">
        <v>1.2200000000000001E-7</v>
      </c>
      <c r="G139">
        <f t="shared" si="1"/>
        <v>-15.919244792213155</v>
      </c>
    </row>
    <row r="140" spans="1:7" x14ac:dyDescent="0.25">
      <c r="A140" s="6">
        <v>43634</v>
      </c>
      <c r="B140">
        <v>490</v>
      </c>
      <c r="C140">
        <v>790</v>
      </c>
      <c r="D140">
        <v>900</v>
      </c>
      <c r="E140">
        <v>300</v>
      </c>
      <c r="F140" s="3">
        <v>4.8999999999999997E-7</v>
      </c>
      <c r="G140">
        <f t="shared" si="1"/>
        <v>-14.528860445841739</v>
      </c>
    </row>
    <row r="141" spans="1:7" x14ac:dyDescent="0.25">
      <c r="E141">
        <v>250</v>
      </c>
      <c r="F141" s="3">
        <v>4.4299999999999998E-7</v>
      </c>
      <c r="G141">
        <f t="shared" si="1"/>
        <v>-14.629696066901275</v>
      </c>
    </row>
    <row r="142" spans="1:7" x14ac:dyDescent="0.25">
      <c r="E142">
        <v>200</v>
      </c>
      <c r="F142" s="3">
        <v>3.9700000000000002E-7</v>
      </c>
      <c r="G142">
        <f t="shared" si="1"/>
        <v>-14.739329556259221</v>
      </c>
    </row>
    <row r="143" spans="1:7" x14ac:dyDescent="0.25">
      <c r="E143">
        <v>175</v>
      </c>
      <c r="F143" s="3">
        <v>3.7E-7</v>
      </c>
      <c r="G143">
        <f t="shared" si="1"/>
        <v>-14.809762831308142</v>
      </c>
    </row>
    <row r="144" spans="1:7" x14ac:dyDescent="0.25">
      <c r="E144">
        <v>150</v>
      </c>
      <c r="F144" s="3">
        <v>3.4299999999999999E-7</v>
      </c>
      <c r="G144">
        <f t="shared" si="1"/>
        <v>-14.885535389780472</v>
      </c>
    </row>
    <row r="145" spans="1:7" x14ac:dyDescent="0.25">
      <c r="E145">
        <v>125</v>
      </c>
      <c r="F145" s="3">
        <v>3.1600000000000002E-7</v>
      </c>
      <c r="G145">
        <f t="shared" si="1"/>
        <v>-14.967523623359499</v>
      </c>
    </row>
    <row r="146" spans="1:7" x14ac:dyDescent="0.25">
      <c r="E146">
        <v>100</v>
      </c>
      <c r="F146" s="3">
        <v>2.8299999999999998E-7</v>
      </c>
      <c r="G146">
        <f t="shared" si="1"/>
        <v>-15.077818939303173</v>
      </c>
    </row>
    <row r="147" spans="1:7" x14ac:dyDescent="0.25">
      <c r="E147">
        <v>75</v>
      </c>
      <c r="F147" s="3">
        <v>2.5100000000000001E-7</v>
      </c>
      <c r="G147">
        <f t="shared" si="1"/>
        <v>-15.197812897814627</v>
      </c>
    </row>
    <row r="148" spans="1:7" x14ac:dyDescent="0.25">
      <c r="E148">
        <v>50</v>
      </c>
      <c r="F148" s="3">
        <v>2.1E-7</v>
      </c>
      <c r="G148">
        <f t="shared" si="1"/>
        <v>-15.376158306228943</v>
      </c>
    </row>
    <row r="149" spans="1:7" x14ac:dyDescent="0.25">
      <c r="E149">
        <v>25</v>
      </c>
      <c r="F149" s="3">
        <v>1.6500000000000001E-7</v>
      </c>
      <c r="G149">
        <f t="shared" si="1"/>
        <v>-15.617320363045831</v>
      </c>
    </row>
    <row r="150" spans="1:7" x14ac:dyDescent="0.25">
      <c r="E150">
        <v>0</v>
      </c>
      <c r="F150" s="3">
        <v>1.1899999999999999E-7</v>
      </c>
      <c r="G150">
        <f t="shared" si="1"/>
        <v>-15.944142343834882</v>
      </c>
    </row>
    <row r="151" spans="1:7" x14ac:dyDescent="0.25">
      <c r="A151" s="6">
        <v>43636</v>
      </c>
      <c r="B151">
        <v>480</v>
      </c>
      <c r="C151">
        <v>790</v>
      </c>
      <c r="D151">
        <v>900</v>
      </c>
      <c r="E151">
        <v>300</v>
      </c>
      <c r="F151" s="3">
        <v>3.3000000000000002E-7</v>
      </c>
      <c r="G151">
        <f t="shared" ref="G151:G260" si="2">LN(F151)</f>
        <v>-14.924173182485886</v>
      </c>
    </row>
    <row r="152" spans="1:7" x14ac:dyDescent="0.25">
      <c r="E152">
        <v>250</v>
      </c>
      <c r="F152" s="3">
        <v>3.0199999999999998E-7</v>
      </c>
      <c r="G152">
        <f t="shared" si="2"/>
        <v>-15.012838819571542</v>
      </c>
    </row>
    <row r="153" spans="1:7" x14ac:dyDescent="0.25">
      <c r="E153">
        <v>200</v>
      </c>
      <c r="F153" s="3">
        <v>2.6800000000000002E-7</v>
      </c>
      <c r="G153">
        <f t="shared" si="2"/>
        <v>-15.132278856435555</v>
      </c>
    </row>
    <row r="154" spans="1:7" x14ac:dyDescent="0.25">
      <c r="E154">
        <v>175</v>
      </c>
      <c r="F154" s="3">
        <v>2.5199999999999998E-7</v>
      </c>
      <c r="G154">
        <f t="shared" si="2"/>
        <v>-15.193836749434988</v>
      </c>
    </row>
    <row r="155" spans="1:7" x14ac:dyDescent="0.25">
      <c r="E155">
        <v>150</v>
      </c>
      <c r="F155" s="3">
        <v>2.35E-7</v>
      </c>
      <c r="G155">
        <f t="shared" si="2"/>
        <v>-15.263680322802252</v>
      </c>
    </row>
    <row r="156" spans="1:7" x14ac:dyDescent="0.25">
      <c r="E156">
        <v>125</v>
      </c>
      <c r="F156" s="3">
        <v>2.1500000000000001E-7</v>
      </c>
      <c r="G156">
        <f t="shared" si="2"/>
        <v>-15.352627808818749</v>
      </c>
    </row>
    <row r="157" spans="1:7" x14ac:dyDescent="0.25">
      <c r="E157">
        <v>100</v>
      </c>
      <c r="F157" s="3">
        <v>1.9500000000000001E-7</v>
      </c>
      <c r="G157">
        <f t="shared" si="2"/>
        <v>-15.450266278382664</v>
      </c>
    </row>
    <row r="158" spans="1:7" x14ac:dyDescent="0.25">
      <c r="E158">
        <v>75</v>
      </c>
      <c r="F158" s="3">
        <v>1.7499999999999999E-7</v>
      </c>
      <c r="G158">
        <f t="shared" si="2"/>
        <v>-15.558479863022898</v>
      </c>
    </row>
    <row r="159" spans="1:7" x14ac:dyDescent="0.25">
      <c r="E159">
        <v>50</v>
      </c>
      <c r="F159" s="3">
        <v>1.4499999999999999E-7</v>
      </c>
      <c r="G159">
        <f t="shared" si="2"/>
        <v>-15.746532094525836</v>
      </c>
    </row>
    <row r="160" spans="1:7" x14ac:dyDescent="0.25">
      <c r="E160">
        <v>25</v>
      </c>
      <c r="F160" s="3">
        <v>1.14E-7</v>
      </c>
      <c r="G160">
        <f t="shared" si="2"/>
        <v>-15.987067388551916</v>
      </c>
    </row>
    <row r="161" spans="1:7" x14ac:dyDescent="0.25">
      <c r="E161">
        <v>0</v>
      </c>
      <c r="F161" s="3">
        <v>8.2000000000000006E-8</v>
      </c>
      <c r="G161">
        <f t="shared" si="2"/>
        <v>-16.316546589682158</v>
      </c>
    </row>
    <row r="162" spans="1:7" x14ac:dyDescent="0.25">
      <c r="A162" s="6">
        <v>43642</v>
      </c>
      <c r="B162">
        <v>480</v>
      </c>
      <c r="C162">
        <v>790</v>
      </c>
      <c r="D162">
        <v>900</v>
      </c>
      <c r="E162">
        <v>300</v>
      </c>
      <c r="F162" s="3">
        <v>3.2000000000000001E-7</v>
      </c>
      <c r="G162">
        <f t="shared" si="2"/>
        <v>-14.954944841152638</v>
      </c>
    </row>
    <row r="163" spans="1:7" x14ac:dyDescent="0.25">
      <c r="E163">
        <v>250</v>
      </c>
      <c r="F163" s="3">
        <v>2.9499999999999998E-7</v>
      </c>
      <c r="G163">
        <f t="shared" si="2"/>
        <v>-15.036290480606592</v>
      </c>
    </row>
    <row r="164" spans="1:7" x14ac:dyDescent="0.25">
      <c r="E164">
        <v>200</v>
      </c>
      <c r="F164" s="3">
        <v>2.5800000000000001E-7</v>
      </c>
      <c r="G164">
        <f t="shared" si="2"/>
        <v>-15.170306252024794</v>
      </c>
    </row>
    <row r="165" spans="1:7" x14ac:dyDescent="0.25">
      <c r="E165">
        <v>150</v>
      </c>
      <c r="F165" s="3">
        <v>2.2499999999999999E-7</v>
      </c>
      <c r="G165">
        <f t="shared" si="2"/>
        <v>-15.307165434741991</v>
      </c>
    </row>
    <row r="166" spans="1:7" x14ac:dyDescent="0.25">
      <c r="E166">
        <v>100</v>
      </c>
      <c r="F166" s="3">
        <v>1.86E-7</v>
      </c>
      <c r="G166">
        <f t="shared" si="2"/>
        <v>-15.497519163233211</v>
      </c>
    </row>
    <row r="167" spans="1:7" x14ac:dyDescent="0.25">
      <c r="E167">
        <v>50</v>
      </c>
      <c r="F167" s="3">
        <v>1.37E-7</v>
      </c>
      <c r="G167">
        <f t="shared" si="2"/>
        <v>-15.803284911118286</v>
      </c>
    </row>
    <row r="168" spans="1:7" x14ac:dyDescent="0.25">
      <c r="E168">
        <v>0</v>
      </c>
      <c r="F168" s="3">
        <v>7.7800000000000001E-7</v>
      </c>
      <c r="G168">
        <f t="shared" si="2"/>
        <v>-14.06653931276802</v>
      </c>
    </row>
    <row r="169" spans="1:7" x14ac:dyDescent="0.25">
      <c r="A169" s="6">
        <v>43644</v>
      </c>
      <c r="B169">
        <v>480</v>
      </c>
      <c r="C169">
        <v>790</v>
      </c>
      <c r="D169">
        <v>900</v>
      </c>
      <c r="E169">
        <v>300</v>
      </c>
      <c r="F169" s="3">
        <v>3.1699999999999999E-7</v>
      </c>
      <c r="G169">
        <f t="shared" si="2"/>
        <v>-14.96436406306913</v>
      </c>
    </row>
    <row r="170" spans="1:7" x14ac:dyDescent="0.25">
      <c r="E170">
        <v>250</v>
      </c>
      <c r="F170" s="3">
        <v>2.8999999999999998E-7</v>
      </c>
      <c r="G170">
        <f t="shared" si="2"/>
        <v>-15.053384913965891</v>
      </c>
    </row>
    <row r="171" spans="1:7" x14ac:dyDescent="0.25">
      <c r="E171">
        <v>200</v>
      </c>
      <c r="F171" s="3">
        <v>2.5899999999999998E-7</v>
      </c>
      <c r="G171">
        <f t="shared" si="2"/>
        <v>-15.166437775246873</v>
      </c>
    </row>
    <row r="172" spans="1:7" x14ac:dyDescent="0.25">
      <c r="E172">
        <v>150</v>
      </c>
      <c r="F172" s="3">
        <v>2.2600000000000001E-7</v>
      </c>
      <c r="G172">
        <f t="shared" si="2"/>
        <v>-15.302730837674126</v>
      </c>
    </row>
    <row r="173" spans="1:7" x14ac:dyDescent="0.25">
      <c r="E173">
        <v>100</v>
      </c>
      <c r="F173" s="3">
        <v>1.86E-7</v>
      </c>
      <c r="G173">
        <f t="shared" si="2"/>
        <v>-15.497519163233211</v>
      </c>
    </row>
    <row r="174" spans="1:7" x14ac:dyDescent="0.25">
      <c r="E174">
        <v>50</v>
      </c>
      <c r="F174" s="3">
        <v>1.37E-7</v>
      </c>
      <c r="G174">
        <f t="shared" si="2"/>
        <v>-15.803284911118286</v>
      </c>
    </row>
    <row r="175" spans="1:7" x14ac:dyDescent="0.25">
      <c r="E175">
        <v>0</v>
      </c>
      <c r="F175" s="3">
        <v>7.7900000000000003E-8</v>
      </c>
      <c r="G175">
        <f t="shared" si="2"/>
        <v>-16.36783988406971</v>
      </c>
    </row>
    <row r="176" spans="1:7" x14ac:dyDescent="0.25">
      <c r="A176" s="6">
        <v>43664</v>
      </c>
      <c r="B176">
        <v>472</v>
      </c>
      <c r="C176">
        <v>790</v>
      </c>
      <c r="D176">
        <v>900</v>
      </c>
      <c r="E176">
        <v>300</v>
      </c>
      <c r="F176" s="3">
        <v>2.3099999999999999E-7</v>
      </c>
      <c r="G176">
        <f t="shared" si="2"/>
        <v>-15.280848126424617</v>
      </c>
    </row>
    <row r="177" spans="1:7" x14ac:dyDescent="0.25">
      <c r="E177">
        <v>250</v>
      </c>
      <c r="F177" s="3">
        <v>2.11E-7</v>
      </c>
      <c r="G177">
        <f t="shared" si="2"/>
        <v>-15.371407703470345</v>
      </c>
    </row>
    <row r="178" spans="1:7" x14ac:dyDescent="0.25">
      <c r="E178">
        <v>200</v>
      </c>
      <c r="F178" s="3">
        <v>1.9000000000000001E-7</v>
      </c>
      <c r="G178">
        <f t="shared" si="2"/>
        <v>-15.476241764785925</v>
      </c>
    </row>
    <row r="179" spans="1:7" x14ac:dyDescent="0.25">
      <c r="E179">
        <v>150</v>
      </c>
      <c r="F179" s="3">
        <v>1.6500000000000001E-7</v>
      </c>
      <c r="G179">
        <f t="shared" si="2"/>
        <v>-15.617320363045831</v>
      </c>
    </row>
    <row r="180" spans="1:7" x14ac:dyDescent="0.25">
      <c r="E180">
        <v>100</v>
      </c>
      <c r="F180" s="3">
        <v>1.37E-7</v>
      </c>
      <c r="G180">
        <f t="shared" si="2"/>
        <v>-15.803284911118286</v>
      </c>
    </row>
    <row r="181" spans="1:7" x14ac:dyDescent="0.25">
      <c r="E181">
        <v>50</v>
      </c>
      <c r="F181" s="3">
        <v>1.01E-7</v>
      </c>
      <c r="G181">
        <f t="shared" si="2"/>
        <v>-16.108145320105152</v>
      </c>
    </row>
    <row r="182" spans="1:7" x14ac:dyDescent="0.25">
      <c r="E182">
        <v>0</v>
      </c>
      <c r="F182" s="3">
        <v>5.8599999999999998E-7</v>
      </c>
      <c r="G182">
        <f t="shared" si="2"/>
        <v>-14.349946047369398</v>
      </c>
    </row>
    <row r="183" spans="1:7" x14ac:dyDescent="0.25">
      <c r="A183" s="6">
        <v>43675</v>
      </c>
      <c r="B183">
        <v>472</v>
      </c>
      <c r="C183">
        <v>790</v>
      </c>
      <c r="D183">
        <v>900</v>
      </c>
      <c r="E183">
        <v>300</v>
      </c>
      <c r="F183" s="3">
        <v>2.2700000000000001E-7</v>
      </c>
      <c r="G183">
        <f t="shared" si="2"/>
        <v>-15.298315819465008</v>
      </c>
    </row>
    <row r="184" spans="1:7" x14ac:dyDescent="0.25">
      <c r="E184">
        <v>250</v>
      </c>
      <c r="F184" s="3">
        <v>2.0900000000000001E-7</v>
      </c>
      <c r="G184">
        <f t="shared" si="2"/>
        <v>-15.3809315849816</v>
      </c>
    </row>
    <row r="185" spans="1:7" x14ac:dyDescent="0.25">
      <c r="E185">
        <v>200</v>
      </c>
      <c r="F185" s="3">
        <v>1.8900000000000001E-7</v>
      </c>
      <c r="G185">
        <f t="shared" si="2"/>
        <v>-15.481518821886768</v>
      </c>
    </row>
    <row r="186" spans="1:7" x14ac:dyDescent="0.25">
      <c r="E186">
        <v>150</v>
      </c>
      <c r="F186" s="3">
        <v>1.6500000000000001E-7</v>
      </c>
      <c r="G186">
        <f t="shared" si="2"/>
        <v>-15.617320363045831</v>
      </c>
    </row>
    <row r="187" spans="1:7" x14ac:dyDescent="0.25">
      <c r="E187">
        <v>100</v>
      </c>
      <c r="F187" s="3">
        <v>1.35E-7</v>
      </c>
      <c r="G187">
        <f t="shared" si="2"/>
        <v>-15.817991058507982</v>
      </c>
    </row>
    <row r="188" spans="1:7" x14ac:dyDescent="0.25">
      <c r="E188">
        <v>50</v>
      </c>
      <c r="F188" s="3">
        <v>1.01E-7</v>
      </c>
      <c r="G188">
        <f t="shared" si="2"/>
        <v>-16.108145320105152</v>
      </c>
    </row>
    <row r="189" spans="1:7" x14ac:dyDescent="0.25">
      <c r="E189">
        <v>0</v>
      </c>
      <c r="F189" s="3">
        <v>5.6599999999999997E-8</v>
      </c>
      <c r="G189">
        <f t="shared" si="2"/>
        <v>-16.687256851737274</v>
      </c>
    </row>
    <row r="190" spans="1:7" x14ac:dyDescent="0.25">
      <c r="A190" s="6">
        <v>43676</v>
      </c>
      <c r="B190">
        <v>472</v>
      </c>
      <c r="C190">
        <v>790</v>
      </c>
      <c r="D190">
        <v>900</v>
      </c>
      <c r="E190">
        <v>300</v>
      </c>
      <c r="F190" s="3">
        <v>2.2499999999999999E-7</v>
      </c>
      <c r="G190">
        <f t="shared" si="2"/>
        <v>-15.307165434741991</v>
      </c>
    </row>
    <row r="191" spans="1:7" x14ac:dyDescent="0.25">
      <c r="E191">
        <v>250</v>
      </c>
      <c r="F191" s="3">
        <v>2.05E-7</v>
      </c>
      <c r="G191">
        <f t="shared" si="2"/>
        <v>-15.400255857808004</v>
      </c>
    </row>
    <row r="192" spans="1:7" x14ac:dyDescent="0.25">
      <c r="E192">
        <v>200</v>
      </c>
      <c r="F192" s="3">
        <v>1.85E-7</v>
      </c>
      <c r="G192">
        <f t="shared" si="2"/>
        <v>-15.502910011868087</v>
      </c>
    </row>
    <row r="193" spans="1:16" x14ac:dyDescent="0.25">
      <c r="E193">
        <v>150</v>
      </c>
      <c r="F193" s="3">
        <v>1.6E-7</v>
      </c>
      <c r="G193">
        <f t="shared" si="2"/>
        <v>-15.648092021712584</v>
      </c>
    </row>
    <row r="194" spans="1:16" x14ac:dyDescent="0.25">
      <c r="E194">
        <v>100</v>
      </c>
      <c r="F194" s="3">
        <v>1.3400000000000001E-7</v>
      </c>
      <c r="G194">
        <f t="shared" si="2"/>
        <v>-15.8254260369955</v>
      </c>
    </row>
    <row r="195" spans="1:16" x14ac:dyDescent="0.25">
      <c r="E195">
        <v>50</v>
      </c>
      <c r="F195" s="3">
        <v>9.9E-8</v>
      </c>
      <c r="G195">
        <f t="shared" si="2"/>
        <v>-16.12814598681182</v>
      </c>
    </row>
    <row r="196" spans="1:16" x14ac:dyDescent="0.25">
      <c r="E196">
        <v>0</v>
      </c>
      <c r="F196" s="3">
        <v>5.62E-8</v>
      </c>
      <c r="G196">
        <f t="shared" si="2"/>
        <v>-16.694349080046766</v>
      </c>
    </row>
    <row r="197" spans="1:16" x14ac:dyDescent="0.25">
      <c r="A197" s="6">
        <v>43683</v>
      </c>
      <c r="B197">
        <v>472</v>
      </c>
      <c r="C197">
        <v>790</v>
      </c>
      <c r="D197">
        <v>900</v>
      </c>
      <c r="E197">
        <v>300</v>
      </c>
      <c r="F197" s="3">
        <v>2.22E-7</v>
      </c>
      <c r="G197">
        <f t="shared" si="2"/>
        <v>-15.320588455074132</v>
      </c>
    </row>
    <row r="198" spans="1:16" x14ac:dyDescent="0.25">
      <c r="E198">
        <v>250</v>
      </c>
      <c r="F198" s="3">
        <v>2.0200000000000001E-7</v>
      </c>
      <c r="G198">
        <f t="shared" si="2"/>
        <v>-15.414998139545206</v>
      </c>
    </row>
    <row r="199" spans="1:16" x14ac:dyDescent="0.25">
      <c r="E199">
        <v>200</v>
      </c>
      <c r="F199" s="3">
        <v>1.8199999999999999E-7</v>
      </c>
      <c r="G199">
        <f t="shared" si="2"/>
        <v>-15.519259149869615</v>
      </c>
    </row>
    <row r="200" spans="1:16" x14ac:dyDescent="0.25">
      <c r="E200">
        <v>150</v>
      </c>
      <c r="F200" s="3">
        <v>1.5800000000000001E-7</v>
      </c>
      <c r="G200">
        <f t="shared" si="2"/>
        <v>-15.660670803919444</v>
      </c>
    </row>
    <row r="201" spans="1:16" x14ac:dyDescent="0.25">
      <c r="E201">
        <v>100</v>
      </c>
      <c r="F201" s="3">
        <v>1.3199999999999999E-7</v>
      </c>
      <c r="G201">
        <f t="shared" si="2"/>
        <v>-15.84046391436004</v>
      </c>
    </row>
    <row r="202" spans="1:16" x14ac:dyDescent="0.25">
      <c r="E202">
        <v>50</v>
      </c>
      <c r="F202" s="3">
        <v>9.7800000000000002E-8</v>
      </c>
      <c r="G202">
        <f t="shared" si="2"/>
        <v>-16.14034125990564</v>
      </c>
    </row>
    <row r="203" spans="1:16" x14ac:dyDescent="0.25">
      <c r="E203">
        <v>0</v>
      </c>
      <c r="F203" s="3">
        <v>5.5199999999999998E-8</v>
      </c>
      <c r="G203">
        <f t="shared" si="2"/>
        <v>-16.712302883663362</v>
      </c>
    </row>
    <row r="204" spans="1:16" x14ac:dyDescent="0.25">
      <c r="A204" s="6">
        <v>43698</v>
      </c>
      <c r="B204">
        <v>472</v>
      </c>
      <c r="C204">
        <v>790</v>
      </c>
      <c r="D204">
        <v>900</v>
      </c>
      <c r="E204">
        <v>300</v>
      </c>
      <c r="F204" s="3">
        <v>2.17E-7</v>
      </c>
      <c r="G204">
        <f t="shared" si="2"/>
        <v>-15.343368483405952</v>
      </c>
    </row>
    <row r="205" spans="1:16" x14ac:dyDescent="0.25">
      <c r="E205">
        <v>250</v>
      </c>
      <c r="F205" s="3">
        <v>1.99E-7</v>
      </c>
      <c r="G205">
        <f t="shared" si="2"/>
        <v>-15.429961012221918</v>
      </c>
    </row>
    <row r="206" spans="1:16" x14ac:dyDescent="0.25">
      <c r="E206">
        <v>200</v>
      </c>
      <c r="F206" s="3">
        <v>1.7800000000000001E-7</v>
      </c>
      <c r="G206">
        <f t="shared" si="2"/>
        <v>-15.541482286654325</v>
      </c>
      <c r="P206" t="s">
        <v>115</v>
      </c>
    </row>
    <row r="207" spans="1:16" x14ac:dyDescent="0.25">
      <c r="E207">
        <v>150</v>
      </c>
      <c r="F207" s="3">
        <v>1.54E-7</v>
      </c>
      <c r="G207">
        <f t="shared" si="2"/>
        <v>-15.686313234532783</v>
      </c>
      <c r="P207" t="s">
        <v>116</v>
      </c>
    </row>
    <row r="208" spans="1:16" x14ac:dyDescent="0.25">
      <c r="E208">
        <v>100</v>
      </c>
      <c r="F208" s="3">
        <v>1.2800000000000001E-7</v>
      </c>
      <c r="G208">
        <f t="shared" si="2"/>
        <v>-15.871235573026794</v>
      </c>
    </row>
    <row r="209" spans="1:7" x14ac:dyDescent="0.25">
      <c r="E209">
        <v>50</v>
      </c>
      <c r="F209" s="3">
        <v>9.4500000000000006E-8</v>
      </c>
      <c r="G209">
        <f t="shared" si="2"/>
        <v>-16.174666002446713</v>
      </c>
    </row>
    <row r="210" spans="1:7" x14ac:dyDescent="0.25">
      <c r="E210">
        <v>0</v>
      </c>
      <c r="F210" s="3">
        <v>5.3500000000000003E-8</v>
      </c>
      <c r="G210">
        <f t="shared" si="2"/>
        <v>-16.743584183044451</v>
      </c>
    </row>
    <row r="211" spans="1:7" x14ac:dyDescent="0.25">
      <c r="A211" s="6">
        <v>43701</v>
      </c>
      <c r="B211">
        <v>472</v>
      </c>
      <c r="C211">
        <v>790</v>
      </c>
      <c r="D211">
        <v>900</v>
      </c>
      <c r="E211">
        <v>300</v>
      </c>
      <c r="F211" s="3">
        <v>2.1299999999999999E-7</v>
      </c>
      <c r="G211">
        <f t="shared" si="2"/>
        <v>-15.361973671236987</v>
      </c>
    </row>
    <row r="212" spans="1:7" x14ac:dyDescent="0.25">
      <c r="E212">
        <v>250</v>
      </c>
      <c r="F212" s="3">
        <v>1.9600000000000001E-7</v>
      </c>
      <c r="G212">
        <f t="shared" si="2"/>
        <v>-15.445151177715895</v>
      </c>
    </row>
    <row r="213" spans="1:7" x14ac:dyDescent="0.25">
      <c r="E213">
        <v>200</v>
      </c>
      <c r="F213" s="3">
        <v>1.7499999999999999E-7</v>
      </c>
      <c r="G213">
        <f t="shared" si="2"/>
        <v>-15.558479863022898</v>
      </c>
    </row>
    <row r="214" spans="1:7" x14ac:dyDescent="0.25">
      <c r="E214">
        <v>150</v>
      </c>
      <c r="F214" s="3">
        <v>1.5200000000000001E-7</v>
      </c>
      <c r="G214">
        <f t="shared" si="2"/>
        <v>-15.699385316100134</v>
      </c>
    </row>
    <row r="215" spans="1:7" x14ac:dyDescent="0.25">
      <c r="E215">
        <v>100</v>
      </c>
      <c r="F215" s="3">
        <v>1.2599999999999999E-7</v>
      </c>
      <c r="G215">
        <f t="shared" si="2"/>
        <v>-15.886983929994933</v>
      </c>
    </row>
    <row r="216" spans="1:7" x14ac:dyDescent="0.25">
      <c r="E216">
        <v>50</v>
      </c>
      <c r="F216" s="3">
        <v>9.3299999999999995E-8</v>
      </c>
      <c r="G216">
        <f t="shared" si="2"/>
        <v>-16.187445729093113</v>
      </c>
    </row>
    <row r="217" spans="1:7" x14ac:dyDescent="0.25">
      <c r="E217">
        <v>0</v>
      </c>
      <c r="F217" s="3">
        <v>5.25E-8</v>
      </c>
      <c r="G217">
        <f t="shared" si="2"/>
        <v>-16.762452667348832</v>
      </c>
    </row>
    <row r="218" spans="1:7" x14ac:dyDescent="0.25">
      <c r="A218" s="6">
        <v>43704</v>
      </c>
      <c r="B218">
        <v>472</v>
      </c>
      <c r="C218">
        <v>790</v>
      </c>
      <c r="D218">
        <v>900</v>
      </c>
      <c r="E218">
        <v>300</v>
      </c>
      <c r="F218" s="3">
        <v>2.1400000000000001E-7</v>
      </c>
      <c r="G218">
        <f t="shared" si="2"/>
        <v>-15.35728982192456</v>
      </c>
    </row>
    <row r="219" spans="1:7" x14ac:dyDescent="0.25">
      <c r="E219">
        <v>250</v>
      </c>
      <c r="F219" s="3">
        <v>1.98E-7</v>
      </c>
      <c r="G219">
        <f t="shared" si="2"/>
        <v>-15.434998806251876</v>
      </c>
    </row>
    <row r="220" spans="1:7" x14ac:dyDescent="0.25">
      <c r="E220">
        <v>200</v>
      </c>
      <c r="F220" s="3">
        <v>1.7599999999999999E-7</v>
      </c>
      <c r="G220">
        <f t="shared" si="2"/>
        <v>-15.55278184190826</v>
      </c>
    </row>
    <row r="221" spans="1:7" x14ac:dyDescent="0.25">
      <c r="E221">
        <v>150</v>
      </c>
      <c r="F221" s="3">
        <v>1.54E-7</v>
      </c>
      <c r="G221">
        <f t="shared" si="2"/>
        <v>-15.686313234532783</v>
      </c>
    </row>
    <row r="222" spans="1:7" x14ac:dyDescent="0.25">
      <c r="E222">
        <v>100</v>
      </c>
      <c r="F222" s="3">
        <v>1.2800000000000001E-7</v>
      </c>
      <c r="G222">
        <f t="shared" si="2"/>
        <v>-15.871235573026794</v>
      </c>
    </row>
    <row r="223" spans="1:7" x14ac:dyDescent="0.25">
      <c r="E223">
        <v>50</v>
      </c>
      <c r="F223" s="3">
        <v>9.4300000000000004E-8</v>
      </c>
      <c r="G223">
        <f t="shared" si="2"/>
        <v>-16.176784647306999</v>
      </c>
    </row>
    <row r="224" spans="1:7" x14ac:dyDescent="0.25">
      <c r="E224">
        <v>0</v>
      </c>
      <c r="F224" s="3">
        <v>5.3500000000000003E-8</v>
      </c>
      <c r="G224">
        <f t="shared" si="2"/>
        <v>-16.743584183044451</v>
      </c>
    </row>
    <row r="225" spans="1:12" x14ac:dyDescent="0.25">
      <c r="A225" s="6">
        <v>43708</v>
      </c>
      <c r="B225">
        <v>472</v>
      </c>
      <c r="C225">
        <v>790</v>
      </c>
      <c r="D225">
        <v>900</v>
      </c>
      <c r="E225">
        <v>300</v>
      </c>
      <c r="F225" s="3">
        <v>2.1299999999999999E-7</v>
      </c>
      <c r="G225">
        <f t="shared" si="2"/>
        <v>-15.361973671236987</v>
      </c>
    </row>
    <row r="226" spans="1:12" x14ac:dyDescent="0.25">
      <c r="E226">
        <v>250</v>
      </c>
      <c r="F226" s="3">
        <v>1.9500000000000001E-7</v>
      </c>
      <c r="G226">
        <f t="shared" si="2"/>
        <v>-15.450266278382664</v>
      </c>
    </row>
    <row r="227" spans="1:12" x14ac:dyDescent="0.25">
      <c r="E227">
        <v>200</v>
      </c>
      <c r="F227" s="3">
        <v>1.74E-7</v>
      </c>
      <c r="G227">
        <f t="shared" si="2"/>
        <v>-15.564210537731881</v>
      </c>
    </row>
    <row r="228" spans="1:12" x14ac:dyDescent="0.25">
      <c r="E228">
        <v>150</v>
      </c>
      <c r="F228" s="3">
        <v>1.5200000000000001E-7</v>
      </c>
      <c r="G228">
        <f t="shared" si="2"/>
        <v>-15.699385316100134</v>
      </c>
    </row>
    <row r="229" spans="1:12" x14ac:dyDescent="0.25">
      <c r="E229">
        <v>100</v>
      </c>
      <c r="F229" s="3">
        <v>1.2599999999999999E-7</v>
      </c>
      <c r="G229">
        <f t="shared" si="2"/>
        <v>-15.886983929994933</v>
      </c>
    </row>
    <row r="230" spans="1:12" x14ac:dyDescent="0.25">
      <c r="E230">
        <v>50</v>
      </c>
      <c r="F230" s="3">
        <v>9.3800000000000006E-8</v>
      </c>
      <c r="G230">
        <f t="shared" si="2"/>
        <v>-16.182100980934234</v>
      </c>
    </row>
    <row r="231" spans="1:12" x14ac:dyDescent="0.25">
      <c r="E231">
        <v>0</v>
      </c>
      <c r="F231" s="3">
        <v>5.2800000000000003E-8</v>
      </c>
      <c r="G231">
        <f t="shared" si="2"/>
        <v>-16.756754646234196</v>
      </c>
      <c r="L231">
        <v>80</v>
      </c>
    </row>
    <row r="232" spans="1:12" x14ac:dyDescent="0.25">
      <c r="A232" s="6">
        <v>43715</v>
      </c>
      <c r="B232">
        <v>472</v>
      </c>
      <c r="C232">
        <v>790</v>
      </c>
      <c r="D232">
        <v>900</v>
      </c>
      <c r="E232">
        <v>300</v>
      </c>
      <c r="F232" s="3">
        <v>2.0800000000000001E-7</v>
      </c>
      <c r="G232">
        <f t="shared" si="2"/>
        <v>-15.385727757245093</v>
      </c>
      <c r="H232" s="3">
        <v>2.2200000000000002E-15</v>
      </c>
      <c r="I232" s="3">
        <v>-1.9399999999999998E-12</v>
      </c>
      <c r="J232" s="3">
        <v>9.0199999999999999E-10</v>
      </c>
      <c r="K232" s="3">
        <v>5.1900000000000002E-8</v>
      </c>
      <c r="L232" s="3">
        <f>H232*L231^3+I232*L231^2+J232*L231+K232</f>
        <v>1.1278064E-7</v>
      </c>
    </row>
    <row r="233" spans="1:12" x14ac:dyDescent="0.25">
      <c r="E233">
        <v>250</v>
      </c>
      <c r="F233" s="3">
        <v>1.92E-7</v>
      </c>
      <c r="G233">
        <f t="shared" si="2"/>
        <v>-15.465770464918629</v>
      </c>
    </row>
    <row r="234" spans="1:12" x14ac:dyDescent="0.25">
      <c r="E234">
        <v>200</v>
      </c>
      <c r="F234" s="3">
        <v>1.73E-7</v>
      </c>
      <c r="G234">
        <f t="shared" si="2"/>
        <v>-15.569974242448632</v>
      </c>
    </row>
    <row r="235" spans="1:12" x14ac:dyDescent="0.25">
      <c r="E235">
        <v>150</v>
      </c>
      <c r="F235" s="3">
        <v>1.5099999999999999E-7</v>
      </c>
      <c r="G235">
        <f t="shared" si="2"/>
        <v>-15.705986000131487</v>
      </c>
    </row>
    <row r="236" spans="1:12" x14ac:dyDescent="0.25">
      <c r="E236">
        <v>100</v>
      </c>
      <c r="F236" s="3">
        <v>1.2499999999999999E-7</v>
      </c>
      <c r="G236">
        <f t="shared" si="2"/>
        <v>-15.89495209964411</v>
      </c>
    </row>
    <row r="237" spans="1:12" x14ac:dyDescent="0.25">
      <c r="E237">
        <v>50</v>
      </c>
      <c r="F237" s="3">
        <v>9.3100000000000006E-8</v>
      </c>
      <c r="G237">
        <f t="shared" si="2"/>
        <v>-16.189591652663388</v>
      </c>
    </row>
    <row r="238" spans="1:12" x14ac:dyDescent="0.25">
      <c r="E238">
        <v>0</v>
      </c>
      <c r="F238" s="3">
        <v>5.25E-8</v>
      </c>
      <c r="G238">
        <f t="shared" si="2"/>
        <v>-16.762452667348832</v>
      </c>
    </row>
    <row r="239" spans="1:12" x14ac:dyDescent="0.25">
      <c r="A239" s="6">
        <v>43722</v>
      </c>
      <c r="B239">
        <v>472</v>
      </c>
      <c r="C239">
        <v>790</v>
      </c>
      <c r="D239">
        <v>900</v>
      </c>
      <c r="E239">
        <v>300</v>
      </c>
      <c r="F239" s="3">
        <v>2.0800000000000001E-7</v>
      </c>
      <c r="G239">
        <f t="shared" si="2"/>
        <v>-15.385727757245093</v>
      </c>
    </row>
    <row r="240" spans="1:12" x14ac:dyDescent="0.25">
      <c r="E240">
        <v>250</v>
      </c>
      <c r="F240" s="3">
        <v>1.91E-7</v>
      </c>
      <c r="G240">
        <f t="shared" si="2"/>
        <v>-15.470992408899781</v>
      </c>
    </row>
    <row r="241" spans="1:7" x14ac:dyDescent="0.25">
      <c r="E241">
        <v>200</v>
      </c>
      <c r="F241" s="3">
        <v>1.72E-7</v>
      </c>
      <c r="G241">
        <f t="shared" si="2"/>
        <v>-15.575771360132958</v>
      </c>
    </row>
    <row r="242" spans="1:7" x14ac:dyDescent="0.25">
      <c r="E242">
        <v>150</v>
      </c>
      <c r="F242" s="3">
        <v>1.5200000000000001E-7</v>
      </c>
      <c r="G242">
        <f t="shared" si="2"/>
        <v>-15.699385316100134</v>
      </c>
    </row>
    <row r="243" spans="1:7" x14ac:dyDescent="0.25">
      <c r="E243">
        <v>100</v>
      </c>
      <c r="F243" s="3">
        <v>1.24E-7</v>
      </c>
      <c r="G243">
        <f t="shared" si="2"/>
        <v>-15.902984271341374</v>
      </c>
    </row>
    <row r="244" spans="1:7" x14ac:dyDescent="0.25">
      <c r="E244">
        <v>50</v>
      </c>
      <c r="F244" s="3">
        <v>9.2799999999999997E-8</v>
      </c>
      <c r="G244">
        <f t="shared" si="2"/>
        <v>-16.192819197154257</v>
      </c>
    </row>
    <row r="245" spans="1:7" x14ac:dyDescent="0.25">
      <c r="E245">
        <v>0</v>
      </c>
      <c r="F245" s="3">
        <v>5.1800000000000001E-8</v>
      </c>
      <c r="G245">
        <f t="shared" si="2"/>
        <v>-16.775875687680973</v>
      </c>
    </row>
    <row r="246" spans="1:7" x14ac:dyDescent="0.25">
      <c r="A246" s="6">
        <v>43809</v>
      </c>
      <c r="B246">
        <v>495</v>
      </c>
      <c r="C246">
        <v>790</v>
      </c>
      <c r="D246">
        <v>900</v>
      </c>
      <c r="E246">
        <v>300</v>
      </c>
      <c r="F246" s="3">
        <v>5.2E-7</v>
      </c>
      <c r="G246">
        <f t="shared" si="2"/>
        <v>-14.469437025370938</v>
      </c>
    </row>
    <row r="247" spans="1:7" x14ac:dyDescent="0.25">
      <c r="E247">
        <v>250</v>
      </c>
      <c r="F247" s="3">
        <v>4.7599999999999997E-7</v>
      </c>
      <c r="G247">
        <f t="shared" si="2"/>
        <v>-14.557847982714991</v>
      </c>
    </row>
    <row r="248" spans="1:7" x14ac:dyDescent="0.25">
      <c r="E248">
        <v>200</v>
      </c>
      <c r="F248" s="3">
        <v>4.2E-7</v>
      </c>
      <c r="G248">
        <f t="shared" si="2"/>
        <v>-14.683011125668997</v>
      </c>
    </row>
    <row r="249" spans="1:7" x14ac:dyDescent="0.25">
      <c r="E249">
        <v>150</v>
      </c>
      <c r="F249" s="3">
        <v>3.6199999999999999E-7</v>
      </c>
      <c r="G249">
        <f t="shared" si="2"/>
        <v>-14.83162162512064</v>
      </c>
    </row>
    <row r="250" spans="1:7" x14ac:dyDescent="0.25">
      <c r="E250">
        <v>100</v>
      </c>
      <c r="F250" s="3">
        <v>2.8700000000000002E-7</v>
      </c>
      <c r="G250">
        <f t="shared" si="2"/>
        <v>-15.06378362118679</v>
      </c>
    </row>
    <row r="251" spans="1:7" x14ac:dyDescent="0.25">
      <c r="E251">
        <v>50</v>
      </c>
      <c r="F251" s="3">
        <v>2.1899999999999999E-7</v>
      </c>
      <c r="G251">
        <f t="shared" si="2"/>
        <v>-15.33419410712991</v>
      </c>
    </row>
    <row r="252" spans="1:7" x14ac:dyDescent="0.25">
      <c r="E252">
        <v>0</v>
      </c>
      <c r="F252" s="3">
        <v>1.2100000000000001E-7</v>
      </c>
      <c r="G252">
        <f t="shared" si="2"/>
        <v>-15.927475291349669</v>
      </c>
    </row>
    <row r="253" spans="1:7" x14ac:dyDescent="0.25">
      <c r="A253" s="6">
        <v>43818</v>
      </c>
      <c r="B253">
        <v>495</v>
      </c>
      <c r="C253">
        <v>790</v>
      </c>
      <c r="D253">
        <v>900</v>
      </c>
      <c r="E253">
        <v>300</v>
      </c>
      <c r="F253" s="3">
        <v>5.0999999999999999E-7</v>
      </c>
      <c r="G253">
        <f t="shared" si="2"/>
        <v>-14.488855111228039</v>
      </c>
    </row>
    <row r="254" spans="1:7" x14ac:dyDescent="0.25">
      <c r="E254">
        <v>250</v>
      </c>
      <c r="F254" s="3">
        <v>4.6400000000000003E-7</v>
      </c>
      <c r="G254">
        <f t="shared" si="2"/>
        <v>-14.583381284720156</v>
      </c>
    </row>
    <row r="255" spans="1:7" x14ac:dyDescent="0.25">
      <c r="E255">
        <v>200</v>
      </c>
      <c r="F255" s="3">
        <v>4.1399999999999997E-7</v>
      </c>
      <c r="G255">
        <f t="shared" si="2"/>
        <v>-14.697399863121097</v>
      </c>
    </row>
    <row r="256" spans="1:7" x14ac:dyDescent="0.25">
      <c r="E256">
        <v>150</v>
      </c>
      <c r="F256" s="3">
        <v>3.5499999999999999E-7</v>
      </c>
      <c r="G256">
        <f t="shared" si="2"/>
        <v>-14.851148047470996</v>
      </c>
    </row>
    <row r="257" spans="1:7" x14ac:dyDescent="0.25">
      <c r="E257">
        <v>100</v>
      </c>
      <c r="F257" s="3">
        <v>2.9400000000000001E-7</v>
      </c>
      <c r="G257">
        <f t="shared" si="2"/>
        <v>-15.039686069607729</v>
      </c>
    </row>
    <row r="258" spans="1:7" x14ac:dyDescent="0.25">
      <c r="E258">
        <v>50</v>
      </c>
      <c r="F258" s="3">
        <v>2.16E-7</v>
      </c>
      <c r="G258">
        <f t="shared" si="2"/>
        <v>-15.347987429262247</v>
      </c>
    </row>
    <row r="259" spans="1:7" x14ac:dyDescent="0.25">
      <c r="E259">
        <v>0</v>
      </c>
      <c r="F259" s="3">
        <v>1.1999999999999999E-7</v>
      </c>
      <c r="G259">
        <f t="shared" si="2"/>
        <v>-15.935774094164366</v>
      </c>
    </row>
    <row r="260" spans="1:7" x14ac:dyDescent="0.25">
      <c r="A260" s="6">
        <v>43822</v>
      </c>
      <c r="B260">
        <v>495</v>
      </c>
      <c r="C260">
        <v>790</v>
      </c>
      <c r="D260">
        <v>900</v>
      </c>
      <c r="E260">
        <v>300</v>
      </c>
      <c r="F260" s="3">
        <v>5.0500000000000004E-7</v>
      </c>
      <c r="G260">
        <f t="shared" si="2"/>
        <v>-14.498707407671052</v>
      </c>
    </row>
    <row r="261" spans="1:7" x14ac:dyDescent="0.25">
      <c r="E261">
        <v>250</v>
      </c>
      <c r="F261" s="3">
        <v>4.5999999999999999E-7</v>
      </c>
      <c r="G261">
        <f t="shared" ref="G261:G336" si="3">LN(F261)</f>
        <v>-14.59203934746327</v>
      </c>
    </row>
    <row r="262" spans="1:7" x14ac:dyDescent="0.25">
      <c r="E262">
        <v>200</v>
      </c>
      <c r="F262" s="3">
        <v>4.0499999999999999E-7</v>
      </c>
      <c r="G262">
        <f t="shared" si="3"/>
        <v>-14.719378769839873</v>
      </c>
    </row>
    <row r="263" spans="1:7" x14ac:dyDescent="0.25">
      <c r="E263">
        <v>150</v>
      </c>
      <c r="F263" s="3">
        <v>3.5100000000000001E-7</v>
      </c>
      <c r="G263">
        <f t="shared" si="3"/>
        <v>-14.862479613480545</v>
      </c>
    </row>
    <row r="264" spans="1:7" x14ac:dyDescent="0.25">
      <c r="E264">
        <v>100</v>
      </c>
      <c r="F264" s="3">
        <v>2.8999999999999998E-7</v>
      </c>
      <c r="G264">
        <f t="shared" si="3"/>
        <v>-15.053384913965891</v>
      </c>
    </row>
    <row r="265" spans="1:7" x14ac:dyDescent="0.25">
      <c r="E265">
        <v>50</v>
      </c>
      <c r="F265" s="3">
        <v>2.11E-7</v>
      </c>
      <c r="G265">
        <f t="shared" si="3"/>
        <v>-15.371407703470345</v>
      </c>
    </row>
    <row r="266" spans="1:7" x14ac:dyDescent="0.25">
      <c r="E266">
        <v>0</v>
      </c>
      <c r="F266" s="3">
        <v>1.2599999999999999E-7</v>
      </c>
      <c r="G266">
        <f t="shared" si="3"/>
        <v>-15.886983929994933</v>
      </c>
    </row>
    <row r="267" spans="1:7" x14ac:dyDescent="0.25">
      <c r="A267" s="6">
        <v>43838</v>
      </c>
      <c r="B267">
        <v>495</v>
      </c>
      <c r="C267">
        <v>790</v>
      </c>
      <c r="D267">
        <v>900</v>
      </c>
      <c r="E267">
        <v>300</v>
      </c>
      <c r="F267" s="3">
        <v>4.9500000000000003E-7</v>
      </c>
      <c r="G267">
        <f t="shared" si="3"/>
        <v>-14.51870807437772</v>
      </c>
    </row>
    <row r="268" spans="1:7" x14ac:dyDescent="0.25">
      <c r="E268">
        <v>250</v>
      </c>
      <c r="F268" s="3">
        <v>4.4900000000000001E-7</v>
      </c>
      <c r="G268">
        <f t="shared" si="3"/>
        <v>-14.616242949204157</v>
      </c>
    </row>
    <row r="269" spans="1:7" x14ac:dyDescent="0.25">
      <c r="E269">
        <v>200</v>
      </c>
      <c r="F269" s="3">
        <v>3.9999999999999998E-7</v>
      </c>
      <c r="G269">
        <f t="shared" si="3"/>
        <v>-14.73180128983843</v>
      </c>
    </row>
    <row r="270" spans="1:7" x14ac:dyDescent="0.25">
      <c r="E270">
        <v>150</v>
      </c>
      <c r="F270" s="3">
        <v>3.4299999999999999E-7</v>
      </c>
      <c r="G270">
        <f t="shared" si="3"/>
        <v>-14.885535389780472</v>
      </c>
    </row>
    <row r="271" spans="1:7" x14ac:dyDescent="0.25">
      <c r="E271">
        <v>100</v>
      </c>
      <c r="F271" s="3">
        <v>2.84E-7</v>
      </c>
      <c r="G271">
        <f t="shared" si="3"/>
        <v>-15.074291598785205</v>
      </c>
    </row>
    <row r="272" spans="1:7" x14ac:dyDescent="0.25">
      <c r="E272">
        <v>50</v>
      </c>
      <c r="F272" s="3">
        <v>2.0900000000000001E-7</v>
      </c>
      <c r="G272">
        <f t="shared" si="3"/>
        <v>-15.3809315849816</v>
      </c>
    </row>
    <row r="273" spans="1:12" x14ac:dyDescent="0.25">
      <c r="E273">
        <v>0</v>
      </c>
      <c r="F273" s="3">
        <v>1.1600000000000001E-7</v>
      </c>
      <c r="G273">
        <f t="shared" si="3"/>
        <v>-15.969675645840047</v>
      </c>
    </row>
    <row r="274" spans="1:12" x14ac:dyDescent="0.25">
      <c r="A274" s="6">
        <v>43840</v>
      </c>
      <c r="B274">
        <v>497</v>
      </c>
      <c r="C274">
        <v>790</v>
      </c>
      <c r="D274">
        <v>900</v>
      </c>
      <c r="E274">
        <v>300</v>
      </c>
      <c r="F274" s="3">
        <v>5.1200000000000003E-7</v>
      </c>
      <c r="G274">
        <f t="shared" si="3"/>
        <v>-14.484941211906904</v>
      </c>
    </row>
    <row r="275" spans="1:12" x14ac:dyDescent="0.25">
      <c r="E275">
        <v>250</v>
      </c>
      <c r="F275" s="3">
        <v>4.6499999999999999E-7</v>
      </c>
      <c r="G275">
        <f t="shared" si="3"/>
        <v>-14.581228431359055</v>
      </c>
    </row>
    <row r="276" spans="1:12" x14ac:dyDescent="0.25">
      <c r="E276">
        <v>200</v>
      </c>
      <c r="F276" s="3">
        <v>4.15E-7</v>
      </c>
      <c r="G276">
        <f t="shared" si="3"/>
        <v>-14.694987316715713</v>
      </c>
    </row>
    <row r="277" spans="1:12" x14ac:dyDescent="0.25">
      <c r="E277">
        <v>150</v>
      </c>
      <c r="F277" s="3">
        <v>3.58E-7</v>
      </c>
      <c r="G277">
        <f t="shared" si="3"/>
        <v>-14.84273285054571</v>
      </c>
    </row>
    <row r="278" spans="1:12" x14ac:dyDescent="0.25">
      <c r="E278">
        <v>100</v>
      </c>
      <c r="F278" s="3">
        <v>2.9499999999999998E-7</v>
      </c>
      <c r="G278">
        <f t="shared" si="3"/>
        <v>-15.036290480606592</v>
      </c>
    </row>
    <row r="279" spans="1:12" x14ac:dyDescent="0.25">
      <c r="E279">
        <v>50</v>
      </c>
      <c r="F279" s="3">
        <v>2.1799999999999999E-7</v>
      </c>
      <c r="G279">
        <f t="shared" si="3"/>
        <v>-15.338770774157322</v>
      </c>
    </row>
    <row r="280" spans="1:12" x14ac:dyDescent="0.25">
      <c r="E280">
        <v>0</v>
      </c>
      <c r="F280" s="3">
        <v>1.1999999999999999E-7</v>
      </c>
      <c r="G280">
        <f t="shared" si="3"/>
        <v>-15.935774094164366</v>
      </c>
    </row>
    <row r="281" spans="1:12" x14ac:dyDescent="0.25">
      <c r="A281" s="6">
        <v>43845</v>
      </c>
      <c r="B281">
        <v>500</v>
      </c>
      <c r="C281">
        <v>790</v>
      </c>
      <c r="D281">
        <v>900</v>
      </c>
      <c r="E281">
        <v>300</v>
      </c>
      <c r="F281" s="3">
        <v>5.6700000000000003E-7</v>
      </c>
      <c r="G281">
        <f t="shared" si="3"/>
        <v>-14.382906533218659</v>
      </c>
    </row>
    <row r="282" spans="1:12" x14ac:dyDescent="0.25">
      <c r="E282">
        <v>250</v>
      </c>
      <c r="F282" s="3">
        <v>5.1600000000000001E-7</v>
      </c>
      <c r="G282">
        <f t="shared" si="3"/>
        <v>-14.477159071464849</v>
      </c>
    </row>
    <row r="283" spans="1:12" x14ac:dyDescent="0.25">
      <c r="E283">
        <v>200</v>
      </c>
      <c r="F283" s="3">
        <v>4.6499999999999999E-7</v>
      </c>
      <c r="G283">
        <f t="shared" si="3"/>
        <v>-14.581228431359055</v>
      </c>
    </row>
    <row r="284" spans="1:12" x14ac:dyDescent="0.25">
      <c r="E284">
        <v>150</v>
      </c>
      <c r="F284" s="3">
        <v>3.9799999999999999E-7</v>
      </c>
      <c r="G284">
        <f t="shared" si="3"/>
        <v>-14.736813831661973</v>
      </c>
    </row>
    <row r="285" spans="1:12" x14ac:dyDescent="0.25">
      <c r="E285">
        <v>100</v>
      </c>
      <c r="F285" s="3">
        <v>3.2599999999999998E-7</v>
      </c>
      <c r="G285">
        <f t="shared" si="3"/>
        <v>-14.936368455579704</v>
      </c>
    </row>
    <row r="286" spans="1:12" x14ac:dyDescent="0.25">
      <c r="E286">
        <v>50</v>
      </c>
      <c r="F286" s="3">
        <v>2.3999999999999998E-7</v>
      </c>
      <c r="G286">
        <f t="shared" si="3"/>
        <v>-15.24262691360442</v>
      </c>
    </row>
    <row r="287" spans="1:12" x14ac:dyDescent="0.25">
      <c r="E287">
        <v>0</v>
      </c>
      <c r="F287" s="3">
        <v>1.3300000000000001E-7</v>
      </c>
      <c r="G287">
        <f t="shared" si="3"/>
        <v>-15.832916708724657</v>
      </c>
      <c r="L287">
        <v>240</v>
      </c>
    </row>
    <row r="288" spans="1:12" x14ac:dyDescent="0.25">
      <c r="A288" s="6">
        <v>43846</v>
      </c>
      <c r="B288">
        <v>500</v>
      </c>
      <c r="C288">
        <v>790</v>
      </c>
      <c r="D288">
        <v>900</v>
      </c>
      <c r="E288">
        <v>300</v>
      </c>
      <c r="F288" s="3">
        <v>5.6599999999999996E-7</v>
      </c>
      <c r="G288">
        <f t="shared" si="3"/>
        <v>-14.384671758743229</v>
      </c>
      <c r="H288" s="3">
        <v>6.8900000000000003E-15</v>
      </c>
      <c r="I288" s="3">
        <v>-5.0499999999999997E-12</v>
      </c>
      <c r="J288" s="3">
        <v>2.2499999999999999E-9</v>
      </c>
      <c r="K288" s="3">
        <v>1.24E-7</v>
      </c>
      <c r="L288" s="3">
        <f>H288*L287^3+I288*L287^2+J288*L287+K288</f>
        <v>4.6836736000000006E-7</v>
      </c>
    </row>
    <row r="289" spans="1:7" x14ac:dyDescent="0.25">
      <c r="E289">
        <v>250</v>
      </c>
      <c r="F289" s="3">
        <v>5.1699999999999998E-7</v>
      </c>
      <c r="G289">
        <f t="shared" si="3"/>
        <v>-14.475222962437982</v>
      </c>
    </row>
    <row r="290" spans="1:7" x14ac:dyDescent="0.25">
      <c r="E290">
        <v>200</v>
      </c>
      <c r="F290" s="3">
        <v>4.6800000000000001E-7</v>
      </c>
      <c r="G290">
        <f t="shared" si="3"/>
        <v>-14.574797541028765</v>
      </c>
    </row>
    <row r="291" spans="1:7" x14ac:dyDescent="0.25">
      <c r="E291">
        <v>150</v>
      </c>
      <c r="F291" s="3">
        <v>3.9999999999999998E-7</v>
      </c>
      <c r="G291">
        <f t="shared" si="3"/>
        <v>-14.73180128983843</v>
      </c>
    </row>
    <row r="292" spans="1:7" x14ac:dyDescent="0.25">
      <c r="E292">
        <v>100</v>
      </c>
      <c r="F292" s="3">
        <v>3.3099999999999999E-7</v>
      </c>
      <c r="G292">
        <f t="shared" si="3"/>
        <v>-14.921147461569348</v>
      </c>
    </row>
    <row r="293" spans="1:7" x14ac:dyDescent="0.25">
      <c r="E293">
        <v>50</v>
      </c>
      <c r="F293" s="3">
        <v>2.4200000000000002E-7</v>
      </c>
      <c r="G293">
        <f t="shared" si="3"/>
        <v>-15.234328110789725</v>
      </c>
    </row>
    <row r="294" spans="1:7" x14ac:dyDescent="0.25">
      <c r="E294">
        <v>0</v>
      </c>
      <c r="F294" s="3">
        <v>1.3400000000000001E-7</v>
      </c>
      <c r="G294">
        <f t="shared" si="3"/>
        <v>-15.8254260369955</v>
      </c>
    </row>
    <row r="295" spans="1:7" x14ac:dyDescent="0.25">
      <c r="A295" s="6">
        <v>43848</v>
      </c>
      <c r="B295">
        <v>515</v>
      </c>
      <c r="C295">
        <v>790</v>
      </c>
      <c r="D295">
        <v>900</v>
      </c>
      <c r="E295">
        <v>300</v>
      </c>
      <c r="F295" s="3">
        <v>9.3900000000000003E-7</v>
      </c>
      <c r="G295">
        <f t="shared" si="3"/>
        <v>-13.878450357738148</v>
      </c>
    </row>
    <row r="296" spans="1:7" x14ac:dyDescent="0.25">
      <c r="E296">
        <v>250</v>
      </c>
      <c r="F296" s="3">
        <v>8.6000000000000002E-7</v>
      </c>
      <c r="G296">
        <f t="shared" si="3"/>
        <v>-13.966333447698858</v>
      </c>
    </row>
    <row r="297" spans="1:7" x14ac:dyDescent="0.25">
      <c r="E297">
        <v>200</v>
      </c>
      <c r="F297" s="3">
        <v>7.6499999999999998E-7</v>
      </c>
      <c r="G297">
        <f t="shared" si="3"/>
        <v>-14.083390003119876</v>
      </c>
    </row>
    <row r="298" spans="1:7" x14ac:dyDescent="0.25">
      <c r="E298">
        <v>150</v>
      </c>
      <c r="F298" s="3">
        <v>6.6000000000000003E-7</v>
      </c>
      <c r="G298">
        <f t="shared" si="3"/>
        <v>-14.23102600192594</v>
      </c>
    </row>
    <row r="299" spans="1:7" x14ac:dyDescent="0.25">
      <c r="E299">
        <v>100</v>
      </c>
      <c r="F299" s="3">
        <v>5.4300000000000003E-7</v>
      </c>
      <c r="G299">
        <f t="shared" si="3"/>
        <v>-14.426156517012476</v>
      </c>
    </row>
    <row r="300" spans="1:7" x14ac:dyDescent="0.25">
      <c r="E300">
        <v>50</v>
      </c>
      <c r="F300" s="3">
        <v>3.9999999999999998E-7</v>
      </c>
      <c r="G300">
        <f t="shared" si="3"/>
        <v>-14.73180128983843</v>
      </c>
    </row>
    <row r="301" spans="1:7" x14ac:dyDescent="0.25">
      <c r="E301">
        <v>0</v>
      </c>
      <c r="F301" s="3">
        <v>2.23E-7</v>
      </c>
      <c r="G301">
        <f t="shared" si="3"/>
        <v>-15.316094065486292</v>
      </c>
    </row>
    <row r="302" spans="1:7" x14ac:dyDescent="0.25">
      <c r="A302" s="6">
        <v>43886</v>
      </c>
      <c r="B302">
        <v>500</v>
      </c>
      <c r="C302">
        <v>790</v>
      </c>
      <c r="D302">
        <v>900</v>
      </c>
      <c r="E302">
        <v>300</v>
      </c>
      <c r="F302" s="3">
        <v>5.4300000000000003E-7</v>
      </c>
      <c r="G302">
        <f t="shared" si="3"/>
        <v>-14.426156517012476</v>
      </c>
    </row>
    <row r="303" spans="1:7" x14ac:dyDescent="0.25">
      <c r="E303">
        <v>250</v>
      </c>
      <c r="F303" s="3">
        <v>4.9599999999999999E-7</v>
      </c>
      <c r="G303">
        <f t="shared" si="3"/>
        <v>-14.516689910221483</v>
      </c>
    </row>
    <row r="304" spans="1:7" x14ac:dyDescent="0.25">
      <c r="E304">
        <v>200</v>
      </c>
      <c r="F304" s="3">
        <v>4.4099999999999999E-7</v>
      </c>
      <c r="G304">
        <f t="shared" si="3"/>
        <v>-14.634220961499565</v>
      </c>
    </row>
    <row r="305" spans="1:7" x14ac:dyDescent="0.25">
      <c r="E305">
        <v>150</v>
      </c>
      <c r="F305" s="3">
        <v>3.8099999999999998E-7</v>
      </c>
      <c r="G305">
        <f t="shared" si="3"/>
        <v>-14.78046646181971</v>
      </c>
    </row>
    <row r="306" spans="1:7" x14ac:dyDescent="0.25">
      <c r="E306">
        <v>100</v>
      </c>
      <c r="F306" s="3">
        <v>3.1399999999999998E-7</v>
      </c>
      <c r="G306">
        <f t="shared" si="3"/>
        <v>-14.973872851038157</v>
      </c>
    </row>
    <row r="307" spans="1:7" x14ac:dyDescent="0.25">
      <c r="E307">
        <v>50</v>
      </c>
      <c r="F307" s="3">
        <v>2.2999999999999999E-7</v>
      </c>
      <c r="G307">
        <f t="shared" si="3"/>
        <v>-15.285186528023216</v>
      </c>
    </row>
    <row r="308" spans="1:7" x14ac:dyDescent="0.25">
      <c r="E308">
        <v>0</v>
      </c>
      <c r="F308" s="3">
        <v>1.2700000000000001E-7</v>
      </c>
      <c r="G308">
        <f t="shared" si="3"/>
        <v>-15.879078750487819</v>
      </c>
    </row>
    <row r="309" spans="1:7" x14ac:dyDescent="0.25">
      <c r="A309" s="6">
        <v>43886</v>
      </c>
      <c r="B309">
        <v>500</v>
      </c>
      <c r="C309">
        <v>790</v>
      </c>
      <c r="D309">
        <v>900</v>
      </c>
      <c r="E309">
        <v>300</v>
      </c>
      <c r="F309" s="3">
        <v>5.3099999999999998E-7</v>
      </c>
      <c r="G309">
        <f t="shared" si="3"/>
        <v>-14.448503815704472</v>
      </c>
    </row>
    <row r="310" spans="1:7" x14ac:dyDescent="0.25">
      <c r="E310">
        <v>250</v>
      </c>
      <c r="F310" s="3">
        <v>4.82E-7</v>
      </c>
      <c r="G310">
        <f t="shared" si="3"/>
        <v>-14.54532172289581</v>
      </c>
    </row>
    <row r="311" spans="1:7" x14ac:dyDescent="0.25">
      <c r="E311">
        <v>200</v>
      </c>
      <c r="F311" s="3">
        <v>4.27E-7</v>
      </c>
      <c r="G311">
        <f t="shared" si="3"/>
        <v>-14.666481823717787</v>
      </c>
    </row>
    <row r="312" spans="1:7" x14ac:dyDescent="0.25">
      <c r="E312">
        <v>150</v>
      </c>
      <c r="F312" s="3">
        <v>3.7E-7</v>
      </c>
      <c r="G312">
        <f t="shared" si="3"/>
        <v>-14.809762831308142</v>
      </c>
    </row>
    <row r="313" spans="1:7" x14ac:dyDescent="0.25">
      <c r="E313">
        <v>100</v>
      </c>
      <c r="F313" s="3">
        <v>3.0800000000000001E-7</v>
      </c>
      <c r="G313">
        <f t="shared" si="3"/>
        <v>-14.993166053972837</v>
      </c>
    </row>
    <row r="314" spans="1:7" x14ac:dyDescent="0.25">
      <c r="E314">
        <v>50</v>
      </c>
      <c r="F314" s="3">
        <v>2.2499999999999999E-7</v>
      </c>
      <c r="G314">
        <f t="shared" si="3"/>
        <v>-15.307165434741991</v>
      </c>
    </row>
    <row r="315" spans="1:7" x14ac:dyDescent="0.25">
      <c r="E315">
        <v>0</v>
      </c>
      <c r="F315" s="3">
        <v>1.24E-7</v>
      </c>
      <c r="G315">
        <f t="shared" si="3"/>
        <v>-15.902984271341374</v>
      </c>
    </row>
    <row r="316" spans="1:7" x14ac:dyDescent="0.25">
      <c r="A316" s="6">
        <v>43900</v>
      </c>
      <c r="B316">
        <v>475</v>
      </c>
      <c r="C316">
        <v>790</v>
      </c>
      <c r="D316">
        <v>900</v>
      </c>
      <c r="E316">
        <v>300</v>
      </c>
      <c r="F316" s="3">
        <v>1.9999999999999999E-7</v>
      </c>
      <c r="G316">
        <f t="shared" si="3"/>
        <v>-15.424948470398375</v>
      </c>
    </row>
    <row r="317" spans="1:7" x14ac:dyDescent="0.25">
      <c r="E317">
        <v>250</v>
      </c>
      <c r="F317" s="3">
        <v>1.8099999999999999E-7</v>
      </c>
      <c r="G317">
        <f t="shared" si="3"/>
        <v>-15.524768805680585</v>
      </c>
    </row>
    <row r="318" spans="1:7" x14ac:dyDescent="0.25">
      <c r="E318">
        <v>200</v>
      </c>
      <c r="F318" s="3">
        <v>1.6500000000000001E-7</v>
      </c>
      <c r="G318">
        <f t="shared" si="3"/>
        <v>-15.617320363045831</v>
      </c>
    </row>
    <row r="319" spans="1:7" x14ac:dyDescent="0.25">
      <c r="E319">
        <v>150</v>
      </c>
      <c r="F319" s="3">
        <v>1.4100000000000001E-7</v>
      </c>
      <c r="G319">
        <f t="shared" si="3"/>
        <v>-15.774505946568242</v>
      </c>
    </row>
    <row r="320" spans="1:7" x14ac:dyDescent="0.25">
      <c r="E320">
        <v>100</v>
      </c>
      <c r="F320" s="3">
        <v>1.17E-7</v>
      </c>
      <c r="G320">
        <f t="shared" si="3"/>
        <v>-15.961091902148654</v>
      </c>
    </row>
    <row r="321" spans="1:13" x14ac:dyDescent="0.25">
      <c r="E321">
        <v>50</v>
      </c>
      <c r="F321" s="3">
        <v>8.5800000000000001E-8</v>
      </c>
      <c r="G321">
        <f t="shared" si="3"/>
        <v>-16.271246830452494</v>
      </c>
    </row>
    <row r="322" spans="1:13" x14ac:dyDescent="0.25">
      <c r="E322">
        <v>0</v>
      </c>
      <c r="F322" s="3">
        <v>4.7799999999999998E-8</v>
      </c>
      <c r="G322">
        <f t="shared" si="3"/>
        <v>-16.856240197449001</v>
      </c>
      <c r="M322">
        <v>195</v>
      </c>
    </row>
    <row r="323" spans="1:13" x14ac:dyDescent="0.25">
      <c r="A323" s="6">
        <v>44186</v>
      </c>
      <c r="B323">
        <v>500</v>
      </c>
      <c r="C323">
        <v>790</v>
      </c>
      <c r="D323">
        <v>900</v>
      </c>
      <c r="E323">
        <v>300</v>
      </c>
      <c r="F323" s="3">
        <v>5.4099999999999999E-7</v>
      </c>
      <c r="G323">
        <f t="shared" si="3"/>
        <v>-14.42984655809993</v>
      </c>
      <c r="I323" s="3">
        <v>4.8900000000000002E-15</v>
      </c>
      <c r="J323" s="3">
        <v>-4.26E-12</v>
      </c>
      <c r="K323" s="3">
        <v>2.1799999999999999E-9</v>
      </c>
      <c r="L323" s="3">
        <v>1.18E-7</v>
      </c>
      <c r="M323" s="3">
        <f>I323*M322^3+J323*M322^2+K323*M322+L323</f>
        <v>4.1737223874999993E-7</v>
      </c>
    </row>
    <row r="324" spans="1:13" x14ac:dyDescent="0.25">
      <c r="E324">
        <v>250</v>
      </c>
      <c r="F324" s="3">
        <v>4.9100000000000004E-7</v>
      </c>
      <c r="G324">
        <f t="shared" si="3"/>
        <v>-14.526821709151891</v>
      </c>
      <c r="J324" s="3"/>
    </row>
    <row r="325" spans="1:13" x14ac:dyDescent="0.25">
      <c r="E325">
        <v>200</v>
      </c>
      <c r="F325" s="3">
        <v>4.3799999999999998E-7</v>
      </c>
      <c r="G325">
        <f t="shared" si="3"/>
        <v>-14.641046926569965</v>
      </c>
    </row>
    <row r="326" spans="1:13" x14ac:dyDescent="0.25">
      <c r="E326">
        <v>150</v>
      </c>
      <c r="F326" s="3">
        <v>3.7500000000000001E-7</v>
      </c>
      <c r="G326">
        <f t="shared" si="3"/>
        <v>-14.796339810976001</v>
      </c>
      <c r="K326">
        <f>3.47*1.2</f>
        <v>4.1639999999999997</v>
      </c>
    </row>
    <row r="327" spans="1:13" x14ac:dyDescent="0.25">
      <c r="E327">
        <v>100</v>
      </c>
      <c r="F327" s="3">
        <v>3.1100000000000002E-7</v>
      </c>
      <c r="G327">
        <f t="shared" si="3"/>
        <v>-14.983472924767177</v>
      </c>
    </row>
    <row r="328" spans="1:13" x14ac:dyDescent="0.25">
      <c r="E328">
        <v>50</v>
      </c>
      <c r="F328" s="3">
        <v>2.2600000000000001E-7</v>
      </c>
      <c r="G328">
        <f t="shared" si="3"/>
        <v>-15.302730837674126</v>
      </c>
    </row>
    <row r="329" spans="1:13" x14ac:dyDescent="0.25">
      <c r="E329">
        <v>0</v>
      </c>
      <c r="F329" s="3">
        <v>1.24E-7</v>
      </c>
      <c r="G329">
        <f t="shared" si="3"/>
        <v>-15.902984271341374</v>
      </c>
    </row>
    <row r="330" spans="1:13" x14ac:dyDescent="0.25">
      <c r="A330" s="6">
        <v>44211</v>
      </c>
      <c r="B330">
        <v>500</v>
      </c>
      <c r="C330">
        <v>790</v>
      </c>
      <c r="D330">
        <v>900</v>
      </c>
      <c r="E330">
        <v>300</v>
      </c>
      <c r="F330" s="3">
        <v>5.2799999999999996E-7</v>
      </c>
      <c r="G330">
        <f t="shared" si="3"/>
        <v>-14.454169553240149</v>
      </c>
    </row>
    <row r="331" spans="1:13" x14ac:dyDescent="0.25">
      <c r="E331">
        <v>250</v>
      </c>
      <c r="F331" s="3">
        <v>4.7800000000000002E-7</v>
      </c>
      <c r="G331">
        <f t="shared" si="3"/>
        <v>-14.553655104454956</v>
      </c>
    </row>
    <row r="332" spans="1:13" x14ac:dyDescent="0.25">
      <c r="E332">
        <v>200</v>
      </c>
      <c r="F332" s="3">
        <v>4.2500000000000001E-7</v>
      </c>
      <c r="G332">
        <f t="shared" si="3"/>
        <v>-14.671176668021994</v>
      </c>
    </row>
    <row r="333" spans="1:13" x14ac:dyDescent="0.25">
      <c r="E333">
        <v>150</v>
      </c>
      <c r="F333" s="3">
        <v>3.6899999999999998E-7</v>
      </c>
      <c r="G333">
        <f t="shared" si="3"/>
        <v>-14.812469192905883</v>
      </c>
    </row>
    <row r="334" spans="1:13" x14ac:dyDescent="0.25">
      <c r="E334">
        <v>100</v>
      </c>
      <c r="F334" s="3">
        <v>3.0400000000000002E-7</v>
      </c>
      <c r="G334">
        <f t="shared" si="3"/>
        <v>-15.006238135540189</v>
      </c>
    </row>
    <row r="335" spans="1:13" x14ac:dyDescent="0.25">
      <c r="E335">
        <v>50</v>
      </c>
      <c r="F335" s="3">
        <v>2.2000000000000001E-7</v>
      </c>
      <c r="G335">
        <f t="shared" si="3"/>
        <v>-15.329638290594049</v>
      </c>
    </row>
    <row r="336" spans="1:13" x14ac:dyDescent="0.25">
      <c r="E336">
        <v>0</v>
      </c>
      <c r="F336" s="3">
        <v>1.1899999999999999E-7</v>
      </c>
      <c r="G336">
        <f t="shared" si="3"/>
        <v>-15.944142343834882</v>
      </c>
    </row>
    <row r="337" spans="1:15" x14ac:dyDescent="0.25">
      <c r="A337" s="6">
        <v>44225</v>
      </c>
      <c r="B337">
        <v>500</v>
      </c>
      <c r="C337">
        <v>790</v>
      </c>
      <c r="D337">
        <v>900</v>
      </c>
      <c r="E337">
        <v>300</v>
      </c>
      <c r="F337" s="3">
        <v>5.1900000000000003E-7</v>
      </c>
      <c r="G337">
        <f t="shared" ref="G337:G407" si="4">LN(F337)</f>
        <v>-14.471361953780523</v>
      </c>
    </row>
    <row r="338" spans="1:15" x14ac:dyDescent="0.25">
      <c r="E338">
        <v>250</v>
      </c>
      <c r="F338" s="3">
        <v>4.7300000000000001E-7</v>
      </c>
      <c r="G338">
        <f t="shared" si="4"/>
        <v>-14.564170448454478</v>
      </c>
    </row>
    <row r="339" spans="1:15" x14ac:dyDescent="0.25">
      <c r="E339">
        <v>200</v>
      </c>
      <c r="F339" s="3">
        <v>4.2300000000000002E-7</v>
      </c>
      <c r="G339">
        <f t="shared" si="4"/>
        <v>-14.675893657900133</v>
      </c>
    </row>
    <row r="340" spans="1:15" x14ac:dyDescent="0.25">
      <c r="E340">
        <v>150</v>
      </c>
      <c r="F340" s="3">
        <v>3.6300000000000001E-7</v>
      </c>
      <c r="G340">
        <f t="shared" si="4"/>
        <v>-14.82886300268156</v>
      </c>
    </row>
    <row r="341" spans="1:15" x14ac:dyDescent="0.25">
      <c r="E341">
        <v>100</v>
      </c>
      <c r="F341" s="3">
        <v>2.9900000000000002E-7</v>
      </c>
      <c r="G341">
        <f t="shared" si="4"/>
        <v>-15.022822263555724</v>
      </c>
    </row>
    <row r="342" spans="1:15" x14ac:dyDescent="0.25">
      <c r="E342">
        <v>50</v>
      </c>
      <c r="F342" s="3">
        <v>2.1799999999999999E-7</v>
      </c>
      <c r="G342">
        <f t="shared" si="4"/>
        <v>-15.338770774157322</v>
      </c>
    </row>
    <row r="343" spans="1:15" x14ac:dyDescent="0.25">
      <c r="E343">
        <v>0</v>
      </c>
      <c r="F343" s="3">
        <v>1.18E-7</v>
      </c>
      <c r="G343">
        <f t="shared" si="4"/>
        <v>-15.952581212480746</v>
      </c>
    </row>
    <row r="344" spans="1:15" x14ac:dyDescent="0.25">
      <c r="A344" s="6">
        <v>44243</v>
      </c>
      <c r="B344">
        <v>470</v>
      </c>
      <c r="C344">
        <v>790</v>
      </c>
      <c r="D344">
        <v>900</v>
      </c>
      <c r="E344">
        <v>300</v>
      </c>
      <c r="F344" s="3">
        <v>1.6500000000000001E-7</v>
      </c>
      <c r="G344">
        <f t="shared" si="4"/>
        <v>-15.617320363045831</v>
      </c>
    </row>
    <row r="345" spans="1:15" x14ac:dyDescent="0.25">
      <c r="E345">
        <v>250</v>
      </c>
      <c r="F345" s="3">
        <v>1.49E-7</v>
      </c>
      <c r="G345">
        <f t="shared" si="4"/>
        <v>-15.719319531000952</v>
      </c>
    </row>
    <row r="346" spans="1:15" x14ac:dyDescent="0.25">
      <c r="E346">
        <v>200</v>
      </c>
      <c r="F346" s="3">
        <v>1.3400000000000001E-7</v>
      </c>
      <c r="G346">
        <f t="shared" si="4"/>
        <v>-15.8254260369955</v>
      </c>
    </row>
    <row r="347" spans="1:15" x14ac:dyDescent="0.25">
      <c r="E347">
        <v>150</v>
      </c>
      <c r="F347" s="3">
        <v>1.1600000000000001E-7</v>
      </c>
      <c r="G347">
        <f t="shared" si="4"/>
        <v>-15.969675645840047</v>
      </c>
    </row>
    <row r="348" spans="1:15" x14ac:dyDescent="0.25">
      <c r="E348">
        <v>100</v>
      </c>
      <c r="F348" s="3">
        <v>9.5599999999999996E-8</v>
      </c>
      <c r="G348">
        <f t="shared" si="4"/>
        <v>-16.163093016889057</v>
      </c>
      <c r="M348">
        <v>100</v>
      </c>
      <c r="O348">
        <f>0.7*1.4</f>
        <v>0.97999999999999987</v>
      </c>
    </row>
    <row r="349" spans="1:15" x14ac:dyDescent="0.25">
      <c r="E349">
        <v>50</v>
      </c>
      <c r="F349" s="3">
        <v>7.0000000000000005E-8</v>
      </c>
      <c r="G349">
        <f t="shared" si="4"/>
        <v>-16.474770594897052</v>
      </c>
      <c r="I349" s="3">
        <v>1.9799999999999998E-15</v>
      </c>
      <c r="J349" s="3">
        <v>-1.5399999999999999E-12</v>
      </c>
      <c r="K349" s="3">
        <v>6.9099999999999999E-10</v>
      </c>
      <c r="L349" s="3">
        <v>3.6799999999999999E-8</v>
      </c>
      <c r="M349" s="3">
        <f>I349*M348^3+J349*M348^2+K349*M348+L349</f>
        <v>9.2480000000000005E-8</v>
      </c>
    </row>
    <row r="350" spans="1:15" x14ac:dyDescent="0.25">
      <c r="E350">
        <v>0</v>
      </c>
      <c r="F350" s="3">
        <v>3.8000000000000003E-8</v>
      </c>
      <c r="G350">
        <f t="shared" si="4"/>
        <v>-17.085679677220025</v>
      </c>
      <c r="O350">
        <f>1.35*0.65</f>
        <v>0.87750000000000006</v>
      </c>
    </row>
    <row r="351" spans="1:15" x14ac:dyDescent="0.25">
      <c r="A351" s="6">
        <v>44274</v>
      </c>
      <c r="B351">
        <v>470</v>
      </c>
      <c r="C351">
        <v>790</v>
      </c>
      <c r="D351">
        <v>900</v>
      </c>
      <c r="E351">
        <v>300</v>
      </c>
      <c r="F351" s="3">
        <v>1.6400000000000001E-7</v>
      </c>
      <c r="G351">
        <f t="shared" si="4"/>
        <v>-15.623399409122213</v>
      </c>
    </row>
    <row r="352" spans="1:15" x14ac:dyDescent="0.25">
      <c r="E352">
        <v>250</v>
      </c>
      <c r="F352" s="3">
        <v>1.49E-7</v>
      </c>
      <c r="G352">
        <f t="shared" si="4"/>
        <v>-15.719319531000952</v>
      </c>
    </row>
    <row r="353" spans="1:7" x14ac:dyDescent="0.25">
      <c r="E353">
        <v>200</v>
      </c>
      <c r="F353" s="3">
        <v>1.3300000000000001E-7</v>
      </c>
      <c r="G353">
        <f t="shared" si="4"/>
        <v>-15.832916708724657</v>
      </c>
    </row>
    <row r="354" spans="1:7" x14ac:dyDescent="0.25">
      <c r="E354">
        <v>150</v>
      </c>
      <c r="F354" s="3">
        <v>1.1600000000000001E-7</v>
      </c>
      <c r="G354">
        <f t="shared" si="4"/>
        <v>-15.969675645840047</v>
      </c>
    </row>
    <row r="355" spans="1:7" x14ac:dyDescent="0.25">
      <c r="E355">
        <v>100</v>
      </c>
      <c r="F355" s="3">
        <v>9.5000000000000004E-8</v>
      </c>
      <c r="G355">
        <f t="shared" si="4"/>
        <v>-16.169388945345869</v>
      </c>
    </row>
    <row r="356" spans="1:7" x14ac:dyDescent="0.25">
      <c r="E356">
        <v>50</v>
      </c>
      <c r="F356" s="3">
        <v>6.8E-8</v>
      </c>
      <c r="G356">
        <f t="shared" si="4"/>
        <v>-16.503758131770304</v>
      </c>
    </row>
    <row r="357" spans="1:7" x14ac:dyDescent="0.25">
      <c r="E357">
        <v>0</v>
      </c>
      <c r="F357" s="3">
        <v>3.7300000000000003E-8</v>
      </c>
      <c r="G357">
        <f t="shared" si="4"/>
        <v>-17.104272510296642</v>
      </c>
    </row>
    <row r="358" spans="1:7" x14ac:dyDescent="0.25">
      <c r="A358" s="6">
        <v>44308</v>
      </c>
      <c r="B358">
        <v>470</v>
      </c>
      <c r="C358">
        <v>790</v>
      </c>
      <c r="D358">
        <v>900</v>
      </c>
      <c r="E358">
        <v>300</v>
      </c>
      <c r="F358" s="3">
        <v>1.6299999999999999E-7</v>
      </c>
      <c r="G358">
        <f t="shared" si="4"/>
        <v>-15.629515636139649</v>
      </c>
    </row>
    <row r="359" spans="1:7" x14ac:dyDescent="0.25">
      <c r="E359">
        <v>250</v>
      </c>
      <c r="F359" s="3">
        <v>1.48E-7</v>
      </c>
      <c r="G359">
        <f t="shared" si="4"/>
        <v>-15.726053563182296</v>
      </c>
    </row>
    <row r="360" spans="1:7" x14ac:dyDescent="0.25">
      <c r="E360">
        <v>200</v>
      </c>
      <c r="F360" s="3">
        <v>1.3400000000000001E-7</v>
      </c>
      <c r="G360">
        <f t="shared" si="4"/>
        <v>-15.8254260369955</v>
      </c>
    </row>
    <row r="361" spans="1:7" x14ac:dyDescent="0.25">
      <c r="E361">
        <v>150</v>
      </c>
      <c r="F361" s="3">
        <v>1.1600000000000001E-7</v>
      </c>
      <c r="G361">
        <f t="shared" si="4"/>
        <v>-15.969675645840047</v>
      </c>
    </row>
    <row r="362" spans="1:7" x14ac:dyDescent="0.25">
      <c r="E362">
        <v>100</v>
      </c>
      <c r="F362" s="3">
        <v>9.5999999999999999E-8</v>
      </c>
      <c r="G362">
        <f t="shared" si="4"/>
        <v>-16.158917645478574</v>
      </c>
    </row>
    <row r="363" spans="1:7" x14ac:dyDescent="0.25">
      <c r="E363">
        <v>50</v>
      </c>
      <c r="F363" s="3">
        <v>6.9399999999999999E-8</v>
      </c>
      <c r="G363">
        <f t="shared" si="4"/>
        <v>-16.483378969433652</v>
      </c>
    </row>
    <row r="364" spans="1:7" x14ac:dyDescent="0.25">
      <c r="E364">
        <v>0</v>
      </c>
      <c r="F364" s="3">
        <v>3.7800000000000001E-8</v>
      </c>
      <c r="G364">
        <f t="shared" si="4"/>
        <v>-17.090956734320869</v>
      </c>
    </row>
    <row r="365" spans="1:7" x14ac:dyDescent="0.25">
      <c r="A365" s="6">
        <v>44315</v>
      </c>
      <c r="B365">
        <v>470</v>
      </c>
      <c r="C365">
        <v>790</v>
      </c>
      <c r="D365">
        <v>900</v>
      </c>
      <c r="E365">
        <v>300</v>
      </c>
      <c r="F365" s="3">
        <v>1.5900000000000001E-7</v>
      </c>
      <c r="G365">
        <f t="shared" si="4"/>
        <v>-15.654361634726179</v>
      </c>
    </row>
    <row r="366" spans="1:7" x14ac:dyDescent="0.25">
      <c r="E366">
        <v>250</v>
      </c>
      <c r="F366" s="3">
        <v>1.4499999999999999E-7</v>
      </c>
      <c r="G366">
        <f t="shared" si="4"/>
        <v>-15.746532094525836</v>
      </c>
    </row>
    <row r="367" spans="1:7" x14ac:dyDescent="0.25">
      <c r="E367">
        <v>200</v>
      </c>
      <c r="F367" s="3">
        <v>1.31E-7</v>
      </c>
      <c r="G367">
        <f t="shared" si="4"/>
        <v>-15.848068513745259</v>
      </c>
    </row>
    <row r="368" spans="1:7" x14ac:dyDescent="0.25">
      <c r="E368">
        <v>150</v>
      </c>
      <c r="F368" s="3">
        <v>1.1300000000000001E-7</v>
      </c>
      <c r="G368">
        <f t="shared" si="4"/>
        <v>-15.995878018234071</v>
      </c>
    </row>
    <row r="369" spans="1:11" x14ac:dyDescent="0.25">
      <c r="E369">
        <v>100</v>
      </c>
      <c r="F369" s="3">
        <v>9.2999999999999999E-8</v>
      </c>
      <c r="G369">
        <f t="shared" si="4"/>
        <v>-16.190666343793154</v>
      </c>
      <c r="K369" t="s">
        <v>148</v>
      </c>
    </row>
    <row r="370" spans="1:11" x14ac:dyDescent="0.25">
      <c r="E370">
        <v>50</v>
      </c>
      <c r="F370" s="3">
        <v>6.7599999999999997E-8</v>
      </c>
      <c r="G370">
        <f t="shared" si="4"/>
        <v>-16.509657853897494</v>
      </c>
    </row>
    <row r="371" spans="1:11" x14ac:dyDescent="0.25">
      <c r="E371">
        <v>0</v>
      </c>
      <c r="F371" s="3">
        <v>3.7E-8</v>
      </c>
      <c r="G371">
        <f t="shared" si="4"/>
        <v>-17.112347924302188</v>
      </c>
    </row>
    <row r="372" spans="1:11" x14ac:dyDescent="0.25">
      <c r="A372" s="6">
        <v>44354</v>
      </c>
      <c r="B372">
        <v>470</v>
      </c>
      <c r="C372">
        <v>790</v>
      </c>
      <c r="D372">
        <v>900</v>
      </c>
      <c r="E372">
        <v>300</v>
      </c>
      <c r="F372" s="3">
        <v>1.5900000000000001E-7</v>
      </c>
      <c r="G372">
        <f t="shared" si="4"/>
        <v>-15.654361634726179</v>
      </c>
    </row>
    <row r="373" spans="1:11" x14ac:dyDescent="0.25">
      <c r="E373">
        <v>250</v>
      </c>
      <c r="F373" s="3">
        <v>1.4499999999999999E-7</v>
      </c>
      <c r="G373">
        <f t="shared" si="4"/>
        <v>-15.746532094525836</v>
      </c>
    </row>
    <row r="374" spans="1:11" x14ac:dyDescent="0.25">
      <c r="E374">
        <v>200</v>
      </c>
      <c r="F374" s="3">
        <v>1.29E-7</v>
      </c>
      <c r="G374">
        <f t="shared" si="4"/>
        <v>-15.863453432584739</v>
      </c>
    </row>
    <row r="375" spans="1:11" x14ac:dyDescent="0.25">
      <c r="E375">
        <v>150</v>
      </c>
      <c r="F375" s="3">
        <v>1.12E-7</v>
      </c>
      <c r="G375">
        <f t="shared" si="4"/>
        <v>-16.004766965651317</v>
      </c>
    </row>
    <row r="376" spans="1:11" x14ac:dyDescent="0.25">
      <c r="E376">
        <v>100</v>
      </c>
      <c r="F376" s="3">
        <v>9.3299999999999995E-8</v>
      </c>
      <c r="G376">
        <f t="shared" si="4"/>
        <v>-16.187445729093113</v>
      </c>
    </row>
    <row r="377" spans="1:11" x14ac:dyDescent="0.25">
      <c r="E377">
        <v>50</v>
      </c>
      <c r="F377" s="3">
        <v>6.7399999999999995E-8</v>
      </c>
      <c r="G377">
        <f t="shared" si="4"/>
        <v>-16.51262081902815</v>
      </c>
    </row>
    <row r="378" spans="1:11" x14ac:dyDescent="0.25">
      <c r="E378">
        <v>0</v>
      </c>
      <c r="F378" s="3">
        <v>3.6799999999999999E-8</v>
      </c>
      <c r="G378">
        <f t="shared" si="4"/>
        <v>-17.117767991771526</v>
      </c>
    </row>
    <row r="379" spans="1:11" x14ac:dyDescent="0.25">
      <c r="A379" s="6">
        <v>44357</v>
      </c>
      <c r="B379">
        <v>470</v>
      </c>
      <c r="C379">
        <v>790</v>
      </c>
      <c r="D379">
        <v>900</v>
      </c>
      <c r="E379">
        <v>300</v>
      </c>
      <c r="F379" s="3">
        <v>1.5900000000000001E-7</v>
      </c>
      <c r="G379">
        <f t="shared" si="4"/>
        <v>-15.654361634726179</v>
      </c>
    </row>
    <row r="380" spans="1:11" x14ac:dyDescent="0.25">
      <c r="E380">
        <v>250</v>
      </c>
      <c r="F380" s="3">
        <v>1.4600000000000001E-7</v>
      </c>
      <c r="G380">
        <f t="shared" si="4"/>
        <v>-15.739659215238074</v>
      </c>
    </row>
    <row r="381" spans="1:11" x14ac:dyDescent="0.25">
      <c r="E381">
        <v>200</v>
      </c>
      <c r="F381" s="3">
        <v>1.31E-7</v>
      </c>
      <c r="G381">
        <f t="shared" si="4"/>
        <v>-15.848068513745259</v>
      </c>
    </row>
    <row r="382" spans="1:11" x14ac:dyDescent="0.25">
      <c r="E382">
        <v>150</v>
      </c>
      <c r="F382" s="3">
        <v>1.14E-7</v>
      </c>
      <c r="G382">
        <f t="shared" si="4"/>
        <v>-15.987067388551916</v>
      </c>
    </row>
    <row r="383" spans="1:11" x14ac:dyDescent="0.25">
      <c r="E383">
        <v>100</v>
      </c>
      <c r="F383" s="3">
        <v>9.3699999999999999E-8</v>
      </c>
      <c r="G383">
        <f t="shared" si="4"/>
        <v>-16.183167647702035</v>
      </c>
    </row>
    <row r="384" spans="1:11" x14ac:dyDescent="0.25">
      <c r="E384">
        <v>50</v>
      </c>
      <c r="F384" s="3">
        <v>6.7799999999999998E-8</v>
      </c>
      <c r="G384">
        <f t="shared" si="4"/>
        <v>-16.506703642000062</v>
      </c>
    </row>
    <row r="385" spans="1:7" x14ac:dyDescent="0.25">
      <c r="E385">
        <v>0</v>
      </c>
      <c r="F385" s="3">
        <v>3.69E-8</v>
      </c>
      <c r="G385">
        <f t="shared" si="4"/>
        <v>-17.11505428589993</v>
      </c>
    </row>
    <row r="386" spans="1:7" x14ac:dyDescent="0.25">
      <c r="A386" s="6">
        <v>44358</v>
      </c>
      <c r="B386">
        <v>470</v>
      </c>
      <c r="C386">
        <v>790</v>
      </c>
      <c r="D386">
        <v>900</v>
      </c>
      <c r="E386">
        <v>300</v>
      </c>
      <c r="F386" s="3">
        <v>1.5900000000000001E-7</v>
      </c>
      <c r="G386">
        <f t="shared" si="4"/>
        <v>-15.654361634726179</v>
      </c>
    </row>
    <row r="387" spans="1:7" x14ac:dyDescent="0.25">
      <c r="E387">
        <v>250</v>
      </c>
      <c r="F387" s="3">
        <v>1.4600000000000001E-7</v>
      </c>
      <c r="G387">
        <f t="shared" si="4"/>
        <v>-15.739659215238074</v>
      </c>
    </row>
    <row r="388" spans="1:7" x14ac:dyDescent="0.25">
      <c r="E388">
        <v>200</v>
      </c>
      <c r="F388" s="3">
        <v>1.3199999999999999E-7</v>
      </c>
      <c r="G388">
        <f t="shared" si="4"/>
        <v>-15.84046391436004</v>
      </c>
    </row>
    <row r="389" spans="1:7" x14ac:dyDescent="0.25">
      <c r="E389">
        <v>150</v>
      </c>
      <c r="F389" s="3">
        <v>1.1300000000000001E-7</v>
      </c>
      <c r="G389">
        <f t="shared" si="4"/>
        <v>-15.995878018234071</v>
      </c>
    </row>
    <row r="390" spans="1:7" x14ac:dyDescent="0.25">
      <c r="E390">
        <v>100</v>
      </c>
      <c r="F390" s="3">
        <v>9.3499999999999997E-8</v>
      </c>
      <c r="G390">
        <f t="shared" si="4"/>
        <v>-16.18530440065177</v>
      </c>
    </row>
    <row r="391" spans="1:7" x14ac:dyDescent="0.25">
      <c r="E391">
        <v>50</v>
      </c>
      <c r="F391" s="3">
        <v>6.7599999999999997E-8</v>
      </c>
      <c r="G391">
        <f t="shared" si="4"/>
        <v>-16.509657853897494</v>
      </c>
    </row>
    <row r="392" spans="1:7" x14ac:dyDescent="0.25">
      <c r="E392">
        <v>0</v>
      </c>
      <c r="F392" s="3">
        <v>3.69E-8</v>
      </c>
      <c r="G392">
        <f t="shared" si="4"/>
        <v>-17.11505428589993</v>
      </c>
    </row>
    <row r="393" spans="1:7" x14ac:dyDescent="0.25">
      <c r="A393" s="6">
        <v>44363</v>
      </c>
      <c r="B393">
        <v>470</v>
      </c>
      <c r="C393">
        <v>790</v>
      </c>
      <c r="D393">
        <v>900</v>
      </c>
      <c r="E393">
        <v>300</v>
      </c>
      <c r="F393" s="3">
        <v>1.6E-7</v>
      </c>
      <c r="G393">
        <f t="shared" si="4"/>
        <v>-15.648092021712584</v>
      </c>
    </row>
    <row r="394" spans="1:7" x14ac:dyDescent="0.25">
      <c r="E394">
        <v>250</v>
      </c>
      <c r="F394" s="3">
        <v>1.4700000000000001E-7</v>
      </c>
      <c r="G394">
        <f t="shared" si="4"/>
        <v>-15.732833250167674</v>
      </c>
    </row>
    <row r="395" spans="1:7" x14ac:dyDescent="0.25">
      <c r="E395">
        <v>200</v>
      </c>
      <c r="F395" s="3">
        <v>1.3199999999999999E-7</v>
      </c>
      <c r="G395">
        <f t="shared" si="4"/>
        <v>-15.84046391436004</v>
      </c>
    </row>
    <row r="396" spans="1:7" x14ac:dyDescent="0.25">
      <c r="E396">
        <v>150</v>
      </c>
      <c r="F396" s="3">
        <v>1.14E-7</v>
      </c>
      <c r="G396">
        <f t="shared" si="4"/>
        <v>-15.987067388551916</v>
      </c>
    </row>
    <row r="397" spans="1:7" x14ac:dyDescent="0.25">
      <c r="E397">
        <v>100</v>
      </c>
      <c r="F397" s="3">
        <v>9.3999999999999995E-8</v>
      </c>
      <c r="G397">
        <f t="shared" si="4"/>
        <v>-16.179971054676408</v>
      </c>
    </row>
    <row r="398" spans="1:7" x14ac:dyDescent="0.25">
      <c r="E398">
        <v>50</v>
      </c>
      <c r="F398" s="3">
        <v>6.8200000000000002E-8</v>
      </c>
      <c r="G398">
        <f t="shared" si="4"/>
        <v>-16.500821272096996</v>
      </c>
    </row>
    <row r="399" spans="1:7" x14ac:dyDescent="0.25">
      <c r="E399">
        <v>0</v>
      </c>
      <c r="F399" s="3">
        <v>3.7200000000000002E-8</v>
      </c>
      <c r="G399">
        <f t="shared" si="4"/>
        <v>-17.10695707566731</v>
      </c>
    </row>
    <row r="400" spans="1:7" x14ac:dyDescent="0.25">
      <c r="A400" s="6">
        <v>44363</v>
      </c>
      <c r="B400">
        <v>470</v>
      </c>
      <c r="C400">
        <v>790</v>
      </c>
      <c r="D400">
        <v>900</v>
      </c>
      <c r="E400">
        <v>300</v>
      </c>
      <c r="F400" s="3">
        <v>1.61E-7</v>
      </c>
      <c r="G400">
        <f t="shared" si="4"/>
        <v>-15.641861471961947</v>
      </c>
    </row>
    <row r="401" spans="1:7" x14ac:dyDescent="0.25">
      <c r="E401">
        <v>250</v>
      </c>
      <c r="F401" s="3">
        <v>1.4700000000000001E-7</v>
      </c>
      <c r="G401">
        <f t="shared" si="4"/>
        <v>-15.732833250167674</v>
      </c>
    </row>
    <row r="402" spans="1:7" x14ac:dyDescent="0.25">
      <c r="E402">
        <v>200</v>
      </c>
      <c r="F402" s="3">
        <v>1.3199999999999999E-7</v>
      </c>
      <c r="G402">
        <f t="shared" si="4"/>
        <v>-15.84046391436004</v>
      </c>
    </row>
    <row r="403" spans="1:7" x14ac:dyDescent="0.25">
      <c r="E403">
        <v>150</v>
      </c>
      <c r="F403" s="3">
        <v>1.15E-7</v>
      </c>
      <c r="G403">
        <f t="shared" si="4"/>
        <v>-15.978333708583161</v>
      </c>
    </row>
    <row r="404" spans="1:7" x14ac:dyDescent="0.25">
      <c r="E404">
        <v>100</v>
      </c>
      <c r="F404" s="3">
        <v>9.4300000000000004E-8</v>
      </c>
      <c r="G404">
        <f t="shared" si="4"/>
        <v>-16.176784647306999</v>
      </c>
    </row>
    <row r="405" spans="1:7" x14ac:dyDescent="0.25">
      <c r="E405">
        <v>50</v>
      </c>
      <c r="F405" s="3">
        <v>6.87E-8</v>
      </c>
      <c r="G405">
        <f t="shared" si="4"/>
        <v>-16.493516637718109</v>
      </c>
    </row>
    <row r="406" spans="1:7" x14ac:dyDescent="0.25">
      <c r="E406">
        <v>0</v>
      </c>
      <c r="F406" s="3">
        <v>3.7499999999999998E-8</v>
      </c>
      <c r="G406">
        <f t="shared" si="4"/>
        <v>-17.098924903970047</v>
      </c>
    </row>
    <row r="407" spans="1:7" x14ac:dyDescent="0.25">
      <c r="A407" s="6">
        <v>44370</v>
      </c>
      <c r="B407">
        <v>470</v>
      </c>
      <c r="C407">
        <v>790</v>
      </c>
      <c r="D407">
        <v>900</v>
      </c>
      <c r="E407">
        <v>300</v>
      </c>
      <c r="G407" t="e">
        <f t="shared" si="4"/>
        <v>#NUM!</v>
      </c>
    </row>
    <row r="408" spans="1:7" x14ac:dyDescent="0.25">
      <c r="E408">
        <v>250</v>
      </c>
      <c r="G408" t="e">
        <f t="shared" ref="G408:G471" si="5">LN(F408)</f>
        <v>#NUM!</v>
      </c>
    </row>
    <row r="409" spans="1:7" x14ac:dyDescent="0.25">
      <c r="E409">
        <v>200</v>
      </c>
      <c r="G409" t="e">
        <f t="shared" si="5"/>
        <v>#NUM!</v>
      </c>
    </row>
    <row r="410" spans="1:7" x14ac:dyDescent="0.25">
      <c r="E410">
        <v>150</v>
      </c>
      <c r="G410" t="e">
        <f t="shared" si="5"/>
        <v>#NUM!</v>
      </c>
    </row>
    <row r="411" spans="1:7" x14ac:dyDescent="0.25">
      <c r="E411">
        <v>100</v>
      </c>
      <c r="G411" t="e">
        <f t="shared" si="5"/>
        <v>#NUM!</v>
      </c>
    </row>
    <row r="412" spans="1:7" x14ac:dyDescent="0.25">
      <c r="E412">
        <v>50</v>
      </c>
      <c r="G412" t="e">
        <f t="shared" si="5"/>
        <v>#NUM!</v>
      </c>
    </row>
    <row r="413" spans="1:7" x14ac:dyDescent="0.25">
      <c r="E413">
        <v>0</v>
      </c>
      <c r="G413" t="e">
        <f t="shared" si="5"/>
        <v>#NUM!</v>
      </c>
    </row>
    <row r="414" spans="1:7" x14ac:dyDescent="0.25">
      <c r="A414" s="6">
        <v>44398</v>
      </c>
      <c r="B414">
        <v>470</v>
      </c>
      <c r="C414">
        <v>790</v>
      </c>
      <c r="D414">
        <v>900</v>
      </c>
      <c r="E414">
        <v>300</v>
      </c>
      <c r="F414" s="3">
        <v>1.5900000000000001E-7</v>
      </c>
      <c r="G414">
        <f t="shared" si="5"/>
        <v>-15.654361634726179</v>
      </c>
    </row>
    <row r="415" spans="1:7" x14ac:dyDescent="0.25">
      <c r="E415">
        <v>250</v>
      </c>
      <c r="F415" s="3">
        <v>1.4600000000000001E-7</v>
      </c>
      <c r="G415">
        <f t="shared" si="5"/>
        <v>-15.739659215238074</v>
      </c>
    </row>
    <row r="416" spans="1:7" x14ac:dyDescent="0.25">
      <c r="E416">
        <v>200</v>
      </c>
      <c r="F416" s="3">
        <v>1.3E-7</v>
      </c>
      <c r="G416">
        <f t="shared" si="5"/>
        <v>-15.855731386490829</v>
      </c>
    </row>
    <row r="417" spans="1:15" x14ac:dyDescent="0.25">
      <c r="E417">
        <v>150</v>
      </c>
      <c r="F417" s="3">
        <v>1.1300000000000001E-7</v>
      </c>
      <c r="G417">
        <f t="shared" si="5"/>
        <v>-15.995878018234071</v>
      </c>
    </row>
    <row r="418" spans="1:15" x14ac:dyDescent="0.25">
      <c r="E418">
        <v>100</v>
      </c>
      <c r="F418" s="3">
        <v>9.3200000000000001E-8</v>
      </c>
      <c r="G418">
        <f t="shared" si="5"/>
        <v>-16.188518115254865</v>
      </c>
      <c r="O418" t="s">
        <v>151</v>
      </c>
    </row>
    <row r="419" spans="1:15" x14ac:dyDescent="0.25">
      <c r="E419">
        <v>50</v>
      </c>
      <c r="F419" s="3">
        <v>6.7399999999999995E-8</v>
      </c>
      <c r="G419">
        <f t="shared" si="5"/>
        <v>-16.51262081902815</v>
      </c>
      <c r="O419" t="s">
        <v>152</v>
      </c>
    </row>
    <row r="420" spans="1:15" x14ac:dyDescent="0.25">
      <c r="E420">
        <v>0</v>
      </c>
      <c r="F420" s="3">
        <v>3.6599999999999997E-8</v>
      </c>
      <c r="G420">
        <f t="shared" si="5"/>
        <v>-17.123217596539092</v>
      </c>
    </row>
    <row r="421" spans="1:15" x14ac:dyDescent="0.25">
      <c r="A421" s="6">
        <v>44406</v>
      </c>
      <c r="B421">
        <v>470</v>
      </c>
      <c r="C421">
        <v>790</v>
      </c>
      <c r="D421">
        <v>900</v>
      </c>
      <c r="E421">
        <v>300</v>
      </c>
      <c r="F421" s="3">
        <v>1.6E-7</v>
      </c>
      <c r="G421">
        <f t="shared" si="5"/>
        <v>-15.648092021712584</v>
      </c>
    </row>
    <row r="422" spans="1:15" x14ac:dyDescent="0.25">
      <c r="E422">
        <v>250</v>
      </c>
      <c r="F422" s="3">
        <v>1.4700000000000001E-7</v>
      </c>
      <c r="G422">
        <f t="shared" si="5"/>
        <v>-15.732833250167674</v>
      </c>
    </row>
    <row r="423" spans="1:15" x14ac:dyDescent="0.25">
      <c r="E423">
        <v>200</v>
      </c>
      <c r="F423" s="3">
        <v>1.3199999999999999E-7</v>
      </c>
      <c r="G423">
        <f t="shared" si="5"/>
        <v>-15.84046391436004</v>
      </c>
    </row>
    <row r="424" spans="1:15" x14ac:dyDescent="0.25">
      <c r="E424">
        <v>150</v>
      </c>
      <c r="F424" s="3">
        <v>1.14E-7</v>
      </c>
      <c r="G424">
        <f t="shared" si="5"/>
        <v>-15.987067388551916</v>
      </c>
    </row>
    <row r="425" spans="1:15" x14ac:dyDescent="0.25">
      <c r="E425">
        <v>100</v>
      </c>
      <c r="F425" s="3">
        <v>9.3800000000000006E-8</v>
      </c>
      <c r="G425">
        <f t="shared" si="5"/>
        <v>-16.182100980934234</v>
      </c>
    </row>
    <row r="426" spans="1:15" x14ac:dyDescent="0.25">
      <c r="E426">
        <v>50</v>
      </c>
      <c r="F426" s="3">
        <v>6.8E-8</v>
      </c>
      <c r="G426">
        <f t="shared" si="5"/>
        <v>-16.503758131770304</v>
      </c>
    </row>
    <row r="427" spans="1:15" x14ac:dyDescent="0.25">
      <c r="E427">
        <v>0</v>
      </c>
      <c r="F427" s="3">
        <v>3.7100000000000001E-8</v>
      </c>
      <c r="G427">
        <f t="shared" si="5"/>
        <v>-17.109648867333021</v>
      </c>
    </row>
    <row r="428" spans="1:15" x14ac:dyDescent="0.25">
      <c r="A428" s="6">
        <v>44426</v>
      </c>
      <c r="B428">
        <v>470</v>
      </c>
      <c r="C428">
        <v>790</v>
      </c>
      <c r="D428">
        <v>900</v>
      </c>
      <c r="E428">
        <v>300</v>
      </c>
      <c r="F428" s="3">
        <v>1.6E-7</v>
      </c>
      <c r="G428">
        <f t="shared" si="5"/>
        <v>-15.648092021712584</v>
      </c>
    </row>
    <row r="429" spans="1:15" x14ac:dyDescent="0.25">
      <c r="E429">
        <v>250</v>
      </c>
      <c r="F429" s="3">
        <v>1.4700000000000001E-7</v>
      </c>
      <c r="G429">
        <f t="shared" si="5"/>
        <v>-15.732833250167674</v>
      </c>
    </row>
    <row r="430" spans="1:15" x14ac:dyDescent="0.25">
      <c r="E430">
        <v>200</v>
      </c>
      <c r="F430" s="3">
        <v>1.3199999999999999E-7</v>
      </c>
      <c r="G430">
        <f t="shared" si="5"/>
        <v>-15.84046391436004</v>
      </c>
    </row>
    <row r="431" spans="1:15" x14ac:dyDescent="0.25">
      <c r="E431">
        <v>150</v>
      </c>
      <c r="F431" s="3">
        <v>1.14E-7</v>
      </c>
      <c r="G431">
        <f t="shared" si="5"/>
        <v>-15.987067388551916</v>
      </c>
    </row>
    <row r="432" spans="1:15" x14ac:dyDescent="0.25">
      <c r="E432">
        <v>100</v>
      </c>
      <c r="F432" s="3">
        <v>9.3699999999999999E-8</v>
      </c>
      <c r="G432">
        <f t="shared" si="5"/>
        <v>-16.183167647702035</v>
      </c>
    </row>
    <row r="433" spans="1:10" x14ac:dyDescent="0.25">
      <c r="E433">
        <v>50</v>
      </c>
      <c r="F433" s="3">
        <v>6.7799999999999998E-8</v>
      </c>
      <c r="G433">
        <f t="shared" si="5"/>
        <v>-16.506703642000062</v>
      </c>
    </row>
    <row r="434" spans="1:10" x14ac:dyDescent="0.25">
      <c r="E434">
        <v>0</v>
      </c>
      <c r="F434" s="3">
        <v>3.6799999999999999E-8</v>
      </c>
      <c r="G434">
        <f t="shared" si="5"/>
        <v>-17.117767991771526</v>
      </c>
    </row>
    <row r="435" spans="1:10" x14ac:dyDescent="0.25">
      <c r="A435" s="6">
        <v>44426</v>
      </c>
      <c r="B435">
        <v>470</v>
      </c>
      <c r="C435">
        <v>790</v>
      </c>
      <c r="D435">
        <v>900</v>
      </c>
      <c r="E435">
        <v>300</v>
      </c>
      <c r="F435" s="3">
        <v>1.5900000000000001E-7</v>
      </c>
      <c r="G435">
        <f t="shared" si="5"/>
        <v>-15.654361634726179</v>
      </c>
    </row>
    <row r="436" spans="1:10" x14ac:dyDescent="0.25">
      <c r="E436">
        <v>250</v>
      </c>
      <c r="F436" s="3">
        <v>1.4600000000000001E-7</v>
      </c>
      <c r="G436">
        <f t="shared" si="5"/>
        <v>-15.739659215238074</v>
      </c>
    </row>
    <row r="437" spans="1:10" x14ac:dyDescent="0.25">
      <c r="E437">
        <v>200</v>
      </c>
      <c r="F437" s="3">
        <v>1.3E-7</v>
      </c>
      <c r="G437">
        <f t="shared" si="5"/>
        <v>-15.855731386490829</v>
      </c>
    </row>
    <row r="438" spans="1:10" x14ac:dyDescent="0.25">
      <c r="E438">
        <v>150</v>
      </c>
      <c r="F438" s="3">
        <v>1.12E-7</v>
      </c>
      <c r="G438">
        <f t="shared" si="5"/>
        <v>-16.004766965651317</v>
      </c>
    </row>
    <row r="439" spans="1:10" x14ac:dyDescent="0.25">
      <c r="E439">
        <v>100</v>
      </c>
      <c r="F439" s="3">
        <v>9.2999999999999999E-8</v>
      </c>
      <c r="G439">
        <f t="shared" si="5"/>
        <v>-16.190666343793154</v>
      </c>
    </row>
    <row r="440" spans="1:10" x14ac:dyDescent="0.25">
      <c r="E440">
        <v>50</v>
      </c>
      <c r="F440" s="3">
        <v>6.7599999999999997E-8</v>
      </c>
      <c r="G440">
        <f t="shared" si="5"/>
        <v>-16.509657853897494</v>
      </c>
    </row>
    <row r="441" spans="1:10" x14ac:dyDescent="0.25">
      <c r="E441">
        <v>0</v>
      </c>
      <c r="F441" s="3">
        <v>3.6699999999999998E-8</v>
      </c>
      <c r="G441">
        <f t="shared" si="5"/>
        <v>-17.120489081885886</v>
      </c>
    </row>
    <row r="442" spans="1:10" x14ac:dyDescent="0.25">
      <c r="A442" s="6">
        <v>44511</v>
      </c>
      <c r="B442">
        <v>500</v>
      </c>
      <c r="C442">
        <v>790</v>
      </c>
      <c r="D442">
        <v>900</v>
      </c>
      <c r="E442">
        <v>300</v>
      </c>
      <c r="F442" s="3">
        <v>4.7999999999999996E-7</v>
      </c>
      <c r="G442">
        <f t="shared" si="5"/>
        <v>-14.549479733044475</v>
      </c>
    </row>
    <row r="443" spans="1:10" x14ac:dyDescent="0.25">
      <c r="E443">
        <v>250</v>
      </c>
      <c r="F443" s="3">
        <v>4.3700000000000001E-7</v>
      </c>
      <c r="G443">
        <f t="shared" si="5"/>
        <v>-14.643332641850821</v>
      </c>
    </row>
    <row r="444" spans="1:10" x14ac:dyDescent="0.25">
      <c r="E444">
        <v>200</v>
      </c>
      <c r="F444" s="3">
        <v>3.9000000000000002E-7</v>
      </c>
      <c r="G444">
        <f t="shared" si="5"/>
        <v>-14.757119097822718</v>
      </c>
    </row>
    <row r="445" spans="1:10" x14ac:dyDescent="0.25">
      <c r="E445">
        <v>150</v>
      </c>
      <c r="F445" s="3">
        <v>3.3599999999999999E-7</v>
      </c>
      <c r="G445">
        <f t="shared" si="5"/>
        <v>-14.906154676983206</v>
      </c>
    </row>
    <row r="446" spans="1:10" x14ac:dyDescent="0.25">
      <c r="E446">
        <v>100</v>
      </c>
      <c r="F446" s="3">
        <v>2.7399999999999999E-7</v>
      </c>
      <c r="G446">
        <f t="shared" si="5"/>
        <v>-15.110137730558341</v>
      </c>
      <c r="J446">
        <f>4.8/5.05</f>
        <v>0.95049504950495045</v>
      </c>
    </row>
    <row r="447" spans="1:10" x14ac:dyDescent="0.25">
      <c r="E447">
        <v>50</v>
      </c>
      <c r="F447" s="3">
        <v>1.99E-7</v>
      </c>
      <c r="G447">
        <f t="shared" si="5"/>
        <v>-15.429961012221918</v>
      </c>
    </row>
    <row r="448" spans="1:10" x14ac:dyDescent="0.25">
      <c r="E448">
        <v>0</v>
      </c>
      <c r="F448" s="3">
        <v>1.08E-7</v>
      </c>
      <c r="G448">
        <f t="shared" si="5"/>
        <v>-16.041134609822191</v>
      </c>
    </row>
    <row r="449" spans="1:7" x14ac:dyDescent="0.25">
      <c r="A449" s="6">
        <v>44515</v>
      </c>
      <c r="B449">
        <v>500</v>
      </c>
      <c r="C449">
        <v>790</v>
      </c>
      <c r="D449">
        <v>900</v>
      </c>
      <c r="E449">
        <v>300</v>
      </c>
      <c r="F449" s="3">
        <v>4.7800000000000002E-7</v>
      </c>
      <c r="G449">
        <f t="shared" si="5"/>
        <v>-14.553655104454956</v>
      </c>
    </row>
    <row r="450" spans="1:7" x14ac:dyDescent="0.25">
      <c r="E450">
        <v>250</v>
      </c>
      <c r="F450" s="3">
        <v>4.3700000000000001E-7</v>
      </c>
      <c r="G450">
        <f t="shared" si="5"/>
        <v>-14.643332641850821</v>
      </c>
    </row>
    <row r="451" spans="1:7" x14ac:dyDescent="0.25">
      <c r="E451">
        <v>200</v>
      </c>
      <c r="F451" s="3">
        <v>3.8799999999999998E-7</v>
      </c>
      <c r="G451">
        <f t="shared" si="5"/>
        <v>-14.762260497323139</v>
      </c>
    </row>
    <row r="452" spans="1:7" x14ac:dyDescent="0.25">
      <c r="E452">
        <v>150</v>
      </c>
      <c r="F452" s="3">
        <v>3.3299999999999998E-7</v>
      </c>
      <c r="G452">
        <f t="shared" si="5"/>
        <v>-14.915123346965967</v>
      </c>
    </row>
    <row r="453" spans="1:7" x14ac:dyDescent="0.25">
      <c r="E453">
        <v>100</v>
      </c>
      <c r="F453" s="3">
        <v>2.7399999999999999E-7</v>
      </c>
      <c r="G453">
        <f t="shared" si="5"/>
        <v>-15.110137730558341</v>
      </c>
    </row>
    <row r="454" spans="1:7" x14ac:dyDescent="0.25">
      <c r="E454">
        <v>50</v>
      </c>
      <c r="F454" s="3">
        <v>1.99E-7</v>
      </c>
      <c r="G454">
        <f t="shared" si="5"/>
        <v>-15.429961012221918</v>
      </c>
    </row>
    <row r="455" spans="1:7" x14ac:dyDescent="0.25">
      <c r="E455">
        <v>0</v>
      </c>
      <c r="F455" s="3">
        <v>1.0700000000000001E-7</v>
      </c>
      <c r="G455">
        <f t="shared" si="5"/>
        <v>-16.050437002484504</v>
      </c>
    </row>
    <row r="456" spans="1:7" x14ac:dyDescent="0.25">
      <c r="A456" s="6">
        <v>44515</v>
      </c>
      <c r="B456">
        <v>500</v>
      </c>
      <c r="C456">
        <v>790</v>
      </c>
      <c r="D456">
        <v>900</v>
      </c>
      <c r="E456">
        <v>300</v>
      </c>
      <c r="F456" s="3">
        <v>4.7E-7</v>
      </c>
      <c r="G456">
        <f t="shared" si="5"/>
        <v>-14.570533142242306</v>
      </c>
    </row>
    <row r="457" spans="1:7" x14ac:dyDescent="0.25">
      <c r="E457">
        <v>250</v>
      </c>
      <c r="F457" s="3">
        <v>4.3000000000000001E-7</v>
      </c>
      <c r="G457">
        <f t="shared" si="5"/>
        <v>-14.659480628258803</v>
      </c>
    </row>
    <row r="458" spans="1:7" x14ac:dyDescent="0.25">
      <c r="E458">
        <v>200</v>
      </c>
      <c r="F458" s="3">
        <v>3.8200000000000001E-7</v>
      </c>
      <c r="G458">
        <f t="shared" si="5"/>
        <v>-14.777845228339835</v>
      </c>
    </row>
    <row r="459" spans="1:7" x14ac:dyDescent="0.25">
      <c r="E459">
        <v>150</v>
      </c>
      <c r="F459" s="3">
        <v>3.2899999999999999E-7</v>
      </c>
      <c r="G459">
        <f t="shared" si="5"/>
        <v>-14.927208086181039</v>
      </c>
    </row>
    <row r="460" spans="1:7" x14ac:dyDescent="0.25">
      <c r="E460">
        <v>100</v>
      </c>
      <c r="F460" s="3">
        <v>2.7099999999999998E-7</v>
      </c>
      <c r="G460">
        <f t="shared" si="5"/>
        <v>-15.121147016066711</v>
      </c>
    </row>
    <row r="461" spans="1:7" x14ac:dyDescent="0.25">
      <c r="E461">
        <v>50</v>
      </c>
      <c r="F461" s="3">
        <v>1.9600000000000001E-7</v>
      </c>
      <c r="G461">
        <f t="shared" si="5"/>
        <v>-15.445151177715895</v>
      </c>
    </row>
    <row r="462" spans="1:7" x14ac:dyDescent="0.25">
      <c r="E462">
        <v>0</v>
      </c>
      <c r="F462" s="3">
        <v>1.06E-7</v>
      </c>
      <c r="G462">
        <f t="shared" si="5"/>
        <v>-16.059826742834343</v>
      </c>
    </row>
    <row r="463" spans="1:7" x14ac:dyDescent="0.25">
      <c r="A463" s="6">
        <v>44533</v>
      </c>
      <c r="B463">
        <v>505</v>
      </c>
      <c r="C463">
        <v>790</v>
      </c>
      <c r="D463">
        <v>900</v>
      </c>
      <c r="E463">
        <v>300</v>
      </c>
      <c r="F463" s="3">
        <v>5.6000000000000004E-7</v>
      </c>
      <c r="G463">
        <f t="shared" si="5"/>
        <v>-14.395329053217216</v>
      </c>
    </row>
    <row r="464" spans="1:7" x14ac:dyDescent="0.25">
      <c r="E464">
        <v>250</v>
      </c>
      <c r="F464" s="3">
        <v>5.0500000000000004E-7</v>
      </c>
      <c r="G464">
        <f t="shared" si="5"/>
        <v>-14.498707407671052</v>
      </c>
    </row>
    <row r="465" spans="1:15" x14ac:dyDescent="0.25">
      <c r="E465">
        <v>200</v>
      </c>
      <c r="F465" s="3">
        <v>4.5499999999999998E-7</v>
      </c>
      <c r="G465">
        <f t="shared" si="5"/>
        <v>-14.602968417995461</v>
      </c>
    </row>
    <row r="466" spans="1:15" x14ac:dyDescent="0.25">
      <c r="E466">
        <v>150</v>
      </c>
      <c r="F466" s="3">
        <v>3.9000000000000002E-7</v>
      </c>
      <c r="G466">
        <f t="shared" si="5"/>
        <v>-14.757119097822718</v>
      </c>
    </row>
    <row r="467" spans="1:15" x14ac:dyDescent="0.25">
      <c r="E467">
        <v>100</v>
      </c>
      <c r="F467" s="3">
        <v>3.1800000000000002E-7</v>
      </c>
      <c r="G467">
        <f t="shared" si="5"/>
        <v>-14.961214454166234</v>
      </c>
    </row>
    <row r="468" spans="1:15" x14ac:dyDescent="0.25">
      <c r="E468">
        <v>50</v>
      </c>
      <c r="F468" s="3">
        <v>2.28E-7</v>
      </c>
      <c r="G468">
        <f t="shared" si="5"/>
        <v>-15.29392020799197</v>
      </c>
    </row>
    <row r="469" spans="1:15" x14ac:dyDescent="0.25">
      <c r="E469">
        <v>0</v>
      </c>
      <c r="F469" s="3">
        <v>1.23E-7</v>
      </c>
      <c r="G469">
        <f t="shared" si="5"/>
        <v>-15.911081481573994</v>
      </c>
    </row>
    <row r="470" spans="1:15" x14ac:dyDescent="0.25">
      <c r="A470" s="6">
        <v>44595</v>
      </c>
      <c r="B470">
        <v>500</v>
      </c>
      <c r="C470">
        <v>790</v>
      </c>
      <c r="D470">
        <v>900</v>
      </c>
      <c r="E470">
        <v>300</v>
      </c>
      <c r="F470" s="3">
        <v>4.6400000000000003E-7</v>
      </c>
      <c r="G470">
        <f t="shared" si="5"/>
        <v>-14.583381284720156</v>
      </c>
      <c r="O470" s="3"/>
    </row>
    <row r="471" spans="1:15" x14ac:dyDescent="0.25">
      <c r="E471">
        <v>250</v>
      </c>
      <c r="F471" s="3">
        <v>4.2500000000000001E-7</v>
      </c>
      <c r="G471">
        <f t="shared" si="5"/>
        <v>-14.671176668021994</v>
      </c>
    </row>
    <row r="472" spans="1:15" x14ac:dyDescent="0.25">
      <c r="E472">
        <v>200</v>
      </c>
      <c r="F472" s="3">
        <v>3.7300000000000002E-7</v>
      </c>
      <c r="G472">
        <f t="shared" ref="G472:G535" si="6">LN(F472)</f>
        <v>-14.801687417302595</v>
      </c>
    </row>
    <row r="473" spans="1:15" x14ac:dyDescent="0.25">
      <c r="E473">
        <v>150</v>
      </c>
      <c r="F473" s="3">
        <v>3.2099999999999998E-7</v>
      </c>
      <c r="G473">
        <f t="shared" si="6"/>
        <v>-14.951824713816395</v>
      </c>
    </row>
    <row r="474" spans="1:15" x14ac:dyDescent="0.25">
      <c r="E474">
        <v>100</v>
      </c>
      <c r="F474" s="3">
        <v>2.6399999999999998E-7</v>
      </c>
      <c r="G474">
        <f t="shared" si="6"/>
        <v>-15.147316733800094</v>
      </c>
    </row>
    <row r="475" spans="1:15" x14ac:dyDescent="0.25">
      <c r="E475">
        <v>50</v>
      </c>
      <c r="F475" s="3">
        <v>1.9000000000000001E-7</v>
      </c>
      <c r="G475">
        <f t="shared" si="6"/>
        <v>-15.476241764785925</v>
      </c>
    </row>
    <row r="476" spans="1:15" x14ac:dyDescent="0.25">
      <c r="E476">
        <v>0</v>
      </c>
      <c r="F476" s="3">
        <v>1.02E-7</v>
      </c>
      <c r="G476">
        <f t="shared" si="6"/>
        <v>-16.098293023662141</v>
      </c>
    </row>
    <row r="477" spans="1:15" x14ac:dyDescent="0.25">
      <c r="A477" s="6">
        <v>44630</v>
      </c>
      <c r="B477">
        <v>505</v>
      </c>
      <c r="C477">
        <v>790</v>
      </c>
      <c r="D477">
        <v>900</v>
      </c>
      <c r="E477">
        <v>300</v>
      </c>
      <c r="F477" s="3">
        <v>5.75E-7</v>
      </c>
      <c r="G477">
        <f t="shared" si="6"/>
        <v>-14.368895796149062</v>
      </c>
    </row>
    <row r="478" spans="1:15" x14ac:dyDescent="0.25">
      <c r="E478">
        <v>250</v>
      </c>
      <c r="F478" s="3">
        <v>5.2499999999999995E-7</v>
      </c>
      <c r="G478">
        <f t="shared" si="6"/>
        <v>-14.459867574354787</v>
      </c>
    </row>
    <row r="479" spans="1:15" x14ac:dyDescent="0.25">
      <c r="E479">
        <v>200</v>
      </c>
      <c r="F479" s="3">
        <v>4.6699999999999999E-7</v>
      </c>
      <c r="G479">
        <f t="shared" si="6"/>
        <v>-14.576936579277515</v>
      </c>
    </row>
    <row r="480" spans="1:15" x14ac:dyDescent="0.25">
      <c r="E480">
        <v>150</v>
      </c>
      <c r="F480" s="3">
        <v>4.0200000000000003E-7</v>
      </c>
      <c r="G480">
        <f t="shared" si="6"/>
        <v>-14.726813748327389</v>
      </c>
    </row>
    <row r="481" spans="1:7" x14ac:dyDescent="0.25">
      <c r="E481">
        <v>100</v>
      </c>
      <c r="F481" s="3">
        <v>3.3099999999999999E-7</v>
      </c>
      <c r="G481">
        <f t="shared" si="6"/>
        <v>-14.921147461569348</v>
      </c>
    </row>
    <row r="482" spans="1:7" x14ac:dyDescent="0.25">
      <c r="E482">
        <v>50</v>
      </c>
      <c r="F482" s="3">
        <v>2.3699999999999999E-7</v>
      </c>
      <c r="G482">
        <f t="shared" si="6"/>
        <v>-15.255205695811281</v>
      </c>
    </row>
    <row r="483" spans="1:7" x14ac:dyDescent="0.25">
      <c r="E483">
        <v>0</v>
      </c>
      <c r="F483" s="3">
        <v>1.2599999999999999E-7</v>
      </c>
      <c r="G483">
        <f t="shared" si="6"/>
        <v>-15.886983929994933</v>
      </c>
    </row>
    <row r="484" spans="1:7" x14ac:dyDescent="0.25">
      <c r="A484" s="6">
        <v>44643</v>
      </c>
      <c r="B484">
        <v>500</v>
      </c>
      <c r="C484">
        <v>790</v>
      </c>
      <c r="D484">
        <v>900</v>
      </c>
      <c r="E484">
        <v>300</v>
      </c>
      <c r="F484" s="3">
        <v>4.7300000000000001E-7</v>
      </c>
      <c r="G484">
        <f t="shared" si="6"/>
        <v>-14.564170448454478</v>
      </c>
    </row>
    <row r="485" spans="1:7" x14ac:dyDescent="0.25">
      <c r="E485">
        <v>250</v>
      </c>
      <c r="F485" s="3">
        <v>4.2800000000000002E-7</v>
      </c>
      <c r="G485">
        <f t="shared" si="6"/>
        <v>-14.664142641364615</v>
      </c>
    </row>
    <row r="486" spans="1:7" x14ac:dyDescent="0.25">
      <c r="E486">
        <v>200</v>
      </c>
      <c r="F486" s="3">
        <v>3.8099999999999998E-7</v>
      </c>
      <c r="G486">
        <f t="shared" si="6"/>
        <v>-14.78046646181971</v>
      </c>
    </row>
    <row r="487" spans="1:7" x14ac:dyDescent="0.25">
      <c r="E487">
        <v>150</v>
      </c>
      <c r="F487" s="3">
        <v>3.3099999999999999E-7</v>
      </c>
      <c r="G487">
        <f t="shared" si="6"/>
        <v>-14.921147461569348</v>
      </c>
    </row>
    <row r="488" spans="1:7" x14ac:dyDescent="0.25">
      <c r="E488">
        <v>100</v>
      </c>
      <c r="F488" s="3">
        <v>2.7000000000000001E-7</v>
      </c>
      <c r="G488">
        <f t="shared" si="6"/>
        <v>-15.124843877948036</v>
      </c>
    </row>
    <row r="489" spans="1:7" x14ac:dyDescent="0.25">
      <c r="E489">
        <v>50</v>
      </c>
      <c r="F489" s="3">
        <v>1.9500000000000001E-7</v>
      </c>
      <c r="G489">
        <f t="shared" si="6"/>
        <v>-15.450266278382664</v>
      </c>
    </row>
    <row r="490" spans="1:7" x14ac:dyDescent="0.25">
      <c r="E490">
        <v>0</v>
      </c>
      <c r="F490" s="3">
        <v>1.04E-7</v>
      </c>
      <c r="G490">
        <f t="shared" si="6"/>
        <v>-16.07887493780504</v>
      </c>
    </row>
    <row r="491" spans="1:7" x14ac:dyDescent="0.25">
      <c r="A491" s="6">
        <v>44649</v>
      </c>
      <c r="B491">
        <v>480</v>
      </c>
      <c r="C491">
        <v>790</v>
      </c>
      <c r="D491">
        <v>900</v>
      </c>
      <c r="E491">
        <v>300</v>
      </c>
      <c r="F491" s="3">
        <v>2.2600000000000001E-7</v>
      </c>
      <c r="G491">
        <f t="shared" si="6"/>
        <v>-15.302730837674126</v>
      </c>
    </row>
    <row r="492" spans="1:7" x14ac:dyDescent="0.25">
      <c r="E492">
        <v>250</v>
      </c>
      <c r="F492" s="3">
        <v>2.0800000000000001E-7</v>
      </c>
      <c r="G492">
        <f t="shared" si="6"/>
        <v>-15.385727757245093</v>
      </c>
    </row>
    <row r="493" spans="1:7" x14ac:dyDescent="0.25">
      <c r="E493">
        <v>200</v>
      </c>
      <c r="F493" s="3">
        <v>1.8400000000000001E-7</v>
      </c>
      <c r="G493">
        <f t="shared" si="6"/>
        <v>-15.508330079337426</v>
      </c>
    </row>
    <row r="494" spans="1:7" x14ac:dyDescent="0.25">
      <c r="E494">
        <v>150</v>
      </c>
      <c r="F494" s="3">
        <v>1.6E-7</v>
      </c>
      <c r="G494">
        <f t="shared" si="6"/>
        <v>-15.648092021712584</v>
      </c>
    </row>
    <row r="495" spans="1:7" x14ac:dyDescent="0.25">
      <c r="E495">
        <v>100</v>
      </c>
      <c r="F495" s="3">
        <v>1.3E-7</v>
      </c>
      <c r="G495">
        <f t="shared" si="6"/>
        <v>-15.855731386490829</v>
      </c>
    </row>
    <row r="496" spans="1:7" x14ac:dyDescent="0.25">
      <c r="E496">
        <v>50</v>
      </c>
      <c r="F496" s="3">
        <v>9.4300000000000004E-8</v>
      </c>
      <c r="G496">
        <f t="shared" si="6"/>
        <v>-16.176784647306999</v>
      </c>
    </row>
    <row r="497" spans="1:7" x14ac:dyDescent="0.25">
      <c r="E497">
        <v>0</v>
      </c>
      <c r="F497" s="3">
        <v>5.2100000000000003E-8</v>
      </c>
      <c r="G497">
        <f t="shared" si="6"/>
        <v>-16.770100888187091</v>
      </c>
    </row>
    <row r="498" spans="1:7" x14ac:dyDescent="0.25">
      <c r="A498" s="6">
        <v>44651</v>
      </c>
      <c r="B498">
        <v>485</v>
      </c>
      <c r="C498">
        <v>790</v>
      </c>
      <c r="D498">
        <v>900</v>
      </c>
      <c r="E498">
        <v>300</v>
      </c>
      <c r="F498" s="3">
        <v>2.6300000000000001E-7</v>
      </c>
      <c r="G498">
        <f t="shared" si="6"/>
        <v>-15.151111804768647</v>
      </c>
    </row>
    <row r="499" spans="1:7" x14ac:dyDescent="0.25">
      <c r="E499">
        <v>250</v>
      </c>
      <c r="F499" s="3">
        <v>2.3699999999999999E-7</v>
      </c>
      <c r="G499">
        <f t="shared" si="6"/>
        <v>-15.255205695811281</v>
      </c>
    </row>
    <row r="500" spans="1:7" x14ac:dyDescent="0.25">
      <c r="E500">
        <v>200</v>
      </c>
      <c r="F500" s="3">
        <v>2.1199999999999999E-7</v>
      </c>
      <c r="G500">
        <f t="shared" si="6"/>
        <v>-15.366679562274399</v>
      </c>
    </row>
    <row r="501" spans="1:7" x14ac:dyDescent="0.25">
      <c r="E501">
        <v>150</v>
      </c>
      <c r="F501" s="3">
        <v>1.8099999999999999E-7</v>
      </c>
      <c r="G501">
        <f t="shared" si="6"/>
        <v>-15.524768805680585</v>
      </c>
    </row>
    <row r="502" spans="1:7" x14ac:dyDescent="0.25">
      <c r="E502">
        <v>100</v>
      </c>
      <c r="F502" s="3">
        <v>1.48E-7</v>
      </c>
      <c r="G502">
        <f t="shared" si="6"/>
        <v>-15.726053563182296</v>
      </c>
    </row>
    <row r="503" spans="1:7" x14ac:dyDescent="0.25">
      <c r="E503">
        <v>50</v>
      </c>
      <c r="F503" s="3">
        <v>1.08E-7</v>
      </c>
      <c r="G503">
        <f t="shared" si="6"/>
        <v>-16.041134609822191</v>
      </c>
    </row>
    <row r="504" spans="1:7" x14ac:dyDescent="0.25">
      <c r="E504">
        <v>0</v>
      </c>
      <c r="F504" s="3">
        <v>5.84E-8</v>
      </c>
      <c r="G504">
        <f t="shared" si="6"/>
        <v>-16.65594994711223</v>
      </c>
    </row>
    <row r="505" spans="1:7" x14ac:dyDescent="0.25">
      <c r="A505" s="6">
        <v>44658</v>
      </c>
      <c r="B505">
        <v>485</v>
      </c>
      <c r="C505">
        <v>790</v>
      </c>
      <c r="D505">
        <v>900</v>
      </c>
      <c r="E505">
        <v>300</v>
      </c>
      <c r="F505" s="3">
        <v>2.6199999999999999E-7</v>
      </c>
      <c r="G505">
        <f t="shared" si="6"/>
        <v>-15.154921333185314</v>
      </c>
    </row>
    <row r="506" spans="1:7" x14ac:dyDescent="0.25">
      <c r="E506">
        <v>250</v>
      </c>
      <c r="F506" s="3">
        <v>2.3699999999999999E-7</v>
      </c>
      <c r="G506">
        <f t="shared" si="6"/>
        <v>-15.255205695811281</v>
      </c>
    </row>
    <row r="507" spans="1:7" x14ac:dyDescent="0.25">
      <c r="E507">
        <v>200</v>
      </c>
      <c r="F507" s="3">
        <v>2.1299999999999999E-7</v>
      </c>
      <c r="G507">
        <f t="shared" si="6"/>
        <v>-15.361973671236987</v>
      </c>
    </row>
    <row r="508" spans="1:7" x14ac:dyDescent="0.25">
      <c r="E508">
        <v>150</v>
      </c>
      <c r="F508" s="3">
        <v>1.8199999999999999E-7</v>
      </c>
      <c r="G508">
        <f t="shared" si="6"/>
        <v>-15.519259149869615</v>
      </c>
    </row>
    <row r="509" spans="1:7" x14ac:dyDescent="0.25">
      <c r="E509">
        <v>100</v>
      </c>
      <c r="F509" s="3">
        <v>1.4999999999999999E-7</v>
      </c>
      <c r="G509">
        <f t="shared" si="6"/>
        <v>-15.712630542850155</v>
      </c>
    </row>
    <row r="510" spans="1:7" x14ac:dyDescent="0.25">
      <c r="E510">
        <v>50</v>
      </c>
      <c r="F510" s="3">
        <v>1.08E-7</v>
      </c>
      <c r="G510">
        <f t="shared" si="6"/>
        <v>-16.041134609822191</v>
      </c>
    </row>
    <row r="511" spans="1:7" x14ac:dyDescent="0.25">
      <c r="E511">
        <v>0</v>
      </c>
      <c r="F511" s="3">
        <v>5.8799999999999997E-8</v>
      </c>
      <c r="G511">
        <f t="shared" si="6"/>
        <v>-16.649123982041829</v>
      </c>
    </row>
    <row r="512" spans="1:7" x14ac:dyDescent="0.25">
      <c r="A512" s="6">
        <v>44706</v>
      </c>
      <c r="B512">
        <v>500</v>
      </c>
      <c r="C512">
        <v>790</v>
      </c>
      <c r="D512">
        <v>900</v>
      </c>
      <c r="E512">
        <v>300</v>
      </c>
      <c r="F512" s="3">
        <v>4.4200000000000001E-7</v>
      </c>
      <c r="G512">
        <f t="shared" si="6"/>
        <v>-14.631955954868713</v>
      </c>
    </row>
    <row r="513" spans="1:7" x14ac:dyDescent="0.25">
      <c r="E513">
        <v>250</v>
      </c>
      <c r="F513" s="3">
        <v>4.0200000000000003E-7</v>
      </c>
      <c r="G513">
        <f t="shared" si="6"/>
        <v>-14.726813748327389</v>
      </c>
    </row>
    <row r="514" spans="1:7" x14ac:dyDescent="0.25">
      <c r="E514">
        <v>200</v>
      </c>
      <c r="F514" s="3">
        <v>3.58E-7</v>
      </c>
      <c r="G514">
        <f t="shared" si="6"/>
        <v>-14.84273285054571</v>
      </c>
    </row>
    <row r="515" spans="1:7" x14ac:dyDescent="0.25">
      <c r="E515">
        <v>150</v>
      </c>
      <c r="F515" s="3">
        <v>3.0899999999999997E-7</v>
      </c>
      <c r="G515">
        <f t="shared" si="6"/>
        <v>-14.989924560048665</v>
      </c>
    </row>
    <row r="516" spans="1:7" x14ac:dyDescent="0.25">
      <c r="E516">
        <v>100</v>
      </c>
      <c r="F516" s="3">
        <v>2.5199999999999998E-7</v>
      </c>
      <c r="G516">
        <f t="shared" si="6"/>
        <v>-15.193836749434988</v>
      </c>
    </row>
    <row r="517" spans="1:7" x14ac:dyDescent="0.25">
      <c r="E517">
        <v>50</v>
      </c>
      <c r="F517" s="3">
        <v>1.8099999999999999E-7</v>
      </c>
      <c r="G517">
        <f t="shared" si="6"/>
        <v>-15.524768805680585</v>
      </c>
    </row>
    <row r="518" spans="1:7" x14ac:dyDescent="0.25">
      <c r="E518">
        <v>0</v>
      </c>
      <c r="F518" s="3">
        <v>1.1899999999999999E-7</v>
      </c>
      <c r="G518">
        <f t="shared" si="6"/>
        <v>-15.944142343834882</v>
      </c>
    </row>
    <row r="519" spans="1:7" x14ac:dyDescent="0.25">
      <c r="A519" s="6">
        <v>44707</v>
      </c>
      <c r="B519">
        <v>485</v>
      </c>
      <c r="C519">
        <v>790</v>
      </c>
      <c r="D519">
        <v>900</v>
      </c>
      <c r="E519">
        <v>300</v>
      </c>
      <c r="F519" s="3">
        <v>2.5400000000000002E-7</v>
      </c>
      <c r="G519">
        <f t="shared" si="6"/>
        <v>-15.185931569927874</v>
      </c>
    </row>
    <row r="520" spans="1:7" x14ac:dyDescent="0.25">
      <c r="E520">
        <v>250</v>
      </c>
      <c r="F520" s="3">
        <v>2.29E-7</v>
      </c>
      <c r="G520">
        <f t="shared" si="6"/>
        <v>-15.289543833392171</v>
      </c>
    </row>
    <row r="521" spans="1:7" x14ac:dyDescent="0.25">
      <c r="E521">
        <v>200</v>
      </c>
      <c r="F521" s="3">
        <v>2.05E-7</v>
      </c>
      <c r="G521">
        <f t="shared" si="6"/>
        <v>-15.400255857808004</v>
      </c>
    </row>
    <row r="522" spans="1:7" x14ac:dyDescent="0.25">
      <c r="E522">
        <v>150</v>
      </c>
      <c r="F522" s="3">
        <v>1.7599999999999999E-7</v>
      </c>
      <c r="G522">
        <f t="shared" si="6"/>
        <v>-15.55278184190826</v>
      </c>
    </row>
    <row r="523" spans="1:7" x14ac:dyDescent="0.25">
      <c r="E523">
        <v>100</v>
      </c>
      <c r="F523" s="3">
        <v>1.4499999999999999E-7</v>
      </c>
      <c r="G523">
        <f t="shared" si="6"/>
        <v>-15.746532094525836</v>
      </c>
    </row>
    <row r="524" spans="1:7" x14ac:dyDescent="0.25">
      <c r="E524">
        <v>50</v>
      </c>
      <c r="F524" s="3">
        <v>1.04E-7</v>
      </c>
      <c r="G524">
        <f t="shared" si="6"/>
        <v>-16.07887493780504</v>
      </c>
    </row>
    <row r="525" spans="1:7" x14ac:dyDescent="0.25">
      <c r="E525">
        <v>0</v>
      </c>
      <c r="F525" s="3">
        <v>5.62E-8</v>
      </c>
      <c r="G525">
        <f t="shared" si="6"/>
        <v>-16.694349080046766</v>
      </c>
    </row>
    <row r="526" spans="1:7" x14ac:dyDescent="0.25">
      <c r="A526" s="6">
        <v>44715</v>
      </c>
      <c r="B526">
        <v>499</v>
      </c>
      <c r="C526">
        <v>790</v>
      </c>
      <c r="D526">
        <v>900</v>
      </c>
      <c r="E526">
        <v>300</v>
      </c>
      <c r="F526" s="3">
        <v>4.3000000000000001E-7</v>
      </c>
      <c r="G526">
        <f t="shared" si="6"/>
        <v>-14.659480628258803</v>
      </c>
    </row>
    <row r="527" spans="1:7" x14ac:dyDescent="0.25">
      <c r="E527">
        <v>250</v>
      </c>
      <c r="F527" s="3">
        <v>3.9099999999999999E-7</v>
      </c>
      <c r="G527">
        <f t="shared" si="6"/>
        <v>-14.754558276961045</v>
      </c>
    </row>
    <row r="528" spans="1:7" x14ac:dyDescent="0.25">
      <c r="E528">
        <v>200</v>
      </c>
      <c r="F528" s="3">
        <v>3.4700000000000002E-7</v>
      </c>
      <c r="G528">
        <f t="shared" si="6"/>
        <v>-14.873941056999552</v>
      </c>
    </row>
    <row r="529" spans="1:7" x14ac:dyDescent="0.25">
      <c r="E529">
        <v>150</v>
      </c>
      <c r="F529" s="3">
        <v>2.9700000000000003E-7</v>
      </c>
      <c r="G529">
        <f t="shared" si="6"/>
        <v>-15.029533698143711</v>
      </c>
    </row>
    <row r="530" spans="1:7" x14ac:dyDescent="0.25">
      <c r="E530">
        <v>100</v>
      </c>
      <c r="F530" s="3">
        <v>2.4200000000000002E-7</v>
      </c>
      <c r="G530">
        <f t="shared" si="6"/>
        <v>-15.234328110789725</v>
      </c>
    </row>
    <row r="531" spans="1:7" x14ac:dyDescent="0.25">
      <c r="E531">
        <v>50</v>
      </c>
      <c r="F531" s="3">
        <v>1.7499999999999999E-7</v>
      </c>
      <c r="G531">
        <f t="shared" si="6"/>
        <v>-15.558479863022898</v>
      </c>
    </row>
    <row r="532" spans="1:7" x14ac:dyDescent="0.25">
      <c r="E532">
        <v>0</v>
      </c>
      <c r="F532" s="3">
        <v>9.46E-8</v>
      </c>
      <c r="G532">
        <f t="shared" si="6"/>
        <v>-16.173608360888579</v>
      </c>
    </row>
    <row r="533" spans="1:7" x14ac:dyDescent="0.25">
      <c r="A533" s="6">
        <v>44719</v>
      </c>
      <c r="B533">
        <v>486</v>
      </c>
      <c r="C533">
        <v>790</v>
      </c>
      <c r="D533">
        <v>900</v>
      </c>
      <c r="E533">
        <v>300</v>
      </c>
      <c r="F533" s="3">
        <v>2.5400000000000002E-7</v>
      </c>
      <c r="G533">
        <f t="shared" si="6"/>
        <v>-15.185931569927874</v>
      </c>
    </row>
    <row r="534" spans="1:7" x14ac:dyDescent="0.25">
      <c r="E534">
        <v>250</v>
      </c>
      <c r="F534" s="3">
        <v>2.29E-7</v>
      </c>
      <c r="G534">
        <f t="shared" si="6"/>
        <v>-15.289543833392171</v>
      </c>
    </row>
    <row r="535" spans="1:7" x14ac:dyDescent="0.25">
      <c r="E535">
        <v>200</v>
      </c>
      <c r="F535" s="3">
        <v>2.05E-7</v>
      </c>
      <c r="G535">
        <f t="shared" si="6"/>
        <v>-15.400255857808004</v>
      </c>
    </row>
    <row r="536" spans="1:7" x14ac:dyDescent="0.25">
      <c r="E536">
        <v>150</v>
      </c>
      <c r="F536" s="3">
        <v>1.7599999999999999E-7</v>
      </c>
      <c r="G536">
        <f t="shared" ref="G536:G588" si="7">LN(F536)</f>
        <v>-15.55278184190826</v>
      </c>
    </row>
    <row r="537" spans="1:7" x14ac:dyDescent="0.25">
      <c r="E537">
        <v>100</v>
      </c>
      <c r="F537" s="3">
        <v>1.4399999999999999E-7</v>
      </c>
      <c r="G537">
        <f t="shared" si="7"/>
        <v>-15.753452537370411</v>
      </c>
    </row>
    <row r="538" spans="1:7" x14ac:dyDescent="0.25">
      <c r="E538">
        <v>50</v>
      </c>
      <c r="F538" s="3">
        <v>1.03E-7</v>
      </c>
      <c r="G538">
        <f t="shared" si="7"/>
        <v>-16.088536848716775</v>
      </c>
    </row>
    <row r="539" spans="1:7" x14ac:dyDescent="0.25">
      <c r="E539">
        <v>0</v>
      </c>
      <c r="F539" s="3">
        <v>5.6400000000000002E-8</v>
      </c>
      <c r="G539">
        <f t="shared" si="7"/>
        <v>-16.690796678442396</v>
      </c>
    </row>
    <row r="540" spans="1:7" x14ac:dyDescent="0.25">
      <c r="A540" s="6">
        <v>44741</v>
      </c>
      <c r="B540">
        <v>486</v>
      </c>
      <c r="C540">
        <v>790</v>
      </c>
      <c r="D540">
        <v>900</v>
      </c>
      <c r="E540">
        <v>300</v>
      </c>
      <c r="F540" s="3">
        <v>2.5600000000000002E-7</v>
      </c>
      <c r="G540">
        <f t="shared" si="7"/>
        <v>-15.178088392466849</v>
      </c>
    </row>
    <row r="541" spans="1:7" x14ac:dyDescent="0.25">
      <c r="E541">
        <v>250</v>
      </c>
      <c r="F541" s="3">
        <v>2.3099999999999999E-7</v>
      </c>
      <c r="G541">
        <f t="shared" si="7"/>
        <v>-15.280848126424617</v>
      </c>
    </row>
    <row r="542" spans="1:7" x14ac:dyDescent="0.25">
      <c r="E542">
        <v>200</v>
      </c>
      <c r="F542" s="3">
        <v>2.0800000000000001E-7</v>
      </c>
      <c r="G542">
        <f t="shared" si="7"/>
        <v>-15.385727757245093</v>
      </c>
    </row>
    <row r="543" spans="1:7" x14ac:dyDescent="0.25">
      <c r="E543">
        <v>150</v>
      </c>
      <c r="F543" s="3">
        <v>1.7800000000000001E-7</v>
      </c>
      <c r="G543">
        <f t="shared" si="7"/>
        <v>-15.541482286654325</v>
      </c>
    </row>
    <row r="544" spans="1:7" x14ac:dyDescent="0.25">
      <c r="E544">
        <v>100</v>
      </c>
      <c r="F544" s="3">
        <v>1.4600000000000001E-7</v>
      </c>
      <c r="G544">
        <f t="shared" si="7"/>
        <v>-15.739659215238074</v>
      </c>
    </row>
    <row r="545" spans="1:13" x14ac:dyDescent="0.25">
      <c r="E545">
        <v>50</v>
      </c>
      <c r="F545" s="3">
        <v>1.06E-7</v>
      </c>
      <c r="G545">
        <f t="shared" si="7"/>
        <v>-16.059826742834343</v>
      </c>
    </row>
    <row r="546" spans="1:13" x14ac:dyDescent="0.25">
      <c r="E546">
        <v>0</v>
      </c>
      <c r="F546" s="3">
        <v>5.8000000000000003E-8</v>
      </c>
      <c r="G546">
        <f t="shared" si="7"/>
        <v>-16.662822826399992</v>
      </c>
    </row>
    <row r="547" spans="1:13" x14ac:dyDescent="0.25">
      <c r="A547" s="6">
        <v>44753</v>
      </c>
      <c r="B547">
        <v>486</v>
      </c>
      <c r="C547">
        <v>790</v>
      </c>
      <c r="D547">
        <v>900</v>
      </c>
      <c r="E547">
        <v>300</v>
      </c>
      <c r="F547" s="3">
        <v>2.5499999999999999E-7</v>
      </c>
      <c r="G547">
        <f t="shared" si="7"/>
        <v>-15.182002291787985</v>
      </c>
    </row>
    <row r="548" spans="1:13" x14ac:dyDescent="0.25">
      <c r="E548">
        <v>250</v>
      </c>
      <c r="F548" s="3">
        <v>2.2999999999999999E-7</v>
      </c>
      <c r="G548">
        <f t="shared" si="7"/>
        <v>-15.285186528023216</v>
      </c>
    </row>
    <row r="549" spans="1:13" x14ac:dyDescent="0.25">
      <c r="E549">
        <v>200</v>
      </c>
      <c r="F549" s="3">
        <v>2.0599999999999999E-7</v>
      </c>
      <c r="G549">
        <f t="shared" si="7"/>
        <v>-15.395389668156831</v>
      </c>
    </row>
    <row r="550" spans="1:13" x14ac:dyDescent="0.25">
      <c r="E550">
        <v>150</v>
      </c>
      <c r="F550" s="3">
        <v>1.7700000000000001E-7</v>
      </c>
      <c r="G550">
        <f t="shared" si="7"/>
        <v>-15.547116104372583</v>
      </c>
      <c r="M550">
        <v>24</v>
      </c>
    </row>
    <row r="551" spans="1:13" x14ac:dyDescent="0.25">
      <c r="E551">
        <v>100</v>
      </c>
      <c r="F551" s="3">
        <v>1.4499999999999999E-7</v>
      </c>
      <c r="G551">
        <f t="shared" si="7"/>
        <v>-15.746532094525836</v>
      </c>
      <c r="I551" s="3">
        <v>2.67E-15</v>
      </c>
      <c r="J551" s="3">
        <v>-2.1600000000000001E-12</v>
      </c>
      <c r="K551" s="3">
        <v>1.07E-9</v>
      </c>
      <c r="L551" s="3">
        <v>5.69E-8</v>
      </c>
      <c r="M551" s="3">
        <f>I551*M550^3+J551*M550^2+K551*M550+L551</f>
        <v>8.1372750080000002E-8</v>
      </c>
    </row>
    <row r="552" spans="1:13" x14ac:dyDescent="0.25">
      <c r="E552">
        <v>50</v>
      </c>
      <c r="F552" s="3">
        <v>1.05E-7</v>
      </c>
      <c r="G552">
        <f t="shared" si="7"/>
        <v>-16.069305486788888</v>
      </c>
    </row>
    <row r="553" spans="1:13" x14ac:dyDescent="0.25">
      <c r="E553">
        <v>0</v>
      </c>
      <c r="F553" s="3">
        <v>5.7000000000000001E-8</v>
      </c>
      <c r="G553">
        <f t="shared" si="7"/>
        <v>-16.680214569111861</v>
      </c>
    </row>
    <row r="554" spans="1:13" x14ac:dyDescent="0.25">
      <c r="A554" s="6">
        <v>44771</v>
      </c>
      <c r="B554">
        <v>495</v>
      </c>
      <c r="C554">
        <v>790</v>
      </c>
      <c r="D554">
        <v>900</v>
      </c>
      <c r="E554">
        <v>300</v>
      </c>
      <c r="F554" s="3">
        <v>3.58E-7</v>
      </c>
      <c r="G554">
        <f t="shared" si="7"/>
        <v>-14.84273285054571</v>
      </c>
    </row>
    <row r="555" spans="1:13" x14ac:dyDescent="0.25">
      <c r="E555">
        <v>250</v>
      </c>
      <c r="F555" s="3">
        <v>3.2399999999999999E-7</v>
      </c>
      <c r="G555">
        <f t="shared" si="7"/>
        <v>-14.942522321154081</v>
      </c>
    </row>
    <row r="556" spans="1:13" x14ac:dyDescent="0.25">
      <c r="E556">
        <v>200</v>
      </c>
      <c r="F556" s="3">
        <v>2.8599999999999999E-7</v>
      </c>
      <c r="G556">
        <f t="shared" si="7"/>
        <v>-15.067274026126558</v>
      </c>
    </row>
    <row r="557" spans="1:13" x14ac:dyDescent="0.25">
      <c r="E557">
        <v>150</v>
      </c>
      <c r="F557" s="3">
        <v>2.4499999999999998E-7</v>
      </c>
      <c r="G557">
        <f t="shared" si="7"/>
        <v>-15.222007626401684</v>
      </c>
    </row>
    <row r="558" spans="1:13" x14ac:dyDescent="0.25">
      <c r="E558">
        <v>100</v>
      </c>
      <c r="F558" s="3">
        <v>2.0200000000000001E-7</v>
      </c>
      <c r="G558">
        <f t="shared" si="7"/>
        <v>-15.414998139545206</v>
      </c>
    </row>
    <row r="559" spans="1:13" x14ac:dyDescent="0.25">
      <c r="E559">
        <v>50</v>
      </c>
      <c r="F559" s="3">
        <v>1.4499999999999999E-7</v>
      </c>
      <c r="G559">
        <f t="shared" si="7"/>
        <v>-15.746532094525836</v>
      </c>
    </row>
    <row r="560" spans="1:13" x14ac:dyDescent="0.25">
      <c r="E560">
        <v>0</v>
      </c>
      <c r="F560" s="3">
        <v>7.7799999999999995E-8</v>
      </c>
      <c r="G560">
        <f t="shared" si="7"/>
        <v>-16.369124405762065</v>
      </c>
    </row>
    <row r="561" spans="1:7" x14ac:dyDescent="0.25">
      <c r="A561" s="6">
        <v>44775</v>
      </c>
      <c r="B561">
        <v>515</v>
      </c>
      <c r="C561">
        <v>790</v>
      </c>
      <c r="D561">
        <v>900</v>
      </c>
      <c r="E561">
        <v>300</v>
      </c>
      <c r="F561" s="3">
        <v>7.2500000000000005E-7</v>
      </c>
      <c r="G561">
        <f t="shared" si="7"/>
        <v>-14.137094182091737</v>
      </c>
    </row>
    <row r="562" spans="1:7" x14ac:dyDescent="0.25">
      <c r="E562">
        <v>250</v>
      </c>
      <c r="F562" s="3">
        <v>6.5300000000000004E-7</v>
      </c>
      <c r="G562">
        <f t="shared" si="7"/>
        <v>-14.241688707669979</v>
      </c>
    </row>
    <row r="563" spans="1:7" x14ac:dyDescent="0.25">
      <c r="E563">
        <v>200</v>
      </c>
      <c r="F563" s="3">
        <v>5.8100000000000003E-7</v>
      </c>
      <c r="G563">
        <f t="shared" si="7"/>
        <v>-14.358515080094501</v>
      </c>
    </row>
    <row r="564" spans="1:7" x14ac:dyDescent="0.25">
      <c r="E564">
        <v>150</v>
      </c>
      <c r="F564" s="3">
        <v>4.9699999999999996E-7</v>
      </c>
      <c r="G564">
        <f t="shared" si="7"/>
        <v>-14.514675810849782</v>
      </c>
    </row>
    <row r="565" spans="1:7" x14ac:dyDescent="0.25">
      <c r="E565">
        <v>100</v>
      </c>
      <c r="F565" s="3">
        <v>4.0699999999999998E-7</v>
      </c>
      <c r="G565">
        <f t="shared" si="7"/>
        <v>-14.714452651503816</v>
      </c>
    </row>
    <row r="566" spans="1:7" x14ac:dyDescent="0.25">
      <c r="E566">
        <v>50</v>
      </c>
      <c r="F566" s="3">
        <v>2.9299999999999999E-7</v>
      </c>
      <c r="G566">
        <f t="shared" si="7"/>
        <v>-15.043093227929344</v>
      </c>
    </row>
    <row r="567" spans="1:7" x14ac:dyDescent="0.25">
      <c r="E567">
        <v>0</v>
      </c>
      <c r="F567" s="3">
        <v>1.5800000000000001E-7</v>
      </c>
      <c r="G567">
        <f t="shared" si="7"/>
        <v>-15.660670803919444</v>
      </c>
    </row>
    <row r="568" spans="1:7" x14ac:dyDescent="0.25">
      <c r="A568" s="6">
        <v>44776</v>
      </c>
      <c r="B568">
        <v>495</v>
      </c>
      <c r="C568">
        <v>790</v>
      </c>
      <c r="D568">
        <v>900</v>
      </c>
      <c r="E568">
        <v>300</v>
      </c>
      <c r="F568" s="3">
        <v>3.6300000000000001E-7</v>
      </c>
      <c r="G568">
        <f t="shared" si="7"/>
        <v>-14.82886300268156</v>
      </c>
    </row>
    <row r="569" spans="1:7" x14ac:dyDescent="0.25">
      <c r="E569">
        <v>250</v>
      </c>
      <c r="F569" s="3">
        <v>3.34E-7</v>
      </c>
      <c r="G569">
        <f t="shared" si="7"/>
        <v>-14.91212484396971</v>
      </c>
    </row>
    <row r="570" spans="1:7" x14ac:dyDescent="0.25">
      <c r="E570">
        <v>200</v>
      </c>
      <c r="F570" s="3">
        <v>3.0400000000000002E-7</v>
      </c>
      <c r="G570">
        <f t="shared" si="7"/>
        <v>-15.006238135540189</v>
      </c>
    </row>
    <row r="571" spans="1:7" x14ac:dyDescent="0.25">
      <c r="E571">
        <v>150</v>
      </c>
      <c r="F571" s="3">
        <v>2.6800000000000002E-7</v>
      </c>
      <c r="G571">
        <f t="shared" si="7"/>
        <v>-15.132278856435555</v>
      </c>
    </row>
    <row r="572" spans="1:7" x14ac:dyDescent="0.25">
      <c r="E572">
        <v>100</v>
      </c>
      <c r="F572" s="3">
        <v>2.3099999999999999E-7</v>
      </c>
      <c r="G572">
        <f t="shared" si="7"/>
        <v>-15.280848126424617</v>
      </c>
    </row>
    <row r="573" spans="1:7" x14ac:dyDescent="0.25">
      <c r="E573">
        <v>50</v>
      </c>
      <c r="F573" s="3">
        <v>1.86E-7</v>
      </c>
      <c r="G573">
        <f t="shared" si="7"/>
        <v>-15.497519163233211</v>
      </c>
    </row>
    <row r="574" spans="1:7" x14ac:dyDescent="0.25">
      <c r="E574">
        <v>0</v>
      </c>
      <c r="F574" s="3">
        <v>1.3E-7</v>
      </c>
      <c r="G574">
        <f t="shared" si="7"/>
        <v>-15.855731386490829</v>
      </c>
    </row>
    <row r="575" spans="1:7" x14ac:dyDescent="0.25">
      <c r="A575" s="6">
        <v>44778</v>
      </c>
      <c r="B575">
        <v>495</v>
      </c>
      <c r="C575">
        <v>790</v>
      </c>
      <c r="D575">
        <v>900</v>
      </c>
      <c r="E575">
        <v>300</v>
      </c>
      <c r="F575" s="3">
        <v>3.65E-7</v>
      </c>
      <c r="G575">
        <f t="shared" si="7"/>
        <v>-14.82336848336392</v>
      </c>
    </row>
    <row r="576" spans="1:7" x14ac:dyDescent="0.25">
      <c r="E576">
        <v>250</v>
      </c>
      <c r="F576" s="3">
        <v>3.34E-7</v>
      </c>
      <c r="G576">
        <f t="shared" si="7"/>
        <v>-14.91212484396971</v>
      </c>
    </row>
    <row r="577" spans="1:7" x14ac:dyDescent="0.25">
      <c r="E577">
        <v>200</v>
      </c>
      <c r="F577" s="3">
        <v>3.0100000000000001E-7</v>
      </c>
      <c r="G577">
        <f t="shared" si="7"/>
        <v>-15.016155572197535</v>
      </c>
    </row>
    <row r="578" spans="1:7" x14ac:dyDescent="0.25">
      <c r="E578">
        <v>150</v>
      </c>
      <c r="F578" s="3">
        <v>2.67E-7</v>
      </c>
      <c r="G578">
        <f t="shared" si="7"/>
        <v>-15.136017178546162</v>
      </c>
    </row>
    <row r="579" spans="1:7" x14ac:dyDescent="0.25">
      <c r="E579">
        <v>100</v>
      </c>
      <c r="F579" s="3">
        <v>2.28E-7</v>
      </c>
      <c r="G579">
        <f t="shared" si="7"/>
        <v>-15.29392020799197</v>
      </c>
    </row>
    <row r="580" spans="1:7" x14ac:dyDescent="0.25">
      <c r="E580">
        <v>50</v>
      </c>
      <c r="F580" s="3">
        <v>1.86E-7</v>
      </c>
      <c r="G580">
        <f t="shared" si="7"/>
        <v>-15.497519163233211</v>
      </c>
    </row>
    <row r="581" spans="1:7" x14ac:dyDescent="0.25">
      <c r="E581">
        <v>0</v>
      </c>
      <c r="F581" s="3">
        <v>1.3E-7</v>
      </c>
      <c r="G581">
        <f t="shared" si="7"/>
        <v>-15.855731386490829</v>
      </c>
    </row>
    <row r="582" spans="1:7" x14ac:dyDescent="0.25">
      <c r="A582" s="6">
        <v>44784</v>
      </c>
      <c r="B582">
        <v>517</v>
      </c>
      <c r="C582">
        <v>790</v>
      </c>
      <c r="D582">
        <v>900</v>
      </c>
      <c r="E582">
        <v>300</v>
      </c>
      <c r="F582" s="3">
        <v>8.1999999999999998E-7</v>
      </c>
      <c r="G582">
        <f t="shared" si="7"/>
        <v>-14.013961496688113</v>
      </c>
    </row>
    <row r="583" spans="1:7" x14ac:dyDescent="0.25">
      <c r="E583">
        <v>250</v>
      </c>
      <c r="F583" s="3">
        <v>7.5499999999999997E-7</v>
      </c>
      <c r="G583">
        <f t="shared" si="7"/>
        <v>-14.096548087697386</v>
      </c>
    </row>
    <row r="584" spans="1:7" x14ac:dyDescent="0.25">
      <c r="E584">
        <v>200</v>
      </c>
      <c r="F584" s="3">
        <v>6.8999999999999996E-7</v>
      </c>
      <c r="G584">
        <f t="shared" si="7"/>
        <v>-14.186574239355107</v>
      </c>
    </row>
    <row r="585" spans="1:7" x14ac:dyDescent="0.25">
      <c r="E585">
        <v>150</v>
      </c>
      <c r="F585" s="3">
        <v>6.1799999999999995E-7</v>
      </c>
      <c r="G585">
        <f t="shared" si="7"/>
        <v>-14.29677737948872</v>
      </c>
    </row>
    <row r="586" spans="1:7" x14ac:dyDescent="0.25">
      <c r="E586">
        <v>100</v>
      </c>
      <c r="F586" s="3">
        <v>5.3200000000000005E-7</v>
      </c>
      <c r="G586">
        <f t="shared" si="7"/>
        <v>-14.446622347604766</v>
      </c>
    </row>
    <row r="587" spans="1:7" x14ac:dyDescent="0.25">
      <c r="E587">
        <v>50</v>
      </c>
      <c r="F587" s="3">
        <v>4.46E-7</v>
      </c>
      <c r="G587">
        <f t="shared" si="7"/>
        <v>-14.622946884926348</v>
      </c>
    </row>
    <row r="588" spans="1:7" x14ac:dyDescent="0.25">
      <c r="E588">
        <v>0</v>
      </c>
      <c r="F588" s="3">
        <v>3.3799999999999998E-7</v>
      </c>
      <c r="G588">
        <f t="shared" si="7"/>
        <v>-14.900219941463392</v>
      </c>
    </row>
    <row r="589" spans="1:7" x14ac:dyDescent="0.25">
      <c r="A589" s="6">
        <v>44785</v>
      </c>
      <c r="B589">
        <v>495</v>
      </c>
      <c r="C589">
        <v>790</v>
      </c>
      <c r="D589">
        <v>900</v>
      </c>
      <c r="E589">
        <v>300</v>
      </c>
      <c r="F589" s="3">
        <v>3.6100000000000002E-7</v>
      </c>
      <c r="G589">
        <f t="shared" ref="G589:G616" si="8">LN(F589)</f>
        <v>-14.83438787861353</v>
      </c>
    </row>
    <row r="590" spans="1:7" x14ac:dyDescent="0.25">
      <c r="E590">
        <v>250</v>
      </c>
      <c r="F590" s="3">
        <v>3.34E-7</v>
      </c>
      <c r="G590">
        <f t="shared" si="8"/>
        <v>-14.91212484396971</v>
      </c>
    </row>
    <row r="591" spans="1:7" x14ac:dyDescent="0.25">
      <c r="E591">
        <v>200</v>
      </c>
      <c r="F591" s="3">
        <v>3.0400000000000002E-7</v>
      </c>
      <c r="G591">
        <f t="shared" si="8"/>
        <v>-15.006238135540189</v>
      </c>
    </row>
    <row r="592" spans="1:7" x14ac:dyDescent="0.25">
      <c r="E592">
        <v>150</v>
      </c>
      <c r="F592" s="3">
        <v>2.7300000000000002E-7</v>
      </c>
      <c r="G592">
        <f t="shared" si="8"/>
        <v>-15.113794041761452</v>
      </c>
    </row>
    <row r="593" spans="1:7" x14ac:dyDescent="0.25">
      <c r="E593">
        <v>100</v>
      </c>
      <c r="F593" s="3">
        <v>2.3699999999999999E-7</v>
      </c>
      <c r="G593">
        <f t="shared" si="8"/>
        <v>-15.255205695811281</v>
      </c>
    </row>
    <row r="594" spans="1:7" x14ac:dyDescent="0.25">
      <c r="E594">
        <v>50</v>
      </c>
      <c r="F594" s="3">
        <v>1.97E-7</v>
      </c>
      <c r="G594">
        <f t="shared" si="8"/>
        <v>-15.440062108208423</v>
      </c>
    </row>
    <row r="595" spans="1:7" x14ac:dyDescent="0.25">
      <c r="E595">
        <v>0</v>
      </c>
      <c r="F595" s="3">
        <v>1.5099999999999999E-7</v>
      </c>
      <c r="G595">
        <f t="shared" si="8"/>
        <v>-15.705986000131487</v>
      </c>
    </row>
    <row r="596" spans="1:7" x14ac:dyDescent="0.25">
      <c r="A596" s="6">
        <v>44789</v>
      </c>
      <c r="B596">
        <v>517</v>
      </c>
      <c r="C596">
        <v>790</v>
      </c>
      <c r="D596">
        <v>900</v>
      </c>
      <c r="E596">
        <v>300</v>
      </c>
      <c r="F596" s="3">
        <v>8.0100000000000004E-7</v>
      </c>
      <c r="G596">
        <f t="shared" si="8"/>
        <v>-14.037404889878053</v>
      </c>
    </row>
    <row r="597" spans="1:7" x14ac:dyDescent="0.25">
      <c r="E597">
        <v>250</v>
      </c>
      <c r="F597" s="3">
        <v>7.3600000000000003E-7</v>
      </c>
      <c r="G597">
        <f t="shared" si="8"/>
        <v>-14.122035718217536</v>
      </c>
    </row>
    <row r="598" spans="1:7" x14ac:dyDescent="0.25">
      <c r="E598">
        <v>200</v>
      </c>
      <c r="F598" s="3">
        <v>6.7000000000000004E-7</v>
      </c>
      <c r="G598">
        <f t="shared" si="8"/>
        <v>-14.215988124561399</v>
      </c>
    </row>
    <row r="599" spans="1:7" x14ac:dyDescent="0.25">
      <c r="E599">
        <v>150</v>
      </c>
      <c r="F599" s="3">
        <v>5.9500000000000002E-7</v>
      </c>
      <c r="G599">
        <f t="shared" si="8"/>
        <v>-14.334704431400782</v>
      </c>
    </row>
    <row r="600" spans="1:7" x14ac:dyDescent="0.25">
      <c r="E600">
        <v>100</v>
      </c>
      <c r="F600" s="3">
        <v>5.2099999999999997E-7</v>
      </c>
      <c r="G600">
        <f t="shared" si="8"/>
        <v>-14.467515795193044</v>
      </c>
    </row>
    <row r="601" spans="1:7" x14ac:dyDescent="0.25">
      <c r="E601">
        <v>50</v>
      </c>
      <c r="F601" s="3">
        <v>4.34E-7</v>
      </c>
      <c r="G601">
        <f t="shared" si="8"/>
        <v>-14.650221302846006</v>
      </c>
    </row>
    <row r="602" spans="1:7" x14ac:dyDescent="0.25">
      <c r="E602">
        <v>0</v>
      </c>
      <c r="F602" s="3">
        <v>3.3000000000000002E-7</v>
      </c>
      <c r="G602">
        <f t="shared" si="8"/>
        <v>-14.924173182485886</v>
      </c>
    </row>
    <row r="603" spans="1:7" x14ac:dyDescent="0.25">
      <c r="A603" s="6">
        <v>44797</v>
      </c>
      <c r="B603">
        <v>476</v>
      </c>
      <c r="C603">
        <v>790</v>
      </c>
      <c r="D603">
        <v>900</v>
      </c>
      <c r="E603">
        <v>300</v>
      </c>
      <c r="F603" s="3">
        <v>1.72E-7</v>
      </c>
      <c r="G603">
        <f t="shared" si="8"/>
        <v>-15.575771360132958</v>
      </c>
    </row>
    <row r="604" spans="1:7" x14ac:dyDescent="0.25">
      <c r="E604">
        <v>250</v>
      </c>
      <c r="F604" s="3">
        <v>1.61E-7</v>
      </c>
      <c r="G604">
        <f t="shared" si="8"/>
        <v>-15.641861471961947</v>
      </c>
    </row>
    <row r="605" spans="1:7" x14ac:dyDescent="0.25">
      <c r="E605">
        <v>200</v>
      </c>
      <c r="F605" s="3">
        <v>1.48E-7</v>
      </c>
      <c r="G605">
        <f t="shared" si="8"/>
        <v>-15.726053563182296</v>
      </c>
    </row>
    <row r="606" spans="1:7" x14ac:dyDescent="0.25">
      <c r="E606">
        <v>150</v>
      </c>
      <c r="F606" s="3">
        <v>1.3300000000000001E-7</v>
      </c>
      <c r="G606">
        <f t="shared" si="8"/>
        <v>-15.832916708724657</v>
      </c>
    </row>
    <row r="607" spans="1:7" x14ac:dyDescent="0.25">
      <c r="E607">
        <v>100</v>
      </c>
      <c r="F607" s="3">
        <v>1.1600000000000001E-7</v>
      </c>
      <c r="G607">
        <f t="shared" si="8"/>
        <v>-15.969675645840047</v>
      </c>
    </row>
    <row r="608" spans="1:7" x14ac:dyDescent="0.25">
      <c r="E608">
        <v>50</v>
      </c>
      <c r="F608" s="3">
        <v>9.6800000000000007E-8</v>
      </c>
      <c r="G608">
        <f t="shared" si="8"/>
        <v>-16.150618842663881</v>
      </c>
    </row>
    <row r="609" spans="1:7" x14ac:dyDescent="0.25">
      <c r="E609">
        <v>0</v>
      </c>
      <c r="F609" s="3">
        <v>7.4499999999999999E-8</v>
      </c>
      <c r="G609">
        <f t="shared" si="8"/>
        <v>-16.412466711560896</v>
      </c>
    </row>
    <row r="610" spans="1:7" x14ac:dyDescent="0.25">
      <c r="B610">
        <v>495</v>
      </c>
      <c r="C610">
        <v>790</v>
      </c>
      <c r="D610">
        <v>900</v>
      </c>
      <c r="E610">
        <v>300</v>
      </c>
      <c r="F610" s="3">
        <v>3.4799999999999999E-7</v>
      </c>
      <c r="G610">
        <f t="shared" si="8"/>
        <v>-14.871063357171938</v>
      </c>
    </row>
    <row r="611" spans="1:7" x14ac:dyDescent="0.25">
      <c r="E611">
        <v>250</v>
      </c>
      <c r="F611" s="3">
        <v>3.2000000000000001E-7</v>
      </c>
      <c r="G611">
        <f t="shared" si="8"/>
        <v>-14.954944841152638</v>
      </c>
    </row>
    <row r="612" spans="1:7" x14ac:dyDescent="0.25">
      <c r="E612">
        <v>200</v>
      </c>
      <c r="F612" s="3">
        <v>2.91E-7</v>
      </c>
      <c r="G612">
        <f t="shared" si="8"/>
        <v>-15.049942569774919</v>
      </c>
    </row>
    <row r="613" spans="1:7" x14ac:dyDescent="0.25">
      <c r="E613">
        <v>150</v>
      </c>
      <c r="F613" s="3">
        <v>2.6E-7</v>
      </c>
      <c r="G613">
        <f t="shared" si="8"/>
        <v>-15.162584205930884</v>
      </c>
    </row>
    <row r="614" spans="1:7" x14ac:dyDescent="0.25">
      <c r="E614">
        <v>100</v>
      </c>
      <c r="F614" s="3">
        <v>2.2600000000000001E-7</v>
      </c>
      <c r="G614">
        <f t="shared" si="8"/>
        <v>-15.302730837674126</v>
      </c>
    </row>
    <row r="615" spans="1:7" x14ac:dyDescent="0.25">
      <c r="E615">
        <v>50</v>
      </c>
      <c r="F615" s="3">
        <v>1.8799999999999999E-7</v>
      </c>
      <c r="G615">
        <f t="shared" si="8"/>
        <v>-15.486823874116462</v>
      </c>
    </row>
    <row r="616" spans="1:7" x14ac:dyDescent="0.25">
      <c r="E616">
        <v>0</v>
      </c>
      <c r="F616" s="3">
        <v>1.42E-7</v>
      </c>
      <c r="G616">
        <f t="shared" si="8"/>
        <v>-15.76743877934515</v>
      </c>
    </row>
    <row r="617" spans="1:7" x14ac:dyDescent="0.25">
      <c r="A617" s="6">
        <v>44798</v>
      </c>
      <c r="B617">
        <v>475</v>
      </c>
      <c r="C617">
        <v>790</v>
      </c>
      <c r="D617">
        <v>900</v>
      </c>
      <c r="E617">
        <v>300</v>
      </c>
      <c r="F617" s="3">
        <v>1.61E-7</v>
      </c>
      <c r="G617">
        <f t="shared" ref="G617:G679" si="9">LN(F617)</f>
        <v>-15.641861471961947</v>
      </c>
    </row>
    <row r="618" spans="1:7" x14ac:dyDescent="0.25">
      <c r="E618">
        <v>250</v>
      </c>
      <c r="F618" s="3">
        <v>1.4999999999999999E-7</v>
      </c>
      <c r="G618">
        <f t="shared" si="9"/>
        <v>-15.712630542850155</v>
      </c>
    </row>
    <row r="619" spans="1:7" x14ac:dyDescent="0.25">
      <c r="E619">
        <v>200</v>
      </c>
      <c r="F619" s="3">
        <v>1.36E-7</v>
      </c>
      <c r="G619">
        <f t="shared" si="9"/>
        <v>-15.810610951210359</v>
      </c>
    </row>
    <row r="620" spans="1:7" x14ac:dyDescent="0.25">
      <c r="E620">
        <v>150</v>
      </c>
      <c r="F620" s="3">
        <v>1.23E-7</v>
      </c>
      <c r="G620">
        <f t="shared" si="9"/>
        <v>-15.911081481573994</v>
      </c>
    </row>
    <row r="621" spans="1:7" x14ac:dyDescent="0.25">
      <c r="E621">
        <v>100</v>
      </c>
      <c r="F621" s="3">
        <v>1.0700000000000001E-7</v>
      </c>
      <c r="G621">
        <f t="shared" si="9"/>
        <v>-16.050437002484504</v>
      </c>
    </row>
    <row r="622" spans="1:7" x14ac:dyDescent="0.25">
      <c r="E622">
        <v>50</v>
      </c>
      <c r="F622" s="3">
        <v>8.9700000000000003E-8</v>
      </c>
      <c r="G622">
        <f t="shared" si="9"/>
        <v>-16.22679506788166</v>
      </c>
    </row>
    <row r="623" spans="1:7" x14ac:dyDescent="0.25">
      <c r="E623">
        <v>0</v>
      </c>
      <c r="F623" s="3">
        <v>6.8299999999999996E-8</v>
      </c>
      <c r="G623">
        <f t="shared" si="9"/>
        <v>-16.499356070369668</v>
      </c>
    </row>
    <row r="624" spans="1:7" x14ac:dyDescent="0.25">
      <c r="A624" s="6">
        <v>44800</v>
      </c>
      <c r="B624">
        <v>475</v>
      </c>
      <c r="C624">
        <v>790</v>
      </c>
      <c r="D624">
        <v>900</v>
      </c>
      <c r="E624">
        <v>300</v>
      </c>
      <c r="F624" s="3">
        <v>1.4399999999999999E-7</v>
      </c>
      <c r="G624">
        <f t="shared" si="9"/>
        <v>-15.753452537370411</v>
      </c>
    </row>
    <row r="625" spans="1:7" x14ac:dyDescent="0.25">
      <c r="E625">
        <v>250</v>
      </c>
      <c r="F625" s="3">
        <v>1.3199999999999999E-7</v>
      </c>
      <c r="G625">
        <f t="shared" si="9"/>
        <v>-15.84046391436004</v>
      </c>
    </row>
    <row r="626" spans="1:7" x14ac:dyDescent="0.25">
      <c r="E626">
        <v>200</v>
      </c>
      <c r="F626" s="3">
        <v>1.17E-7</v>
      </c>
      <c r="G626">
        <f t="shared" si="9"/>
        <v>-15.961091902148654</v>
      </c>
    </row>
    <row r="627" spans="1:7" x14ac:dyDescent="0.25">
      <c r="E627">
        <v>150</v>
      </c>
      <c r="F627" s="3">
        <v>1.02E-7</v>
      </c>
      <c r="G627">
        <f t="shared" si="9"/>
        <v>-16.098293023662141</v>
      </c>
    </row>
    <row r="628" spans="1:7" x14ac:dyDescent="0.25">
      <c r="E628">
        <v>100</v>
      </c>
      <c r="F628" s="3">
        <v>8.3099999999999996E-8</v>
      </c>
      <c r="G628">
        <f t="shared" si="9"/>
        <v>-16.303221135085007</v>
      </c>
    </row>
    <row r="629" spans="1:7" x14ac:dyDescent="0.25">
      <c r="E629">
        <v>50</v>
      </c>
      <c r="F629" s="3">
        <v>5.9400000000000003E-8</v>
      </c>
      <c r="G629">
        <f t="shared" si="9"/>
        <v>-16.638971610577812</v>
      </c>
    </row>
    <row r="630" spans="1:7" x14ac:dyDescent="0.25">
      <c r="E630">
        <v>0</v>
      </c>
      <c r="F630" s="3">
        <v>3.1699999999999999E-8</v>
      </c>
      <c r="G630">
        <f t="shared" si="9"/>
        <v>-17.266949156063177</v>
      </c>
    </row>
    <row r="631" spans="1:7" x14ac:dyDescent="0.25">
      <c r="B631">
        <v>525</v>
      </c>
      <c r="C631">
        <v>790</v>
      </c>
      <c r="D631">
        <v>900</v>
      </c>
      <c r="E631">
        <v>300</v>
      </c>
      <c r="F631" s="3">
        <v>8.5199999999999995E-7</v>
      </c>
      <c r="G631">
        <f t="shared" si="9"/>
        <v>-13.975679310117096</v>
      </c>
    </row>
    <row r="632" spans="1:7" x14ac:dyDescent="0.25">
      <c r="E632">
        <v>250</v>
      </c>
      <c r="F632" s="3">
        <v>7.7000000000000004E-7</v>
      </c>
      <c r="G632">
        <f t="shared" si="9"/>
        <v>-14.076875322098681</v>
      </c>
    </row>
    <row r="633" spans="1:7" x14ac:dyDescent="0.25">
      <c r="E633">
        <v>200</v>
      </c>
      <c r="F633" s="3">
        <v>6.8100000000000002E-7</v>
      </c>
      <c r="G633">
        <f t="shared" si="9"/>
        <v>-14.199703530796899</v>
      </c>
    </row>
    <row r="634" spans="1:7" x14ac:dyDescent="0.25">
      <c r="E634">
        <v>150</v>
      </c>
      <c r="F634" s="3">
        <v>5.9100000000000004E-7</v>
      </c>
      <c r="G634">
        <f t="shared" si="9"/>
        <v>-14.341449819540314</v>
      </c>
    </row>
    <row r="635" spans="1:7" x14ac:dyDescent="0.25">
      <c r="E635">
        <v>100</v>
      </c>
      <c r="F635" s="3">
        <v>4.7800000000000002E-7</v>
      </c>
      <c r="G635">
        <f t="shared" si="9"/>
        <v>-14.553655104454956</v>
      </c>
    </row>
    <row r="636" spans="1:7" x14ac:dyDescent="0.25">
      <c r="E636">
        <v>50</v>
      </c>
      <c r="F636" s="3">
        <v>3.41E-7</v>
      </c>
      <c r="G636">
        <f t="shared" si="9"/>
        <v>-14.891383359662894</v>
      </c>
    </row>
    <row r="637" spans="1:7" x14ac:dyDescent="0.25">
      <c r="E637">
        <v>0</v>
      </c>
      <c r="F637" s="3">
        <v>1.8099999999999999E-7</v>
      </c>
      <c r="G637">
        <f t="shared" si="9"/>
        <v>-15.524768805680585</v>
      </c>
    </row>
    <row r="638" spans="1:7" x14ac:dyDescent="0.25">
      <c r="A638" s="6">
        <v>44802</v>
      </c>
      <c r="B638">
        <v>525</v>
      </c>
      <c r="C638">
        <v>790</v>
      </c>
      <c r="D638">
        <v>900</v>
      </c>
      <c r="E638">
        <v>300</v>
      </c>
      <c r="F638" s="3">
        <v>8.1999999999999998E-7</v>
      </c>
      <c r="G638">
        <f t="shared" si="9"/>
        <v>-14.013961496688113</v>
      </c>
    </row>
    <row r="639" spans="1:7" x14ac:dyDescent="0.25">
      <c r="E639">
        <v>250</v>
      </c>
      <c r="F639" s="3">
        <v>7.4000000000000001E-7</v>
      </c>
      <c r="G639">
        <f t="shared" si="9"/>
        <v>-14.116615650748196</v>
      </c>
    </row>
    <row r="640" spans="1:7" x14ac:dyDescent="0.25">
      <c r="E640">
        <v>200</v>
      </c>
      <c r="F640" s="3">
        <v>6.6000000000000003E-7</v>
      </c>
      <c r="G640">
        <f t="shared" si="9"/>
        <v>-14.23102600192594</v>
      </c>
    </row>
    <row r="641" spans="1:14" x14ac:dyDescent="0.25">
      <c r="E641">
        <v>150</v>
      </c>
      <c r="F641" s="3">
        <v>5.6300000000000005E-7</v>
      </c>
      <c r="G641">
        <f t="shared" si="9"/>
        <v>-14.38998620880672</v>
      </c>
    </row>
    <row r="642" spans="1:14" x14ac:dyDescent="0.25">
      <c r="E642">
        <v>100</v>
      </c>
      <c r="F642" s="3">
        <v>4.5999999999999999E-7</v>
      </c>
      <c r="G642">
        <f t="shared" si="9"/>
        <v>-14.59203934746327</v>
      </c>
      <c r="M642" t="s">
        <v>186</v>
      </c>
      <c r="N642">
        <v>141</v>
      </c>
    </row>
    <row r="643" spans="1:14" x14ac:dyDescent="0.25">
      <c r="E643">
        <v>50</v>
      </c>
      <c r="F643" s="3">
        <v>3.3200000000000001E-7</v>
      </c>
      <c r="G643">
        <f t="shared" si="9"/>
        <v>-14.918130868029923</v>
      </c>
      <c r="J643" s="3">
        <v>1.2E-15</v>
      </c>
      <c r="K643" s="3">
        <v>-1.0700000000000001E-12</v>
      </c>
      <c r="L643" s="3">
        <v>5.5800000000000004E-10</v>
      </c>
      <c r="M643" s="3">
        <v>2.9799999999999999E-8</v>
      </c>
      <c r="N643" s="3">
        <f>J643*N642^3+K643*N642^2+L643*N642+M643</f>
        <v>9.0569195200000018E-8</v>
      </c>
    </row>
    <row r="644" spans="1:14" x14ac:dyDescent="0.25">
      <c r="E644">
        <v>0</v>
      </c>
      <c r="F644" s="3">
        <v>1.7599999999999999E-7</v>
      </c>
      <c r="G644">
        <f t="shared" si="9"/>
        <v>-15.55278184190826</v>
      </c>
    </row>
    <row r="645" spans="1:14" x14ac:dyDescent="0.25">
      <c r="A645" s="6">
        <v>44804</v>
      </c>
      <c r="B645">
        <v>475</v>
      </c>
      <c r="C645">
        <v>790</v>
      </c>
      <c r="D645">
        <v>900</v>
      </c>
      <c r="E645">
        <v>300</v>
      </c>
      <c r="F645" s="3">
        <v>1.37E-7</v>
      </c>
      <c r="G645">
        <f t="shared" si="9"/>
        <v>-15.803284911118286</v>
      </c>
    </row>
    <row r="646" spans="1:14" x14ac:dyDescent="0.25">
      <c r="E646">
        <v>250</v>
      </c>
      <c r="F646" s="3">
        <v>1.2499999999999999E-7</v>
      </c>
      <c r="G646">
        <f t="shared" si="9"/>
        <v>-15.89495209964411</v>
      </c>
    </row>
    <row r="647" spans="1:14" x14ac:dyDescent="0.25">
      <c r="E647">
        <v>200</v>
      </c>
      <c r="F647" s="3">
        <v>1.11E-7</v>
      </c>
      <c r="G647">
        <f t="shared" si="9"/>
        <v>-16.013735635634077</v>
      </c>
    </row>
    <row r="648" spans="1:14" x14ac:dyDescent="0.25">
      <c r="E648">
        <v>150</v>
      </c>
      <c r="F648" s="3">
        <v>9.5999999999999999E-8</v>
      </c>
      <c r="G648">
        <f t="shared" si="9"/>
        <v>-16.158917645478574</v>
      </c>
    </row>
    <row r="649" spans="1:14" x14ac:dyDescent="0.25">
      <c r="E649">
        <v>100</v>
      </c>
      <c r="F649" s="3">
        <v>7.8199999999999999E-8</v>
      </c>
      <c r="G649">
        <f t="shared" si="9"/>
        <v>-16.363996189395145</v>
      </c>
    </row>
    <row r="650" spans="1:14" x14ac:dyDescent="0.25">
      <c r="E650">
        <v>50</v>
      </c>
      <c r="F650" s="3">
        <v>5.6099999999999999E-8</v>
      </c>
      <c r="G650">
        <f t="shared" si="9"/>
        <v>-16.696130024417762</v>
      </c>
    </row>
    <row r="651" spans="1:14" x14ac:dyDescent="0.25">
      <c r="E651">
        <v>0</v>
      </c>
      <c r="F651" s="3">
        <v>2.9900000000000003E-8</v>
      </c>
      <c r="G651">
        <f t="shared" si="9"/>
        <v>-17.325407356549771</v>
      </c>
    </row>
    <row r="652" spans="1:14" x14ac:dyDescent="0.25">
      <c r="B652">
        <v>488</v>
      </c>
      <c r="C652">
        <v>790</v>
      </c>
      <c r="D652">
        <v>900</v>
      </c>
      <c r="E652">
        <v>300</v>
      </c>
      <c r="F652" s="3">
        <v>2.23E-7</v>
      </c>
      <c r="G652">
        <f t="shared" si="9"/>
        <v>-15.316094065486292</v>
      </c>
    </row>
    <row r="653" spans="1:14" x14ac:dyDescent="0.25">
      <c r="E653">
        <v>250</v>
      </c>
      <c r="F653" s="3">
        <v>2.03E-7</v>
      </c>
      <c r="G653">
        <f t="shared" si="9"/>
        <v>-15.410059857904624</v>
      </c>
    </row>
    <row r="654" spans="1:14" x14ac:dyDescent="0.25">
      <c r="E654">
        <v>200</v>
      </c>
      <c r="F654" s="3">
        <v>1.8099999999999999E-7</v>
      </c>
      <c r="G654">
        <f t="shared" si="9"/>
        <v>-15.524768805680585</v>
      </c>
    </row>
    <row r="655" spans="1:14" x14ac:dyDescent="0.25">
      <c r="E655">
        <v>150</v>
      </c>
      <c r="F655" s="3">
        <v>1.55E-7</v>
      </c>
      <c r="G655">
        <f t="shared" si="9"/>
        <v>-15.679840720027164</v>
      </c>
    </row>
    <row r="656" spans="1:14" x14ac:dyDescent="0.25">
      <c r="E656">
        <v>100</v>
      </c>
      <c r="F656" s="3">
        <v>1.2599999999999999E-7</v>
      </c>
      <c r="G656">
        <f t="shared" si="9"/>
        <v>-15.886983929994933</v>
      </c>
    </row>
    <row r="657" spans="1:7" x14ac:dyDescent="0.25">
      <c r="E657">
        <v>50</v>
      </c>
      <c r="F657" s="3">
        <v>9.0800000000000006E-8</v>
      </c>
      <c r="G657">
        <f t="shared" si="9"/>
        <v>-16.214606551339163</v>
      </c>
    </row>
    <row r="658" spans="1:7" x14ac:dyDescent="0.25">
      <c r="E658">
        <v>0</v>
      </c>
      <c r="F658" s="3">
        <v>4.8E-8</v>
      </c>
      <c r="G658">
        <f t="shared" si="9"/>
        <v>-16.852064826038522</v>
      </c>
    </row>
    <row r="659" spans="1:7" x14ac:dyDescent="0.25">
      <c r="A659" s="6">
        <v>44812</v>
      </c>
      <c r="B659">
        <v>475</v>
      </c>
      <c r="C659">
        <v>790</v>
      </c>
      <c r="D659">
        <v>900</v>
      </c>
      <c r="E659">
        <v>300</v>
      </c>
      <c r="F659" s="3">
        <v>1.3300000000000001E-7</v>
      </c>
      <c r="G659">
        <f t="shared" si="9"/>
        <v>-15.832916708724657</v>
      </c>
    </row>
    <row r="660" spans="1:7" x14ac:dyDescent="0.25">
      <c r="E660">
        <v>250</v>
      </c>
      <c r="F660" s="3">
        <v>1.2100000000000001E-7</v>
      </c>
      <c r="G660">
        <f t="shared" si="9"/>
        <v>-15.927475291349669</v>
      </c>
    </row>
    <row r="661" spans="1:7" x14ac:dyDescent="0.25">
      <c r="E661">
        <v>200</v>
      </c>
      <c r="F661" s="3">
        <v>1.08E-7</v>
      </c>
      <c r="G661">
        <f t="shared" si="9"/>
        <v>-16.041134609822191</v>
      </c>
    </row>
    <row r="662" spans="1:7" x14ac:dyDescent="0.25">
      <c r="E662">
        <v>150</v>
      </c>
      <c r="F662" s="3">
        <v>9.3400000000000003E-8</v>
      </c>
      <c r="G662">
        <f t="shared" si="9"/>
        <v>-16.186374491711614</v>
      </c>
    </row>
    <row r="663" spans="1:7" x14ac:dyDescent="0.25">
      <c r="E663">
        <v>100</v>
      </c>
      <c r="F663" s="3">
        <v>7.61E-8</v>
      </c>
      <c r="G663">
        <f t="shared" si="9"/>
        <v>-16.391217572078769</v>
      </c>
    </row>
    <row r="664" spans="1:7" x14ac:dyDescent="0.25">
      <c r="E664">
        <v>50</v>
      </c>
      <c r="F664" s="3">
        <v>5.5099999999999997E-8</v>
      </c>
      <c r="G664">
        <f t="shared" si="9"/>
        <v>-16.714116120787544</v>
      </c>
    </row>
    <row r="665" spans="1:7" x14ac:dyDescent="0.25">
      <c r="E665">
        <v>0</v>
      </c>
      <c r="F665" s="3">
        <v>2.9799999999999999E-8</v>
      </c>
      <c r="G665">
        <f t="shared" si="9"/>
        <v>-17.328757443435052</v>
      </c>
    </row>
    <row r="666" spans="1:7" x14ac:dyDescent="0.25">
      <c r="B666">
        <v>525</v>
      </c>
      <c r="E666">
        <v>300</v>
      </c>
      <c r="F666" s="3">
        <v>7.7499999999999999E-7</v>
      </c>
      <c r="G666">
        <f t="shared" si="9"/>
        <v>-14.070402807593064</v>
      </c>
    </row>
    <row r="667" spans="1:7" x14ac:dyDescent="0.25">
      <c r="E667">
        <v>250</v>
      </c>
      <c r="F667" s="3">
        <v>7.0299999999999998E-7</v>
      </c>
      <c r="G667">
        <f t="shared" si="9"/>
        <v>-14.167908945135746</v>
      </c>
    </row>
    <row r="668" spans="1:7" x14ac:dyDescent="0.25">
      <c r="E668">
        <v>200</v>
      </c>
      <c r="F668" s="3">
        <v>6.1799999999999995E-7</v>
      </c>
      <c r="G668">
        <f t="shared" si="9"/>
        <v>-14.29677737948872</v>
      </c>
    </row>
    <row r="669" spans="1:7" x14ac:dyDescent="0.25">
      <c r="E669">
        <v>150</v>
      </c>
      <c r="F669" s="3">
        <v>5.3000000000000001E-7</v>
      </c>
      <c r="G669">
        <f t="shared" si="9"/>
        <v>-14.450388830400243</v>
      </c>
    </row>
    <row r="670" spans="1:7" x14ac:dyDescent="0.25">
      <c r="E670">
        <v>100</v>
      </c>
      <c r="F670" s="3">
        <v>4.3700000000000001E-7</v>
      </c>
      <c r="G670">
        <f t="shared" si="9"/>
        <v>-14.643332641850821</v>
      </c>
    </row>
    <row r="671" spans="1:7" x14ac:dyDescent="0.25">
      <c r="E671">
        <v>50</v>
      </c>
      <c r="F671" s="3">
        <v>3.1100000000000002E-7</v>
      </c>
      <c r="G671">
        <f t="shared" si="9"/>
        <v>-14.983472924767177</v>
      </c>
    </row>
    <row r="672" spans="1:7" x14ac:dyDescent="0.25">
      <c r="E672">
        <v>0</v>
      </c>
      <c r="F672" s="3">
        <v>1.67E-7</v>
      </c>
      <c r="G672">
        <f t="shared" si="9"/>
        <v>-15.605272024529656</v>
      </c>
    </row>
    <row r="673" spans="1:14" x14ac:dyDescent="0.25">
      <c r="A673" s="6">
        <v>44814</v>
      </c>
      <c r="B673">
        <v>475</v>
      </c>
      <c r="C673">
        <v>790</v>
      </c>
      <c r="D673">
        <v>900</v>
      </c>
      <c r="E673">
        <v>300</v>
      </c>
      <c r="F673" s="3">
        <v>1.3E-7</v>
      </c>
      <c r="G673">
        <f t="shared" si="9"/>
        <v>-15.855731386490829</v>
      </c>
      <c r="M673" s="49"/>
      <c r="N673" s="49"/>
    </row>
    <row r="674" spans="1:14" ht="16.5" thickBot="1" x14ac:dyDescent="0.3">
      <c r="E674">
        <v>250</v>
      </c>
      <c r="F674" s="3">
        <v>1.18E-7</v>
      </c>
      <c r="G674">
        <f t="shared" si="9"/>
        <v>-15.952581212480746</v>
      </c>
      <c r="J674" t="s">
        <v>187</v>
      </c>
      <c r="M674" s="49" t="s">
        <v>186</v>
      </c>
      <c r="N674" s="49">
        <v>260</v>
      </c>
    </row>
    <row r="675" spans="1:14" ht="16.5" thickBot="1" x14ac:dyDescent="0.3">
      <c r="E675">
        <v>200</v>
      </c>
      <c r="F675" s="3">
        <v>1.05E-7</v>
      </c>
      <c r="G675">
        <f t="shared" si="9"/>
        <v>-16.069305486788888</v>
      </c>
      <c r="J675" s="62" t="s">
        <v>38</v>
      </c>
      <c r="K675" s="62" t="s">
        <v>39</v>
      </c>
      <c r="L675" s="62" t="s">
        <v>40</v>
      </c>
      <c r="M675" s="63" t="s">
        <v>41</v>
      </c>
      <c r="N675" s="66">
        <v>618</v>
      </c>
    </row>
    <row r="676" spans="1:14" ht="16.5" thickBot="1" x14ac:dyDescent="0.3">
      <c r="E676">
        <v>150</v>
      </c>
      <c r="F676" s="3">
        <v>9.0999999999999994E-8</v>
      </c>
      <c r="G676">
        <f t="shared" si="9"/>
        <v>-16.212406330429562</v>
      </c>
      <c r="J676" s="64">
        <v>1.6699999999999999E-15</v>
      </c>
      <c r="K676" s="64">
        <v>-1.4100000000000001E-12</v>
      </c>
      <c r="L676" s="64">
        <v>7.2699999999999997E-10</v>
      </c>
      <c r="M676" s="64">
        <v>3.7599999999999999E-8</v>
      </c>
      <c r="N676" s="66">
        <v>600</v>
      </c>
    </row>
    <row r="677" spans="1:14" ht="16.5" thickBot="1" x14ac:dyDescent="0.3">
      <c r="E677">
        <v>100</v>
      </c>
      <c r="F677" s="3">
        <v>7.4700000000000001E-8</v>
      </c>
      <c r="G677">
        <f t="shared" si="9"/>
        <v>-16.409785744807639</v>
      </c>
      <c r="M677" t="s">
        <v>193</v>
      </c>
      <c r="N677" s="66">
        <v>590</v>
      </c>
    </row>
    <row r="678" spans="1:14" ht="16.5" thickBot="1" x14ac:dyDescent="0.3">
      <c r="E678">
        <v>50</v>
      </c>
      <c r="F678" s="3">
        <v>5.3500000000000003E-8</v>
      </c>
      <c r="G678">
        <f t="shared" si="9"/>
        <v>-16.743584183044451</v>
      </c>
      <c r="N678" s="66">
        <v>570</v>
      </c>
    </row>
    <row r="679" spans="1:14" ht="16.5" thickBot="1" x14ac:dyDescent="0.3">
      <c r="E679">
        <v>0</v>
      </c>
      <c r="F679" s="3">
        <v>2.9799999999999999E-8</v>
      </c>
      <c r="G679">
        <f t="shared" si="9"/>
        <v>-17.328757443435052</v>
      </c>
      <c r="N679" s="66">
        <v>554</v>
      </c>
    </row>
    <row r="680" spans="1:14" x14ac:dyDescent="0.25">
      <c r="A680" s="6">
        <v>44834</v>
      </c>
      <c r="B680">
        <v>485</v>
      </c>
      <c r="C680">
        <v>790</v>
      </c>
      <c r="D680">
        <v>900</v>
      </c>
      <c r="E680">
        <v>300</v>
      </c>
      <c r="F680" s="3">
        <v>1.7700000000000001E-7</v>
      </c>
      <c r="G680">
        <f t="shared" ref="G680:G686" si="10">LN(F680)</f>
        <v>-15.547116104372583</v>
      </c>
    </row>
    <row r="681" spans="1:14" x14ac:dyDescent="0.25">
      <c r="E681">
        <v>250</v>
      </c>
      <c r="F681" s="3">
        <v>1.61E-7</v>
      </c>
      <c r="G681">
        <f t="shared" si="10"/>
        <v>-15.641861471961947</v>
      </c>
    </row>
    <row r="682" spans="1:14" x14ac:dyDescent="0.25">
      <c r="E682">
        <v>200</v>
      </c>
      <c r="F682" s="3">
        <v>1.4399999999999999E-7</v>
      </c>
      <c r="G682">
        <f t="shared" si="10"/>
        <v>-15.753452537370411</v>
      </c>
    </row>
    <row r="683" spans="1:14" x14ac:dyDescent="0.25">
      <c r="E683">
        <v>150</v>
      </c>
      <c r="F683" s="3">
        <v>1.23E-7</v>
      </c>
      <c r="G683">
        <f t="shared" si="10"/>
        <v>-15.911081481573994</v>
      </c>
    </row>
    <row r="684" spans="1:14" x14ac:dyDescent="0.25">
      <c r="E684">
        <v>100</v>
      </c>
      <c r="F684" s="3">
        <v>9.9999999999999995E-8</v>
      </c>
      <c r="G684">
        <f t="shared" si="10"/>
        <v>-16.11809565095832</v>
      </c>
    </row>
    <row r="685" spans="1:14" x14ac:dyDescent="0.25">
      <c r="E685">
        <v>50</v>
      </c>
      <c r="F685" s="3">
        <v>7.24E-8</v>
      </c>
      <c r="G685">
        <f t="shared" si="10"/>
        <v>-16.441059537554739</v>
      </c>
    </row>
    <row r="686" spans="1:14" x14ac:dyDescent="0.25">
      <c r="E686">
        <v>0</v>
      </c>
      <c r="F686" s="3">
        <v>3.8799999999999997E-8</v>
      </c>
      <c r="G686">
        <f t="shared" si="10"/>
        <v>-17.064845590317184</v>
      </c>
    </row>
    <row r="687" spans="1:14" x14ac:dyDescent="0.25">
      <c r="A687" s="6">
        <v>44840</v>
      </c>
      <c r="B687">
        <v>485</v>
      </c>
      <c r="C687">
        <v>790</v>
      </c>
      <c r="D687">
        <v>900</v>
      </c>
      <c r="E687">
        <v>300</v>
      </c>
      <c r="F687" s="3">
        <v>1.72E-7</v>
      </c>
      <c r="G687">
        <f t="shared" ref="G687:G693" si="11">LN(F687)</f>
        <v>-15.575771360132958</v>
      </c>
    </row>
    <row r="688" spans="1:14" x14ac:dyDescent="0.25">
      <c r="E688">
        <v>250</v>
      </c>
      <c r="F688" s="3">
        <v>1.5699999999999999E-7</v>
      </c>
      <c r="G688">
        <f t="shared" si="11"/>
        <v>-15.667020031598103</v>
      </c>
    </row>
    <row r="689" spans="1:7" x14ac:dyDescent="0.25">
      <c r="E689">
        <v>200</v>
      </c>
      <c r="F689" s="3">
        <v>1.4000000000000001E-7</v>
      </c>
      <c r="G689">
        <f t="shared" si="11"/>
        <v>-15.781623414337107</v>
      </c>
    </row>
    <row r="690" spans="1:7" x14ac:dyDescent="0.25">
      <c r="E690">
        <v>150</v>
      </c>
      <c r="F690" s="3">
        <v>1.1999999999999999E-7</v>
      </c>
      <c r="G690">
        <f t="shared" si="11"/>
        <v>-15.935774094164366</v>
      </c>
    </row>
    <row r="691" spans="1:7" x14ac:dyDescent="0.25">
      <c r="E691">
        <v>100</v>
      </c>
      <c r="F691" s="3">
        <v>9.8399999999999994E-8</v>
      </c>
      <c r="G691">
        <f t="shared" si="11"/>
        <v>-16.134225032888203</v>
      </c>
    </row>
    <row r="692" spans="1:7" x14ac:dyDescent="0.25">
      <c r="E692">
        <v>50</v>
      </c>
      <c r="F692" s="3">
        <v>7.0399999999999995E-8</v>
      </c>
      <c r="G692">
        <f t="shared" si="11"/>
        <v>-16.469072573782416</v>
      </c>
    </row>
    <row r="693" spans="1:7" x14ac:dyDescent="0.25">
      <c r="E693">
        <v>0</v>
      </c>
      <c r="F693" s="3">
        <v>3.77E-8</v>
      </c>
      <c r="G693">
        <f t="shared" si="11"/>
        <v>-17.093605742492446</v>
      </c>
    </row>
    <row r="694" spans="1:7" x14ac:dyDescent="0.25">
      <c r="A694" s="6">
        <v>44847</v>
      </c>
      <c r="B694">
        <v>485</v>
      </c>
      <c r="C694">
        <v>790</v>
      </c>
      <c r="D694">
        <v>900</v>
      </c>
      <c r="E694">
        <v>300</v>
      </c>
      <c r="F694" s="3">
        <v>1.7499999999999999E-7</v>
      </c>
      <c r="G694">
        <f t="shared" ref="G694:G700" si="12">LN(F694)</f>
        <v>-15.558479863022898</v>
      </c>
    </row>
    <row r="695" spans="1:7" x14ac:dyDescent="0.25">
      <c r="E695">
        <v>250</v>
      </c>
      <c r="F695" s="3">
        <v>1.5900000000000001E-7</v>
      </c>
      <c r="G695">
        <f t="shared" si="12"/>
        <v>-15.654361634726179</v>
      </c>
    </row>
    <row r="696" spans="1:7" x14ac:dyDescent="0.25">
      <c r="E696">
        <v>200</v>
      </c>
      <c r="F696" s="3">
        <v>1.4100000000000001E-7</v>
      </c>
      <c r="G696">
        <f t="shared" si="12"/>
        <v>-15.774505946568242</v>
      </c>
    </row>
    <row r="697" spans="1:7" x14ac:dyDescent="0.25">
      <c r="E697">
        <v>150</v>
      </c>
      <c r="F697" s="3">
        <v>1.2100000000000001E-7</v>
      </c>
      <c r="G697">
        <f t="shared" si="12"/>
        <v>-15.927475291349669</v>
      </c>
    </row>
    <row r="698" spans="1:7" x14ac:dyDescent="0.25">
      <c r="E698">
        <v>100</v>
      </c>
      <c r="F698" s="3">
        <v>9.9499999999999998E-8</v>
      </c>
      <c r="G698">
        <f t="shared" si="12"/>
        <v>-16.123108192781864</v>
      </c>
    </row>
    <row r="699" spans="1:7" x14ac:dyDescent="0.25">
      <c r="E699">
        <v>50</v>
      </c>
      <c r="F699" s="3">
        <v>7.0900000000000006E-8</v>
      </c>
      <c r="G699">
        <f t="shared" si="12"/>
        <v>-16.461995403408331</v>
      </c>
    </row>
    <row r="700" spans="1:7" x14ac:dyDescent="0.25">
      <c r="E700">
        <v>0</v>
      </c>
      <c r="F700" s="3">
        <v>3.7599999999999999E-8</v>
      </c>
      <c r="G700">
        <f t="shared" si="12"/>
        <v>-17.096261786550563</v>
      </c>
    </row>
    <row r="701" spans="1:7" x14ac:dyDescent="0.25">
      <c r="A701" s="6">
        <v>44853</v>
      </c>
      <c r="B701">
        <v>485</v>
      </c>
      <c r="C701">
        <v>790</v>
      </c>
      <c r="D701">
        <v>900</v>
      </c>
      <c r="E701">
        <v>300</v>
      </c>
      <c r="F701" s="3">
        <v>1.74E-7</v>
      </c>
      <c r="G701">
        <f t="shared" ref="G701:G776" si="13">LN(F701)</f>
        <v>-15.564210537731881</v>
      </c>
    </row>
    <row r="702" spans="1:7" x14ac:dyDescent="0.25">
      <c r="E702">
        <v>250</v>
      </c>
      <c r="F702" s="3">
        <v>1.5800000000000001E-7</v>
      </c>
      <c r="G702">
        <f t="shared" si="13"/>
        <v>-15.660670803919444</v>
      </c>
    </row>
    <row r="703" spans="1:7" x14ac:dyDescent="0.25">
      <c r="E703">
        <v>200</v>
      </c>
      <c r="F703" s="3">
        <v>1.4000000000000001E-7</v>
      </c>
      <c r="G703">
        <f t="shared" si="13"/>
        <v>-15.781623414337107</v>
      </c>
    </row>
    <row r="704" spans="1:7" x14ac:dyDescent="0.25">
      <c r="E704">
        <v>150</v>
      </c>
      <c r="F704" s="3">
        <v>1.1999999999999999E-7</v>
      </c>
      <c r="G704">
        <f t="shared" si="13"/>
        <v>-15.935774094164366</v>
      </c>
    </row>
    <row r="705" spans="1:20" x14ac:dyDescent="0.25">
      <c r="E705">
        <v>100</v>
      </c>
      <c r="F705" s="3">
        <v>9.8599999999999996E-8</v>
      </c>
      <c r="G705">
        <f t="shared" si="13"/>
        <v>-16.13219457533782</v>
      </c>
    </row>
    <row r="706" spans="1:20" x14ac:dyDescent="0.25">
      <c r="E706">
        <v>50</v>
      </c>
      <c r="F706" s="3">
        <v>7.0500000000000003E-8</v>
      </c>
      <c r="G706">
        <f t="shared" si="13"/>
        <v>-16.467653127128187</v>
      </c>
    </row>
    <row r="707" spans="1:20" x14ac:dyDescent="0.25">
      <c r="E707">
        <v>0</v>
      </c>
      <c r="F707" s="3">
        <v>3.7599999999999999E-8</v>
      </c>
      <c r="G707">
        <f t="shared" si="13"/>
        <v>-17.096261786550563</v>
      </c>
    </row>
    <row r="708" spans="1:20" x14ac:dyDescent="0.25">
      <c r="A708" s="6">
        <v>44862</v>
      </c>
      <c r="B708">
        <v>525</v>
      </c>
      <c r="C708">
        <v>790</v>
      </c>
      <c r="D708">
        <v>900</v>
      </c>
      <c r="E708">
        <v>300</v>
      </c>
      <c r="F708" s="3">
        <v>7.3099999999999997E-7</v>
      </c>
      <c r="G708">
        <f t="shared" si="13"/>
        <v>-14.128852377196633</v>
      </c>
    </row>
    <row r="709" spans="1:20" x14ac:dyDescent="0.25">
      <c r="E709">
        <v>250</v>
      </c>
      <c r="F709" s="3">
        <v>6.6000000000000003E-7</v>
      </c>
      <c r="G709">
        <f t="shared" si="13"/>
        <v>-14.23102600192594</v>
      </c>
    </row>
    <row r="710" spans="1:20" x14ac:dyDescent="0.25">
      <c r="E710">
        <v>200</v>
      </c>
      <c r="F710" s="3">
        <v>5.8500000000000001E-7</v>
      </c>
      <c r="G710">
        <f t="shared" si="13"/>
        <v>-14.351653989714555</v>
      </c>
    </row>
    <row r="711" spans="1:20" x14ac:dyDescent="0.25">
      <c r="E711">
        <v>150</v>
      </c>
      <c r="F711" s="3">
        <v>5.0399999999999996E-7</v>
      </c>
      <c r="G711">
        <f t="shared" si="13"/>
        <v>-14.500689568875043</v>
      </c>
    </row>
    <row r="712" spans="1:20" x14ac:dyDescent="0.25">
      <c r="E712">
        <v>100</v>
      </c>
      <c r="F712" s="3">
        <v>4.08E-7</v>
      </c>
      <c r="G712">
        <f t="shared" si="13"/>
        <v>-14.71199866254225</v>
      </c>
    </row>
    <row r="713" spans="1:20" x14ac:dyDescent="0.25">
      <c r="E713">
        <v>50</v>
      </c>
      <c r="F713" s="3">
        <v>2.8999999999999998E-7</v>
      </c>
      <c r="G713">
        <f t="shared" si="13"/>
        <v>-15.053384913965891</v>
      </c>
    </row>
    <row r="714" spans="1:20" x14ac:dyDescent="0.25">
      <c r="E714">
        <v>0</v>
      </c>
      <c r="F714" s="3">
        <v>1.5300000000000001E-7</v>
      </c>
      <c r="G714">
        <f t="shared" si="13"/>
        <v>-15.692827915553975</v>
      </c>
    </row>
    <row r="715" spans="1:20" x14ac:dyDescent="0.25">
      <c r="A715" s="6">
        <v>44868</v>
      </c>
      <c r="B715">
        <v>485</v>
      </c>
      <c r="C715">
        <v>790</v>
      </c>
      <c r="D715">
        <v>900</v>
      </c>
      <c r="E715">
        <v>300</v>
      </c>
      <c r="F715" s="3">
        <v>1.79E-7</v>
      </c>
      <c r="G715">
        <f t="shared" si="13"/>
        <v>-15.535880031105656</v>
      </c>
    </row>
    <row r="716" spans="1:20" x14ac:dyDescent="0.25">
      <c r="E716">
        <v>250</v>
      </c>
      <c r="F716" s="3">
        <v>1.6299999999999999E-7</v>
      </c>
      <c r="G716">
        <f t="shared" si="13"/>
        <v>-15.629515636139649</v>
      </c>
    </row>
    <row r="717" spans="1:20" x14ac:dyDescent="0.25">
      <c r="E717">
        <v>200</v>
      </c>
      <c r="F717" s="3">
        <v>1.4499999999999999E-7</v>
      </c>
      <c r="G717">
        <f t="shared" si="13"/>
        <v>-15.746532094525836</v>
      </c>
    </row>
    <row r="718" spans="1:20" x14ac:dyDescent="0.25">
      <c r="E718">
        <v>150</v>
      </c>
      <c r="F718" s="3">
        <v>1.2499999999999999E-7</v>
      </c>
      <c r="G718">
        <f t="shared" si="13"/>
        <v>-15.89495209964411</v>
      </c>
      <c r="N718" t="s">
        <v>186</v>
      </c>
      <c r="P718" t="s">
        <v>186</v>
      </c>
      <c r="Q718" t="s">
        <v>227</v>
      </c>
      <c r="R718" t="s">
        <v>212</v>
      </c>
      <c r="S718" t="s">
        <v>228</v>
      </c>
      <c r="T718" t="s">
        <v>229</v>
      </c>
    </row>
    <row r="719" spans="1:20" x14ac:dyDescent="0.25">
      <c r="E719">
        <v>125</v>
      </c>
      <c r="F719" s="3">
        <v>1.14E-7</v>
      </c>
      <c r="G719">
        <f t="shared" si="13"/>
        <v>-15.987067388551916</v>
      </c>
      <c r="J719" t="s">
        <v>38</v>
      </c>
      <c r="K719" t="s">
        <v>39</v>
      </c>
      <c r="L719" t="s">
        <v>40</v>
      </c>
      <c r="M719" t="s">
        <v>41</v>
      </c>
      <c r="N719">
        <v>150</v>
      </c>
      <c r="P719">
        <v>10</v>
      </c>
      <c r="Q719" s="3">
        <v>-6.2840000000000003E-13</v>
      </c>
      <c r="R719" s="3">
        <v>6.145E-10</v>
      </c>
      <c r="S719" s="3">
        <v>3.6319999999999997E-8</v>
      </c>
      <c r="T719" s="3">
        <f>(P719^2)*Q719+P719*R719+S719</f>
        <v>4.2402159999999996E-8</v>
      </c>
    </row>
    <row r="720" spans="1:20" x14ac:dyDescent="0.25">
      <c r="E720">
        <v>100</v>
      </c>
      <c r="F720" s="3">
        <v>1.02E-7</v>
      </c>
      <c r="G720">
        <f t="shared" si="13"/>
        <v>-16.098293023662141</v>
      </c>
      <c r="J720" s="64">
        <v>-2.6570000000000001E-12</v>
      </c>
      <c r="K720" s="64">
        <v>2.4910000000000002E-9</v>
      </c>
      <c r="L720" s="64">
        <v>1.5160000000000001E-7</v>
      </c>
      <c r="M720" s="64">
        <v>0</v>
      </c>
      <c r="N720" s="3">
        <f>J720*N719^3+K720*N719^2+L720*N719+M720</f>
        <v>6.9820125000000008E-5</v>
      </c>
    </row>
    <row r="721" spans="1:14" x14ac:dyDescent="0.25">
      <c r="E721">
        <v>75</v>
      </c>
      <c r="F721" s="3">
        <v>8.8399999999999997E-8</v>
      </c>
      <c r="G721">
        <f t="shared" si="13"/>
        <v>-16.241393867302815</v>
      </c>
      <c r="J721" s="69"/>
      <c r="K721" s="69"/>
      <c r="L721" s="69"/>
      <c r="M721" s="69"/>
      <c r="N721" s="68"/>
    </row>
    <row r="722" spans="1:14" x14ac:dyDescent="0.25">
      <c r="E722">
        <v>50</v>
      </c>
      <c r="F722" s="3">
        <v>7.2600000000000002E-8</v>
      </c>
      <c r="G722">
        <f t="shared" si="13"/>
        <v>-16.438300915115661</v>
      </c>
      <c r="J722" s="67"/>
      <c r="K722" s="67"/>
      <c r="L722" s="67"/>
      <c r="M722" s="67"/>
      <c r="N722" s="68"/>
    </row>
    <row r="723" spans="1:14" x14ac:dyDescent="0.25">
      <c r="E723">
        <v>0</v>
      </c>
      <c r="F723" s="3">
        <v>3.8299999999999999E-8</v>
      </c>
      <c r="G723">
        <f t="shared" si="13"/>
        <v>-17.077815940759812</v>
      </c>
      <c r="J723" s="67"/>
      <c r="K723" s="67"/>
      <c r="L723" s="67"/>
      <c r="M723" s="67"/>
      <c r="N723" s="68"/>
    </row>
    <row r="724" spans="1:14" x14ac:dyDescent="0.25">
      <c r="A724" s="6">
        <v>44875</v>
      </c>
      <c r="B724">
        <v>525</v>
      </c>
      <c r="C724">
        <v>790</v>
      </c>
      <c r="D724">
        <v>900</v>
      </c>
      <c r="E724">
        <v>300</v>
      </c>
      <c r="F724" s="3">
        <v>6.6599999999999996E-7</v>
      </c>
      <c r="G724">
        <f t="shared" si="13"/>
        <v>-14.221976166406023</v>
      </c>
      <c r="J724" s="67"/>
      <c r="K724" s="67"/>
      <c r="L724" s="67"/>
      <c r="M724" s="67"/>
      <c r="N724" s="68"/>
    </row>
    <row r="725" spans="1:14" x14ac:dyDescent="0.25">
      <c r="E725">
        <v>250</v>
      </c>
      <c r="F725" s="3">
        <v>6.0200000000000002E-7</v>
      </c>
      <c r="G725">
        <f t="shared" si="13"/>
        <v>-14.32300839163759</v>
      </c>
    </row>
    <row r="726" spans="1:14" x14ac:dyDescent="0.25">
      <c r="E726">
        <v>200</v>
      </c>
      <c r="F726" s="3">
        <v>5.3900000000000005E-7</v>
      </c>
      <c r="G726">
        <f t="shared" si="13"/>
        <v>-14.433550266037415</v>
      </c>
    </row>
    <row r="727" spans="1:14" x14ac:dyDescent="0.25">
      <c r="E727">
        <v>150</v>
      </c>
      <c r="F727" s="3">
        <v>4.63E-7</v>
      </c>
      <c r="G727">
        <f t="shared" si="13"/>
        <v>-14.585538782860176</v>
      </c>
    </row>
    <row r="728" spans="1:14" x14ac:dyDescent="0.25">
      <c r="E728">
        <v>100</v>
      </c>
      <c r="F728" s="3">
        <v>3.8299999999999998E-7</v>
      </c>
      <c r="G728">
        <f t="shared" si="13"/>
        <v>-14.775230847765766</v>
      </c>
    </row>
    <row r="729" spans="1:14" x14ac:dyDescent="0.25">
      <c r="E729">
        <v>50</v>
      </c>
      <c r="F729" s="3">
        <v>2.7399999999999999E-7</v>
      </c>
      <c r="G729">
        <f t="shared" si="13"/>
        <v>-15.110137730558341</v>
      </c>
    </row>
    <row r="730" spans="1:14" x14ac:dyDescent="0.25">
      <c r="E730">
        <v>0</v>
      </c>
      <c r="F730" s="3">
        <v>1.4600000000000001E-7</v>
      </c>
      <c r="G730">
        <f t="shared" si="13"/>
        <v>-15.739659215238074</v>
      </c>
    </row>
    <row r="731" spans="1:14" x14ac:dyDescent="0.25">
      <c r="A731" s="6">
        <v>44896</v>
      </c>
      <c r="B731">
        <v>500</v>
      </c>
      <c r="C731">
        <v>790</v>
      </c>
      <c r="D731">
        <v>900</v>
      </c>
      <c r="E731">
        <v>300</v>
      </c>
      <c r="F731" s="3">
        <v>1.79E-7</v>
      </c>
      <c r="G731">
        <f t="shared" si="13"/>
        <v>-15.535880031105656</v>
      </c>
    </row>
    <row r="732" spans="1:14" x14ac:dyDescent="0.25">
      <c r="E732">
        <v>250</v>
      </c>
      <c r="F732" s="3">
        <v>1.6299999999999999E-7</v>
      </c>
      <c r="G732">
        <f t="shared" si="13"/>
        <v>-15.629515636139649</v>
      </c>
    </row>
    <row r="733" spans="1:14" x14ac:dyDescent="0.25">
      <c r="E733">
        <v>200</v>
      </c>
      <c r="F733" s="3">
        <v>1.4499999999999999E-7</v>
      </c>
      <c r="G733">
        <f t="shared" si="13"/>
        <v>-15.746532094525836</v>
      </c>
    </row>
    <row r="734" spans="1:14" x14ac:dyDescent="0.25">
      <c r="E734">
        <v>150</v>
      </c>
      <c r="F734" s="3">
        <v>1.2499999999999999E-7</v>
      </c>
      <c r="G734">
        <f t="shared" si="13"/>
        <v>-15.89495209964411</v>
      </c>
    </row>
    <row r="735" spans="1:14" x14ac:dyDescent="0.25">
      <c r="E735">
        <v>125</v>
      </c>
      <c r="F735" s="3">
        <v>1.14E-7</v>
      </c>
      <c r="G735">
        <f t="shared" si="13"/>
        <v>-15.987067388551916</v>
      </c>
    </row>
    <row r="736" spans="1:14" x14ac:dyDescent="0.25">
      <c r="E736">
        <v>100</v>
      </c>
      <c r="F736" s="3">
        <v>1.02E-7</v>
      </c>
      <c r="G736">
        <f t="shared" si="13"/>
        <v>-16.098293023662141</v>
      </c>
    </row>
    <row r="737" spans="1:7" x14ac:dyDescent="0.25">
      <c r="E737">
        <v>75</v>
      </c>
      <c r="F737" s="3">
        <v>8.8399999999999997E-8</v>
      </c>
      <c r="G737">
        <f t="shared" si="13"/>
        <v>-16.241393867302815</v>
      </c>
    </row>
    <row r="738" spans="1:7" x14ac:dyDescent="0.25">
      <c r="E738">
        <v>50</v>
      </c>
      <c r="F738" s="3">
        <v>7.2600000000000002E-8</v>
      </c>
      <c r="G738">
        <f t="shared" si="13"/>
        <v>-16.438300915115661</v>
      </c>
    </row>
    <row r="739" spans="1:7" x14ac:dyDescent="0.25">
      <c r="E739">
        <v>0</v>
      </c>
      <c r="F739" s="3">
        <v>3.8299999999999999E-8</v>
      </c>
      <c r="G739">
        <f t="shared" si="13"/>
        <v>-17.077815940759812</v>
      </c>
    </row>
    <row r="740" spans="1:7" x14ac:dyDescent="0.25">
      <c r="A740" s="6">
        <v>44901</v>
      </c>
      <c r="B740">
        <v>525</v>
      </c>
      <c r="C740">
        <v>790</v>
      </c>
      <c r="D740">
        <v>900</v>
      </c>
      <c r="E740">
        <v>300</v>
      </c>
      <c r="F740" s="3">
        <v>6.7400000000000003E-7</v>
      </c>
      <c r="G740">
        <f t="shared" si="13"/>
        <v>-14.210035726034103</v>
      </c>
    </row>
    <row r="741" spans="1:7" x14ac:dyDescent="0.25">
      <c r="E741">
        <v>250</v>
      </c>
      <c r="F741" s="3">
        <v>6.1500000000000004E-7</v>
      </c>
      <c r="G741">
        <f t="shared" si="13"/>
        <v>-14.301643569139893</v>
      </c>
    </row>
    <row r="742" spans="1:7" x14ac:dyDescent="0.25">
      <c r="A742" s="6"/>
      <c r="E742">
        <v>0</v>
      </c>
      <c r="F742" s="3">
        <v>1.3400000000000001E-7</v>
      </c>
      <c r="G742">
        <f t="shared" si="13"/>
        <v>-15.8254260369955</v>
      </c>
    </row>
    <row r="743" spans="1:7" x14ac:dyDescent="0.25">
      <c r="A743" s="6">
        <v>44903</v>
      </c>
      <c r="B743">
        <v>500</v>
      </c>
      <c r="C743">
        <v>790</v>
      </c>
      <c r="D743">
        <v>900</v>
      </c>
      <c r="E743">
        <v>300</v>
      </c>
      <c r="F743" s="3">
        <v>2.7399999999999999E-7</v>
      </c>
      <c r="G743">
        <f t="shared" si="13"/>
        <v>-15.110137730558341</v>
      </c>
    </row>
    <row r="744" spans="1:7" x14ac:dyDescent="0.25">
      <c r="E744">
        <v>250</v>
      </c>
      <c r="F744" s="3">
        <v>2.48E-7</v>
      </c>
      <c r="G744">
        <f t="shared" si="13"/>
        <v>-15.209837090781429</v>
      </c>
    </row>
    <row r="745" spans="1:7" x14ac:dyDescent="0.25">
      <c r="E745">
        <v>200</v>
      </c>
      <c r="F745" s="3">
        <v>2.2000000000000001E-7</v>
      </c>
      <c r="G745">
        <f t="shared" si="13"/>
        <v>-15.329638290594049</v>
      </c>
    </row>
    <row r="746" spans="1:7" x14ac:dyDescent="0.25">
      <c r="E746">
        <v>150</v>
      </c>
      <c r="F746" s="3">
        <v>1.8900000000000001E-7</v>
      </c>
      <c r="G746">
        <f t="shared" si="13"/>
        <v>-15.481518821886768</v>
      </c>
    </row>
    <row r="747" spans="1:7" x14ac:dyDescent="0.25">
      <c r="E747">
        <v>125</v>
      </c>
      <c r="F747" s="3">
        <v>1.6999999999999999E-7</v>
      </c>
      <c r="G747">
        <f t="shared" si="13"/>
        <v>-15.58746739989615</v>
      </c>
    </row>
    <row r="748" spans="1:7" x14ac:dyDescent="0.25">
      <c r="E748">
        <v>100</v>
      </c>
      <c r="F748" s="3">
        <v>1.5300000000000001E-7</v>
      </c>
      <c r="G748">
        <f t="shared" si="13"/>
        <v>-15.692827915553975</v>
      </c>
    </row>
    <row r="749" spans="1:7" x14ac:dyDescent="0.25">
      <c r="E749">
        <v>85</v>
      </c>
      <c r="F749" s="3">
        <v>1.42E-7</v>
      </c>
      <c r="G749">
        <f t="shared" si="13"/>
        <v>-15.76743877934515</v>
      </c>
    </row>
    <row r="750" spans="1:7" x14ac:dyDescent="0.25">
      <c r="E750">
        <v>75</v>
      </c>
      <c r="F750" s="3">
        <v>1.3300000000000001E-7</v>
      </c>
      <c r="G750">
        <f t="shared" si="13"/>
        <v>-15.832916708724657</v>
      </c>
    </row>
    <row r="751" spans="1:7" x14ac:dyDescent="0.25">
      <c r="E751">
        <v>65</v>
      </c>
      <c r="F751" s="3">
        <v>1.24E-7</v>
      </c>
      <c r="G751">
        <f t="shared" si="13"/>
        <v>-15.902984271341374</v>
      </c>
    </row>
    <row r="752" spans="1:7" x14ac:dyDescent="0.25">
      <c r="E752">
        <v>50</v>
      </c>
      <c r="F752" s="3">
        <v>1.09E-7</v>
      </c>
      <c r="G752">
        <f t="shared" si="13"/>
        <v>-16.031917954717269</v>
      </c>
    </row>
    <row r="753" spans="1:7" x14ac:dyDescent="0.25">
      <c r="E753">
        <v>25</v>
      </c>
      <c r="F753" s="3">
        <v>8.2899999999999995E-8</v>
      </c>
      <c r="G753">
        <f t="shared" si="13"/>
        <v>-16.305630774805163</v>
      </c>
    </row>
    <row r="754" spans="1:7" x14ac:dyDescent="0.25">
      <c r="E754">
        <v>0</v>
      </c>
      <c r="F754" s="3">
        <v>5.7100000000000002E-8</v>
      </c>
      <c r="G754">
        <f t="shared" si="13"/>
        <v>-16.678461720284446</v>
      </c>
    </row>
    <row r="755" spans="1:7" x14ac:dyDescent="0.25">
      <c r="A755" s="6">
        <v>44909</v>
      </c>
      <c r="B755">
        <v>485</v>
      </c>
      <c r="C755">
        <v>790</v>
      </c>
      <c r="D755">
        <v>900</v>
      </c>
      <c r="E755">
        <v>300</v>
      </c>
      <c r="F755" s="3">
        <v>1.66E-7</v>
      </c>
      <c r="G755">
        <f t="shared" si="13"/>
        <v>-15.611278048589869</v>
      </c>
    </row>
    <row r="756" spans="1:7" x14ac:dyDescent="0.25">
      <c r="E756">
        <v>250</v>
      </c>
      <c r="F756" s="3">
        <v>1.49E-7</v>
      </c>
      <c r="G756">
        <f t="shared" si="13"/>
        <v>-15.719319531000952</v>
      </c>
    </row>
    <row r="757" spans="1:7" x14ac:dyDescent="0.25">
      <c r="E757">
        <v>200</v>
      </c>
      <c r="F757" s="3">
        <v>1.3199999999999999E-7</v>
      </c>
      <c r="G757">
        <f t="shared" si="13"/>
        <v>-15.84046391436004</v>
      </c>
    </row>
    <row r="758" spans="1:7" x14ac:dyDescent="0.25">
      <c r="E758">
        <v>150</v>
      </c>
      <c r="F758" s="3">
        <v>1.14E-7</v>
      </c>
      <c r="G758">
        <f t="shared" si="13"/>
        <v>-15.987067388551916</v>
      </c>
    </row>
    <row r="759" spans="1:7" x14ac:dyDescent="0.25">
      <c r="E759">
        <v>100</v>
      </c>
      <c r="F759" s="3">
        <v>9.2799999999999997E-8</v>
      </c>
      <c r="G759">
        <f t="shared" si="13"/>
        <v>-16.192819197154257</v>
      </c>
    </row>
    <row r="760" spans="1:7" x14ac:dyDescent="0.25">
      <c r="E760">
        <v>75</v>
      </c>
      <c r="F760" s="3">
        <v>8.1199999999999999E-8</v>
      </c>
      <c r="G760">
        <f t="shared" si="13"/>
        <v>-16.32635058977878</v>
      </c>
    </row>
    <row r="761" spans="1:7" x14ac:dyDescent="0.25">
      <c r="E761">
        <v>50</v>
      </c>
      <c r="F761" s="3">
        <v>6.6300000000000005E-8</v>
      </c>
      <c r="G761">
        <f t="shared" si="13"/>
        <v>-16.529075939754595</v>
      </c>
    </row>
    <row r="762" spans="1:7" x14ac:dyDescent="0.25">
      <c r="E762">
        <v>25</v>
      </c>
      <c r="F762" s="3">
        <v>5.1E-8</v>
      </c>
      <c r="G762">
        <f t="shared" si="13"/>
        <v>-16.791440204222084</v>
      </c>
    </row>
    <row r="763" spans="1:7" x14ac:dyDescent="0.25">
      <c r="E763">
        <v>10</v>
      </c>
      <c r="F763" s="3">
        <v>4.14E-8</v>
      </c>
      <c r="G763">
        <f t="shared" si="13"/>
        <v>-16.999984956115142</v>
      </c>
    </row>
    <row r="764" spans="1:7" x14ac:dyDescent="0.25">
      <c r="E764">
        <v>0</v>
      </c>
      <c r="F764" s="3">
        <v>3.5399999999999999E-8</v>
      </c>
      <c r="G764">
        <f t="shared" si="13"/>
        <v>-17.156554016806684</v>
      </c>
    </row>
    <row r="765" spans="1:7" x14ac:dyDescent="0.25">
      <c r="A765" s="6">
        <v>44911</v>
      </c>
      <c r="B765">
        <v>500</v>
      </c>
      <c r="C765">
        <v>790</v>
      </c>
      <c r="D765">
        <v>900</v>
      </c>
      <c r="E765">
        <v>300</v>
      </c>
      <c r="F765" s="3">
        <v>2.7000000000000001E-7</v>
      </c>
      <c r="G765">
        <f t="shared" si="13"/>
        <v>-15.124843877948036</v>
      </c>
    </row>
    <row r="766" spans="1:7" x14ac:dyDescent="0.25">
      <c r="E766">
        <v>275</v>
      </c>
      <c r="F766" s="3">
        <v>2.53E-7</v>
      </c>
      <c r="G766">
        <f t="shared" si="13"/>
        <v>-15.18987634821889</v>
      </c>
    </row>
    <row r="767" spans="1:7" x14ac:dyDescent="0.25">
      <c r="E767">
        <v>250</v>
      </c>
      <c r="F767" s="3">
        <v>2.4200000000000002E-7</v>
      </c>
      <c r="G767">
        <f t="shared" si="13"/>
        <v>-15.234328110789725</v>
      </c>
    </row>
    <row r="768" spans="1:7" x14ac:dyDescent="0.25">
      <c r="E768">
        <v>200</v>
      </c>
      <c r="F768" s="3">
        <v>2.1500000000000001E-7</v>
      </c>
      <c r="G768">
        <f t="shared" si="13"/>
        <v>-15.352627808818749</v>
      </c>
    </row>
    <row r="769" spans="1:7" x14ac:dyDescent="0.25">
      <c r="E769">
        <v>150</v>
      </c>
      <c r="F769" s="3">
        <v>1.85E-7</v>
      </c>
      <c r="G769">
        <f t="shared" si="13"/>
        <v>-15.502910011868087</v>
      </c>
    </row>
    <row r="770" spans="1:7" x14ac:dyDescent="0.25">
      <c r="E770">
        <v>125</v>
      </c>
      <c r="F770" s="3">
        <v>1.68E-7</v>
      </c>
      <c r="G770">
        <f t="shared" si="13"/>
        <v>-15.599301857543152</v>
      </c>
    </row>
    <row r="771" spans="1:7" x14ac:dyDescent="0.25">
      <c r="E771">
        <v>100</v>
      </c>
      <c r="F771" s="3">
        <v>1.5090000000000001E-7</v>
      </c>
      <c r="G771">
        <f t="shared" si="13"/>
        <v>-15.706648471172608</v>
      </c>
    </row>
    <row r="772" spans="1:7" x14ac:dyDescent="0.25">
      <c r="E772">
        <v>75</v>
      </c>
      <c r="F772" s="3">
        <v>1.321E-7</v>
      </c>
      <c r="G772">
        <f t="shared" si="13"/>
        <v>-15.839706625418131</v>
      </c>
    </row>
    <row r="773" spans="1:7" x14ac:dyDescent="0.25">
      <c r="E773">
        <v>50</v>
      </c>
      <c r="F773" s="3">
        <v>1.077E-7</v>
      </c>
      <c r="G773">
        <f t="shared" si="13"/>
        <v>-16.043916252784069</v>
      </c>
    </row>
    <row r="774" spans="1:7" x14ac:dyDescent="0.25">
      <c r="E774">
        <v>25</v>
      </c>
      <c r="F774" s="3">
        <v>8.1569999999999995E-8</v>
      </c>
      <c r="G774">
        <f t="shared" si="13"/>
        <v>-16.321804289633921</v>
      </c>
    </row>
    <row r="775" spans="1:7" ht="16.5" thickBot="1" x14ac:dyDescent="0.3">
      <c r="E775">
        <v>0</v>
      </c>
      <c r="F775" s="3">
        <v>5.7000000000000001E-8</v>
      </c>
      <c r="G775">
        <f t="shared" si="13"/>
        <v>-16.680214569111861</v>
      </c>
    </row>
    <row r="776" spans="1:7" ht="16.5" thickBot="1" x14ac:dyDescent="0.3">
      <c r="A776" s="6">
        <v>44914</v>
      </c>
      <c r="B776">
        <v>470</v>
      </c>
      <c r="C776">
        <v>790</v>
      </c>
      <c r="D776">
        <v>900</v>
      </c>
      <c r="E776" s="74">
        <v>300</v>
      </c>
      <c r="F776" s="75">
        <v>9.2500000000000001E-8</v>
      </c>
      <c r="G776">
        <f t="shared" si="13"/>
        <v>-16.196057192428032</v>
      </c>
    </row>
    <row r="777" spans="1:7" ht="16.5" thickBot="1" x14ac:dyDescent="0.3">
      <c r="E777" s="74">
        <v>250</v>
      </c>
      <c r="F777" s="75">
        <v>8.4299999999999994E-8</v>
      </c>
      <c r="G777">
        <f t="shared" ref="G777:G819" si="14">LN(F777)</f>
        <v>-16.288883971938603</v>
      </c>
    </row>
    <row r="778" spans="1:7" ht="16.5" thickBot="1" x14ac:dyDescent="0.3">
      <c r="E778" s="74">
        <v>200</v>
      </c>
      <c r="F778" s="75">
        <v>7.4999999999999997E-8</v>
      </c>
      <c r="G778">
        <f t="shared" si="14"/>
        <v>-16.4057777234101</v>
      </c>
    </row>
    <row r="779" spans="1:7" ht="16.5" thickBot="1" x14ac:dyDescent="0.3">
      <c r="E779" s="74">
        <v>150</v>
      </c>
      <c r="F779" s="75">
        <v>6.4599999999999996E-8</v>
      </c>
      <c r="G779">
        <f t="shared" si="14"/>
        <v>-16.555051426157856</v>
      </c>
    </row>
    <row r="780" spans="1:7" ht="16.5" thickBot="1" x14ac:dyDescent="0.3">
      <c r="E780" s="74">
        <v>100</v>
      </c>
      <c r="F780" s="75">
        <v>5.25E-8</v>
      </c>
      <c r="G780">
        <f t="shared" si="14"/>
        <v>-16.762452667348832</v>
      </c>
    </row>
    <row r="781" spans="1:7" ht="16.5" thickBot="1" x14ac:dyDescent="0.3">
      <c r="E781" s="74">
        <v>75</v>
      </c>
      <c r="F781" s="75">
        <v>4.5699999999999999E-8</v>
      </c>
      <c r="G781">
        <f t="shared" si="14"/>
        <v>-16.901167539046252</v>
      </c>
    </row>
    <row r="782" spans="1:7" ht="16.5" thickBot="1" x14ac:dyDescent="0.3">
      <c r="E782" s="74">
        <v>50</v>
      </c>
      <c r="F782" s="75">
        <v>3.7499999999999998E-8</v>
      </c>
      <c r="G782">
        <f t="shared" si="14"/>
        <v>-17.098924903970047</v>
      </c>
    </row>
    <row r="783" spans="1:7" ht="16.5" thickBot="1" x14ac:dyDescent="0.3">
      <c r="E783" s="74">
        <v>25</v>
      </c>
      <c r="F783" s="75">
        <v>2.8600000000000001E-8</v>
      </c>
      <c r="G783">
        <f t="shared" si="14"/>
        <v>-17.369859119120605</v>
      </c>
    </row>
    <row r="784" spans="1:7" ht="16.5" thickBot="1" x14ac:dyDescent="0.3">
      <c r="E784" s="74">
        <v>10</v>
      </c>
      <c r="F784" s="75">
        <v>2.3199999999999999E-8</v>
      </c>
      <c r="G784">
        <f t="shared" si="14"/>
        <v>-17.579113558274148</v>
      </c>
    </row>
    <row r="785" spans="1:7" ht="16.5" thickBot="1" x14ac:dyDescent="0.3">
      <c r="E785" s="74">
        <v>5</v>
      </c>
      <c r="F785" s="75">
        <v>2.14E-8</v>
      </c>
      <c r="G785">
        <f t="shared" si="14"/>
        <v>-17.659874914918607</v>
      </c>
    </row>
    <row r="786" spans="1:7" ht="16.5" thickBot="1" x14ac:dyDescent="0.3">
      <c r="E786" s="74">
        <v>0</v>
      </c>
      <c r="F786" s="75">
        <v>1.99E-8</v>
      </c>
      <c r="G786">
        <f t="shared" si="14"/>
        <v>-17.732546105215963</v>
      </c>
    </row>
    <row r="787" spans="1:7" ht="16.5" thickBot="1" x14ac:dyDescent="0.3">
      <c r="A787" s="6">
        <v>44931</v>
      </c>
      <c r="B787">
        <v>470</v>
      </c>
      <c r="C787">
        <v>790</v>
      </c>
      <c r="D787">
        <v>900</v>
      </c>
      <c r="E787" s="74">
        <v>300</v>
      </c>
      <c r="F787" s="75">
        <v>9.0400000000000002E-8</v>
      </c>
      <c r="G787">
        <f t="shared" si="14"/>
        <v>-16.219021569548282</v>
      </c>
    </row>
    <row r="788" spans="1:7" ht="16.5" thickBot="1" x14ac:dyDescent="0.3">
      <c r="E788" s="74">
        <v>250</v>
      </c>
      <c r="F788" s="75">
        <v>8.3099999999999996E-8</v>
      </c>
      <c r="G788">
        <f t="shared" si="14"/>
        <v>-16.303221135085007</v>
      </c>
    </row>
    <row r="789" spans="1:7" ht="16.5" thickBot="1" x14ac:dyDescent="0.3">
      <c r="E789" s="74">
        <v>200</v>
      </c>
      <c r="F789" s="75">
        <v>7.4000000000000001E-8</v>
      </c>
      <c r="G789">
        <f t="shared" si="14"/>
        <v>-16.419200743742241</v>
      </c>
    </row>
    <row r="790" spans="1:7" ht="16.5" thickBot="1" x14ac:dyDescent="0.3">
      <c r="E790" s="74">
        <v>150</v>
      </c>
      <c r="F790" s="75">
        <v>6.3399999999999999E-8</v>
      </c>
      <c r="G790">
        <f t="shared" si="14"/>
        <v>-16.57380197550323</v>
      </c>
    </row>
    <row r="791" spans="1:7" ht="16.5" thickBot="1" x14ac:dyDescent="0.3">
      <c r="E791" s="74">
        <v>100</v>
      </c>
      <c r="F791" s="75">
        <v>5.2000000000000002E-8</v>
      </c>
      <c r="G791">
        <f t="shared" si="14"/>
        <v>-16.772022118364983</v>
      </c>
    </row>
    <row r="792" spans="1:7" ht="16.5" thickBot="1" x14ac:dyDescent="0.3">
      <c r="E792" s="74">
        <v>75</v>
      </c>
      <c r="F792" s="75">
        <v>4.5400000000000003E-8</v>
      </c>
      <c r="G792">
        <f t="shared" si="14"/>
        <v>-16.90775373189911</v>
      </c>
    </row>
    <row r="793" spans="1:7" ht="16.5" thickBot="1" x14ac:dyDescent="0.3">
      <c r="E793" s="74">
        <v>50</v>
      </c>
      <c r="F793" s="75">
        <v>3.7399999999999997E-8</v>
      </c>
      <c r="G793">
        <f t="shared" si="14"/>
        <v>-17.101595132525926</v>
      </c>
    </row>
    <row r="794" spans="1:7" ht="16.5" thickBot="1" x14ac:dyDescent="0.3">
      <c r="E794" s="74">
        <v>25</v>
      </c>
      <c r="F794" s="75">
        <v>2.8699999999999999E-8</v>
      </c>
      <c r="G794">
        <f t="shared" si="14"/>
        <v>-17.366368714180837</v>
      </c>
    </row>
    <row r="795" spans="1:7" ht="16.5" thickBot="1" x14ac:dyDescent="0.3">
      <c r="E795" s="74">
        <v>15</v>
      </c>
      <c r="F795" s="75">
        <v>2.4900000000000001E-8</v>
      </c>
      <c r="G795">
        <f t="shared" si="14"/>
        <v>-17.50839803347575</v>
      </c>
    </row>
    <row r="796" spans="1:7" ht="16.5" thickBot="1" x14ac:dyDescent="0.3">
      <c r="E796" s="74">
        <v>10</v>
      </c>
      <c r="F796" s="75">
        <v>2.29E-8</v>
      </c>
      <c r="G796">
        <f t="shared" si="14"/>
        <v>-17.592128926386216</v>
      </c>
    </row>
    <row r="797" spans="1:7" ht="16.5" thickBot="1" x14ac:dyDescent="0.3">
      <c r="E797" s="74">
        <v>5</v>
      </c>
      <c r="F797" s="75">
        <v>2.1299999999999999E-8</v>
      </c>
      <c r="G797">
        <f t="shared" si="14"/>
        <v>-17.664558764231032</v>
      </c>
    </row>
    <row r="798" spans="1:7" ht="16.5" thickBot="1" x14ac:dyDescent="0.3">
      <c r="E798" s="78">
        <v>0</v>
      </c>
      <c r="F798" s="75">
        <v>1.96E-8</v>
      </c>
      <c r="G798">
        <f t="shared" si="14"/>
        <v>-17.74773627070994</v>
      </c>
    </row>
    <row r="799" spans="1:7" x14ac:dyDescent="0.25">
      <c r="A799" s="6">
        <v>44938</v>
      </c>
      <c r="B799">
        <v>520</v>
      </c>
      <c r="C799">
        <v>790</v>
      </c>
      <c r="D799">
        <v>900</v>
      </c>
      <c r="E799" s="79">
        <v>300</v>
      </c>
      <c r="F799" s="3">
        <v>5.5599999999999995E-7</v>
      </c>
      <c r="G799">
        <f t="shared" si="14"/>
        <v>-14.402497542695828</v>
      </c>
    </row>
    <row r="800" spans="1:7" x14ac:dyDescent="0.25">
      <c r="E800" s="79">
        <v>250</v>
      </c>
      <c r="F800" s="3">
        <v>5.0200000000000002E-7</v>
      </c>
      <c r="G800" s="80">
        <f t="shared" si="14"/>
        <v>-14.504665717254682</v>
      </c>
    </row>
    <row r="801" spans="1:15" x14ac:dyDescent="0.25">
      <c r="E801" s="79">
        <v>200</v>
      </c>
      <c r="F801" s="3">
        <v>4.4299999999999998E-7</v>
      </c>
      <c r="G801" s="80">
        <f t="shared" si="14"/>
        <v>-14.629696066901275</v>
      </c>
    </row>
    <row r="802" spans="1:15" x14ac:dyDescent="0.25">
      <c r="E802" s="79">
        <v>150</v>
      </c>
      <c r="F802" s="3">
        <v>3.8000000000000001E-7</v>
      </c>
      <c r="G802" s="80">
        <f t="shared" si="14"/>
        <v>-14.78309458422598</v>
      </c>
    </row>
    <row r="803" spans="1:15" x14ac:dyDescent="0.25">
      <c r="E803" s="79">
        <v>100</v>
      </c>
      <c r="F803" s="3">
        <v>3.0699999999999998E-7</v>
      </c>
      <c r="G803" s="80">
        <f t="shared" si="14"/>
        <v>-14.996418089359214</v>
      </c>
    </row>
    <row r="804" spans="1:15" x14ac:dyDescent="0.25">
      <c r="E804" s="79">
        <v>50</v>
      </c>
      <c r="F804" s="3">
        <v>2.1799999999999999E-7</v>
      </c>
      <c r="G804" s="80">
        <f t="shared" si="14"/>
        <v>-15.338770774157322</v>
      </c>
    </row>
    <row r="805" spans="1:15" x14ac:dyDescent="0.25">
      <c r="E805" s="79">
        <v>0</v>
      </c>
      <c r="F805" s="3">
        <v>1.17E-7</v>
      </c>
      <c r="G805" s="80">
        <f t="shared" si="14"/>
        <v>-15.961091902148654</v>
      </c>
    </row>
    <row r="806" spans="1:15" x14ac:dyDescent="0.25">
      <c r="A806" s="6">
        <v>44580</v>
      </c>
      <c r="B806">
        <v>520</v>
      </c>
      <c r="C806">
        <v>790</v>
      </c>
      <c r="D806">
        <v>900</v>
      </c>
      <c r="E806" s="79">
        <v>300</v>
      </c>
      <c r="F806" s="3">
        <v>5.3300000000000002E-7</v>
      </c>
      <c r="G806" s="80">
        <f t="shared" si="14"/>
        <v>-14.444744412780567</v>
      </c>
    </row>
    <row r="807" spans="1:15" x14ac:dyDescent="0.25">
      <c r="E807" s="79">
        <v>250</v>
      </c>
      <c r="F807" s="3">
        <v>4.82E-7</v>
      </c>
      <c r="G807" s="80">
        <f t="shared" si="14"/>
        <v>-14.54532172289581</v>
      </c>
    </row>
    <row r="808" spans="1:15" x14ac:dyDescent="0.25">
      <c r="E808" s="79">
        <v>200</v>
      </c>
      <c r="F808" s="3">
        <v>4.2599999999999998E-7</v>
      </c>
      <c r="G808" s="80">
        <f t="shared" si="14"/>
        <v>-14.668826490677041</v>
      </c>
    </row>
    <row r="809" spans="1:15" x14ac:dyDescent="0.25">
      <c r="E809" s="79">
        <v>150</v>
      </c>
      <c r="F809" s="3">
        <v>3.6100000000000002E-7</v>
      </c>
      <c r="G809" s="80">
        <f t="shared" si="14"/>
        <v>-14.83438787861353</v>
      </c>
    </row>
    <row r="810" spans="1:15" x14ac:dyDescent="0.25">
      <c r="E810" s="79">
        <v>100</v>
      </c>
      <c r="F810" s="3">
        <v>2.9200000000000002E-7</v>
      </c>
      <c r="G810" s="80">
        <f t="shared" si="14"/>
        <v>-15.046512034678129</v>
      </c>
    </row>
    <row r="811" spans="1:15" x14ac:dyDescent="0.25">
      <c r="E811" s="79">
        <v>50</v>
      </c>
      <c r="F811" s="3">
        <v>2.0900000000000001E-7</v>
      </c>
      <c r="G811" s="80">
        <f t="shared" si="14"/>
        <v>-15.3809315849816</v>
      </c>
    </row>
    <row r="812" spans="1:15" x14ac:dyDescent="0.25">
      <c r="E812" s="79">
        <v>0</v>
      </c>
      <c r="F812" s="3">
        <v>1.09E-7</v>
      </c>
      <c r="G812" s="80">
        <f t="shared" si="14"/>
        <v>-16.031917954717269</v>
      </c>
    </row>
    <row r="813" spans="1:15" x14ac:dyDescent="0.25">
      <c r="A813" s="6">
        <v>44959</v>
      </c>
      <c r="B813">
        <v>520</v>
      </c>
      <c r="C813">
        <v>790</v>
      </c>
      <c r="D813">
        <v>900</v>
      </c>
      <c r="E813" s="83">
        <v>300</v>
      </c>
      <c r="F813" s="3">
        <v>5.0900000000000002E-7</v>
      </c>
      <c r="G813" s="80">
        <f t="shared" si="14"/>
        <v>-14.490817820395888</v>
      </c>
    </row>
    <row r="814" spans="1:15" x14ac:dyDescent="0.25">
      <c r="E814" s="83">
        <v>250</v>
      </c>
      <c r="F814" s="3">
        <v>4.6100000000000001E-7</v>
      </c>
      <c r="G814" s="80">
        <f t="shared" si="14"/>
        <v>-14.589867793949763</v>
      </c>
      <c r="N814" t="s">
        <v>193</v>
      </c>
      <c r="O814" s="68"/>
    </row>
    <row r="815" spans="1:15" x14ac:dyDescent="0.25">
      <c r="E815" s="83">
        <v>200</v>
      </c>
      <c r="F815" s="3">
        <v>4.08E-7</v>
      </c>
      <c r="G815" s="80">
        <f t="shared" si="14"/>
        <v>-14.71199866254225</v>
      </c>
      <c r="O815" s="68"/>
    </row>
    <row r="816" spans="1:15" x14ac:dyDescent="0.25">
      <c r="E816" s="83">
        <v>150</v>
      </c>
      <c r="F816" s="3">
        <v>3.4700000000000002E-7</v>
      </c>
      <c r="G816" s="80">
        <f t="shared" si="14"/>
        <v>-14.873941056999552</v>
      </c>
      <c r="O816" s="68"/>
    </row>
    <row r="817" spans="1:9" x14ac:dyDescent="0.25">
      <c r="E817" s="83">
        <v>100</v>
      </c>
      <c r="F817" s="3">
        <v>2.8299999999999998E-7</v>
      </c>
      <c r="G817" s="80">
        <f t="shared" si="14"/>
        <v>-15.077818939303173</v>
      </c>
    </row>
    <row r="818" spans="1:9" x14ac:dyDescent="0.25">
      <c r="E818" s="83">
        <v>50</v>
      </c>
      <c r="F818" s="3">
        <v>1.9999999999999999E-7</v>
      </c>
      <c r="G818" s="80">
        <f t="shared" si="14"/>
        <v>-15.424948470398375</v>
      </c>
    </row>
    <row r="819" spans="1:9" x14ac:dyDescent="0.25">
      <c r="E819" s="83">
        <v>0</v>
      </c>
      <c r="F819" s="3">
        <v>1.06E-7</v>
      </c>
      <c r="G819" s="80">
        <f t="shared" si="14"/>
        <v>-16.059826742834343</v>
      </c>
    </row>
    <row r="820" spans="1:9" x14ac:dyDescent="0.25">
      <c r="A820" s="6">
        <v>44978</v>
      </c>
      <c r="B820">
        <v>520</v>
      </c>
      <c r="C820">
        <v>790</v>
      </c>
      <c r="D820">
        <v>900</v>
      </c>
      <c r="E820" s="83">
        <v>300</v>
      </c>
      <c r="F820" s="3">
        <v>1.06E-6</v>
      </c>
      <c r="G820" s="80">
        <f t="shared" ref="G820:G894" si="15">LN(F820)</f>
        <v>-13.757241649840298</v>
      </c>
    </row>
    <row r="821" spans="1:9" x14ac:dyDescent="0.25">
      <c r="E821" s="83">
        <v>200</v>
      </c>
      <c r="F821" s="3">
        <v>8.4399999999999999E-7</v>
      </c>
      <c r="G821" s="80">
        <f t="shared" si="15"/>
        <v>-13.985113342350454</v>
      </c>
    </row>
    <row r="822" spans="1:9" x14ac:dyDescent="0.25">
      <c r="E822" s="83">
        <v>100</v>
      </c>
      <c r="F822" s="3">
        <v>5.6599999999999996E-7</v>
      </c>
      <c r="G822" s="80">
        <f t="shared" si="15"/>
        <v>-14.384671758743229</v>
      </c>
    </row>
    <row r="823" spans="1:9" x14ac:dyDescent="0.25">
      <c r="E823" s="83">
        <v>0</v>
      </c>
      <c r="F823" s="3">
        <v>2.1299999999999999E-7</v>
      </c>
      <c r="G823" s="80">
        <f t="shared" si="15"/>
        <v>-15.361973671236987</v>
      </c>
    </row>
    <row r="824" spans="1:9" x14ac:dyDescent="0.25">
      <c r="A824" s="6">
        <v>44986</v>
      </c>
      <c r="B824">
        <v>510</v>
      </c>
      <c r="C824">
        <v>790</v>
      </c>
      <c r="D824">
        <v>900</v>
      </c>
      <c r="E824" s="83">
        <v>300</v>
      </c>
      <c r="F824" s="3">
        <v>4.6899999999999998E-7</v>
      </c>
      <c r="G824" s="80">
        <f t="shared" si="15"/>
        <v>-14.572663068500132</v>
      </c>
      <c r="I824" t="s">
        <v>238</v>
      </c>
    </row>
    <row r="825" spans="1:9" x14ac:dyDescent="0.25">
      <c r="E825" s="83">
        <v>250</v>
      </c>
      <c r="F825" s="3">
        <v>4.2199999999999999E-7</v>
      </c>
      <c r="G825" s="80">
        <f t="shared" si="15"/>
        <v>-14.678260522910399</v>
      </c>
    </row>
    <row r="826" spans="1:9" x14ac:dyDescent="0.25">
      <c r="E826" s="83">
        <v>200</v>
      </c>
      <c r="F826" s="3">
        <v>3.7E-7</v>
      </c>
      <c r="G826" s="80">
        <f t="shared" si="15"/>
        <v>-14.809762831308142</v>
      </c>
    </row>
    <row r="827" spans="1:9" x14ac:dyDescent="0.25">
      <c r="E827" s="83">
        <v>150</v>
      </c>
      <c r="F827" s="3">
        <v>3.1199999999999999E-7</v>
      </c>
      <c r="G827" s="80">
        <f t="shared" si="15"/>
        <v>-14.980262649136929</v>
      </c>
    </row>
    <row r="828" spans="1:9" x14ac:dyDescent="0.25">
      <c r="E828" s="83">
        <v>100</v>
      </c>
      <c r="F828" s="3">
        <v>2.5199999999999998E-7</v>
      </c>
      <c r="G828" s="80">
        <f t="shared" si="15"/>
        <v>-15.193836749434988</v>
      </c>
    </row>
    <row r="829" spans="1:9" x14ac:dyDescent="0.25">
      <c r="E829" s="83">
        <v>50</v>
      </c>
      <c r="F829" s="3">
        <v>1.8E-7</v>
      </c>
      <c r="G829" s="80">
        <f t="shared" si="15"/>
        <v>-15.5303089860562</v>
      </c>
    </row>
    <row r="830" spans="1:9" x14ac:dyDescent="0.25">
      <c r="E830" s="83">
        <v>0</v>
      </c>
      <c r="F830" s="3">
        <v>1.11E-7</v>
      </c>
      <c r="G830" s="80">
        <f t="shared" si="15"/>
        <v>-16.013735635634077</v>
      </c>
    </row>
    <row r="831" spans="1:9" x14ac:dyDescent="0.25">
      <c r="A831" s="6">
        <v>44991</v>
      </c>
      <c r="B831">
        <v>510</v>
      </c>
      <c r="C831">
        <v>790</v>
      </c>
      <c r="D831">
        <v>900</v>
      </c>
      <c r="E831" s="83">
        <v>300</v>
      </c>
      <c r="F831" s="3">
        <v>4.6199999999999998E-7</v>
      </c>
      <c r="G831" s="80">
        <f t="shared" si="15"/>
        <v>-14.587700945864672</v>
      </c>
    </row>
    <row r="832" spans="1:9" x14ac:dyDescent="0.25">
      <c r="E832" s="83">
        <v>250</v>
      </c>
      <c r="F832" s="3">
        <v>4.15E-7</v>
      </c>
      <c r="G832" s="80">
        <f t="shared" si="15"/>
        <v>-14.694987316715713</v>
      </c>
    </row>
    <row r="833" spans="1:7" x14ac:dyDescent="0.25">
      <c r="E833" s="83">
        <v>200</v>
      </c>
      <c r="F833" s="3">
        <v>3.6399999999999998E-7</v>
      </c>
      <c r="G833" s="80">
        <f t="shared" si="15"/>
        <v>-14.82611196930967</v>
      </c>
    </row>
    <row r="834" spans="1:7" x14ac:dyDescent="0.25">
      <c r="E834" s="83">
        <v>150</v>
      </c>
      <c r="F834" s="3">
        <v>3.0699999999999998E-7</v>
      </c>
      <c r="G834" s="80">
        <f t="shared" si="15"/>
        <v>-14.996418089359214</v>
      </c>
    </row>
    <row r="835" spans="1:7" x14ac:dyDescent="0.25">
      <c r="E835" s="83">
        <v>100</v>
      </c>
      <c r="F835" s="3">
        <v>2.48E-7</v>
      </c>
      <c r="G835" s="80">
        <f t="shared" si="15"/>
        <v>-15.209837090781429</v>
      </c>
    </row>
    <row r="836" spans="1:7" x14ac:dyDescent="0.25">
      <c r="E836" s="83">
        <v>50</v>
      </c>
      <c r="F836" s="3">
        <v>1.7700000000000001E-7</v>
      </c>
      <c r="G836" s="80">
        <f t="shared" si="15"/>
        <v>-15.547116104372583</v>
      </c>
    </row>
    <row r="837" spans="1:7" x14ac:dyDescent="0.25">
      <c r="E837" s="83">
        <v>0</v>
      </c>
      <c r="F837" s="3">
        <v>9.3400000000000003E-8</v>
      </c>
      <c r="G837" s="80">
        <f t="shared" si="15"/>
        <v>-16.186374491711614</v>
      </c>
    </row>
    <row r="838" spans="1:7" x14ac:dyDescent="0.25">
      <c r="A838" s="6">
        <v>45000</v>
      </c>
      <c r="B838">
        <v>475</v>
      </c>
      <c r="C838">
        <v>790</v>
      </c>
      <c r="D838">
        <v>900</v>
      </c>
      <c r="E838" s="83">
        <v>300</v>
      </c>
      <c r="F838" s="3">
        <v>1.29E-7</v>
      </c>
      <c r="G838" s="80">
        <f t="shared" si="15"/>
        <v>-15.863453432584739</v>
      </c>
    </row>
    <row r="839" spans="1:7" x14ac:dyDescent="0.25">
      <c r="E839" s="83">
        <v>250</v>
      </c>
      <c r="F839" s="3">
        <v>1.18E-7</v>
      </c>
      <c r="G839" s="80">
        <f t="shared" si="15"/>
        <v>-15.952581212480746</v>
      </c>
    </row>
    <row r="840" spans="1:7" x14ac:dyDescent="0.25">
      <c r="E840" s="83">
        <v>200</v>
      </c>
      <c r="F840" s="3">
        <v>1.03E-7</v>
      </c>
      <c r="G840" s="80">
        <f t="shared" si="15"/>
        <v>-16.088536848716775</v>
      </c>
    </row>
    <row r="841" spans="1:7" x14ac:dyDescent="0.25">
      <c r="E841" s="83">
        <v>150</v>
      </c>
      <c r="F841" s="3">
        <v>8.8500000000000005E-8</v>
      </c>
      <c r="G841" s="80">
        <f t="shared" si="15"/>
        <v>-16.240263284932528</v>
      </c>
    </row>
    <row r="842" spans="1:7" x14ac:dyDescent="0.25">
      <c r="E842" s="83">
        <v>100</v>
      </c>
      <c r="F842" s="3">
        <v>7.1099999999999995E-8</v>
      </c>
      <c r="G842" s="80">
        <f t="shared" si="15"/>
        <v>-16.459178500137217</v>
      </c>
    </row>
    <row r="843" spans="1:7" x14ac:dyDescent="0.25">
      <c r="E843" s="83">
        <v>50</v>
      </c>
      <c r="F843" s="3">
        <v>5.03E-8</v>
      </c>
      <c r="G843" s="80">
        <f t="shared" si="15"/>
        <v>-16.805260759840717</v>
      </c>
    </row>
    <row r="844" spans="1:7" x14ac:dyDescent="0.25">
      <c r="E844" s="83">
        <v>0</v>
      </c>
      <c r="F844" s="3">
        <v>2.7100000000000001E-8</v>
      </c>
      <c r="G844" s="80">
        <f t="shared" si="15"/>
        <v>-17.423732109060754</v>
      </c>
    </row>
    <row r="845" spans="1:7" x14ac:dyDescent="0.25">
      <c r="B845">
        <v>510</v>
      </c>
      <c r="C845">
        <v>790</v>
      </c>
      <c r="D845">
        <v>900</v>
      </c>
      <c r="E845" s="83">
        <v>300</v>
      </c>
      <c r="F845" s="3">
        <v>4.5499999999999998E-7</v>
      </c>
      <c r="G845" s="80">
        <f t="shared" si="15"/>
        <v>-14.602968417995461</v>
      </c>
    </row>
    <row r="846" spans="1:7" x14ac:dyDescent="0.25">
      <c r="E846" s="83">
        <v>250</v>
      </c>
      <c r="F846" s="3">
        <v>4.0499999999999999E-7</v>
      </c>
      <c r="G846" s="80">
        <f t="shared" si="15"/>
        <v>-14.719378769839873</v>
      </c>
    </row>
    <row r="847" spans="1:7" x14ac:dyDescent="0.25">
      <c r="E847" s="83">
        <v>200</v>
      </c>
      <c r="F847" s="3">
        <v>3.5400000000000002E-7</v>
      </c>
      <c r="G847" s="80">
        <f t="shared" si="15"/>
        <v>-14.853968923812637</v>
      </c>
    </row>
    <row r="848" spans="1:7" x14ac:dyDescent="0.25">
      <c r="E848" s="83">
        <v>150</v>
      </c>
      <c r="F848" s="3">
        <v>3.0100000000000001E-7</v>
      </c>
      <c r="G848" s="80">
        <f t="shared" si="15"/>
        <v>-15.016155572197535</v>
      </c>
    </row>
    <row r="849" spans="1:24" x14ac:dyDescent="0.25">
      <c r="E849" s="83">
        <v>100</v>
      </c>
      <c r="F849" s="3">
        <v>2.4200000000000002E-7</v>
      </c>
      <c r="G849" s="80">
        <f t="shared" si="15"/>
        <v>-15.234328110789725</v>
      </c>
    </row>
    <row r="850" spans="1:24" x14ac:dyDescent="0.25">
      <c r="E850" s="83">
        <v>50</v>
      </c>
      <c r="F850" s="3">
        <v>1.6899999999999999E-7</v>
      </c>
      <c r="G850" s="80">
        <f t="shared" si="15"/>
        <v>-15.593367122023338</v>
      </c>
      <c r="I850">
        <v>475</v>
      </c>
      <c r="J850" t="s">
        <v>187</v>
      </c>
      <c r="M850" s="49" t="s">
        <v>186</v>
      </c>
      <c r="N850" s="49">
        <v>50</v>
      </c>
      <c r="T850" t="s">
        <v>187</v>
      </c>
      <c r="W850" s="49" t="s">
        <v>186</v>
      </c>
      <c r="X850" s="49">
        <v>90</v>
      </c>
    </row>
    <row r="851" spans="1:24" x14ac:dyDescent="0.25">
      <c r="E851" s="83">
        <v>0</v>
      </c>
      <c r="F851" s="3">
        <v>8.9500000000000001E-8</v>
      </c>
      <c r="G851" s="80">
        <f t="shared" si="15"/>
        <v>-16.229027211665603</v>
      </c>
      <c r="J851" s="62" t="s">
        <v>38</v>
      </c>
      <c r="K851" s="62" t="s">
        <v>39</v>
      </c>
      <c r="L851" s="62" t="s">
        <v>40</v>
      </c>
      <c r="M851" s="63" t="s">
        <v>41</v>
      </c>
      <c r="N851" s="81">
        <f>J852*N850^3+K852*N850^2+L852*N850+M852</f>
        <v>4.8749500000000003E-8</v>
      </c>
      <c r="T851" s="62" t="s">
        <v>38</v>
      </c>
      <c r="U851" s="62" t="s">
        <v>39</v>
      </c>
      <c r="V851" s="62" t="s">
        <v>40</v>
      </c>
      <c r="W851" s="63" t="s">
        <v>41</v>
      </c>
      <c r="X851" s="81">
        <f>T852*X850^3+U852*X850^2+V852*X850+W852</f>
        <v>2.2340522000000001E-7</v>
      </c>
    </row>
    <row r="852" spans="1:24" x14ac:dyDescent="0.25">
      <c r="A852" s="6">
        <v>45006</v>
      </c>
      <c r="B852">
        <v>475</v>
      </c>
      <c r="C852">
        <v>790</v>
      </c>
      <c r="D852">
        <v>900</v>
      </c>
      <c r="E852" s="83">
        <v>300</v>
      </c>
      <c r="F852" s="3">
        <v>1.29E-7</v>
      </c>
      <c r="G852" s="80">
        <f t="shared" si="15"/>
        <v>-15.863453432584739</v>
      </c>
      <c r="J852" s="64">
        <v>9.5599999999999995E-16</v>
      </c>
      <c r="K852" s="64">
        <v>-8.4800000000000002E-13</v>
      </c>
      <c r="L852" s="64">
        <v>4.9900000000000003E-10</v>
      </c>
      <c r="M852" s="64">
        <v>2.5799999999999999E-8</v>
      </c>
      <c r="N852" s="68"/>
      <c r="T852" s="64">
        <v>3.18E-15</v>
      </c>
      <c r="U852" s="64">
        <v>-2.7299999999999999E-12</v>
      </c>
      <c r="V852" s="64">
        <v>1.7200000000000001E-9</v>
      </c>
      <c r="W852" s="64">
        <v>8.8399999999999997E-8</v>
      </c>
      <c r="X852" s="68"/>
    </row>
    <row r="853" spans="1:24" x14ac:dyDescent="0.25">
      <c r="E853" s="83">
        <v>250</v>
      </c>
      <c r="F853" s="3">
        <v>1.17E-7</v>
      </c>
      <c r="G853" s="80">
        <f t="shared" si="15"/>
        <v>-15.961091902148654</v>
      </c>
    </row>
    <row r="854" spans="1:24" x14ac:dyDescent="0.25">
      <c r="E854" s="83">
        <v>200</v>
      </c>
      <c r="F854" s="3">
        <v>1.04E-7</v>
      </c>
      <c r="G854" s="80">
        <f t="shared" si="15"/>
        <v>-16.07887493780504</v>
      </c>
    </row>
    <row r="855" spans="1:24" x14ac:dyDescent="0.25">
      <c r="E855" s="83">
        <v>150</v>
      </c>
      <c r="F855" s="3">
        <v>8.8599999999999999E-8</v>
      </c>
      <c r="G855" s="80">
        <f t="shared" si="15"/>
        <v>-16.239133979335374</v>
      </c>
    </row>
    <row r="856" spans="1:24" x14ac:dyDescent="0.25">
      <c r="E856" s="83">
        <v>100</v>
      </c>
      <c r="F856" s="3">
        <v>7.1200000000000002E-8</v>
      </c>
      <c r="G856" s="80">
        <f t="shared" si="15"/>
        <v>-16.457773018528481</v>
      </c>
    </row>
    <row r="857" spans="1:24" x14ac:dyDescent="0.25">
      <c r="E857" s="83">
        <v>50</v>
      </c>
      <c r="F857" s="3">
        <v>5.0600000000000003E-8</v>
      </c>
      <c r="G857" s="80">
        <f t="shared" si="15"/>
        <v>-16.799314260652991</v>
      </c>
    </row>
    <row r="858" spans="1:24" x14ac:dyDescent="0.25">
      <c r="E858" s="83">
        <v>0</v>
      </c>
      <c r="F858" s="3">
        <v>2.7100000000000001E-8</v>
      </c>
      <c r="G858" s="80">
        <f t="shared" si="15"/>
        <v>-17.423732109060754</v>
      </c>
    </row>
    <row r="859" spans="1:24" x14ac:dyDescent="0.25">
      <c r="B859">
        <v>510</v>
      </c>
      <c r="C859">
        <v>790</v>
      </c>
      <c r="D859">
        <v>900</v>
      </c>
      <c r="E859" s="83">
        <v>300</v>
      </c>
      <c r="F859" s="3">
        <v>4.4499999999999997E-7</v>
      </c>
      <c r="G859" s="80">
        <f t="shared" si="15"/>
        <v>-14.625191554780171</v>
      </c>
    </row>
    <row r="860" spans="1:24" x14ac:dyDescent="0.25">
      <c r="E860" s="83">
        <v>250</v>
      </c>
      <c r="F860" s="3">
        <v>3.9900000000000001E-7</v>
      </c>
      <c r="G860" s="80">
        <f t="shared" si="15"/>
        <v>-14.734304420056548</v>
      </c>
    </row>
    <row r="861" spans="1:24" x14ac:dyDescent="0.25">
      <c r="E861" s="83">
        <v>200</v>
      </c>
      <c r="F861" s="3">
        <v>3.4799999999999999E-7</v>
      </c>
      <c r="G861" s="80">
        <f t="shared" si="15"/>
        <v>-14.871063357171938</v>
      </c>
    </row>
    <row r="862" spans="1:24" x14ac:dyDescent="0.25">
      <c r="E862" s="83">
        <v>150</v>
      </c>
      <c r="F862" s="3">
        <v>2.96E-7</v>
      </c>
      <c r="G862" s="80">
        <f t="shared" si="15"/>
        <v>-15.03290638262235</v>
      </c>
    </row>
    <row r="863" spans="1:24" x14ac:dyDescent="0.25">
      <c r="E863" s="83">
        <v>100</v>
      </c>
      <c r="F863" s="3">
        <v>2.3799999999999999E-7</v>
      </c>
      <c r="G863" s="80">
        <f t="shared" si="15"/>
        <v>-15.250995163274936</v>
      </c>
    </row>
    <row r="864" spans="1:24" x14ac:dyDescent="0.25">
      <c r="E864" s="83">
        <v>50</v>
      </c>
      <c r="F864" s="3">
        <v>1.67E-7</v>
      </c>
      <c r="G864" s="80">
        <f t="shared" si="15"/>
        <v>-15.605272024529656</v>
      </c>
    </row>
    <row r="865" spans="1:9" x14ac:dyDescent="0.25">
      <c r="E865" s="83">
        <v>0</v>
      </c>
      <c r="F865" s="3">
        <v>8.8699999999999994E-8</v>
      </c>
      <c r="G865" s="80">
        <f t="shared" si="15"/>
        <v>-16.238005947630878</v>
      </c>
    </row>
    <row r="866" spans="1:9" x14ac:dyDescent="0.25">
      <c r="A866" s="6">
        <v>45012</v>
      </c>
      <c r="B866">
        <v>475</v>
      </c>
      <c r="C866">
        <v>790</v>
      </c>
      <c r="D866">
        <v>900</v>
      </c>
      <c r="E866" s="83">
        <v>300</v>
      </c>
      <c r="F866" s="3">
        <v>1.2499999999999999E-7</v>
      </c>
      <c r="G866" s="80">
        <f t="shared" si="15"/>
        <v>-15.89495209964411</v>
      </c>
    </row>
    <row r="867" spans="1:9" x14ac:dyDescent="0.25">
      <c r="E867" s="83">
        <v>250</v>
      </c>
      <c r="F867" s="3">
        <v>1.12E-7</v>
      </c>
      <c r="G867" s="80">
        <f t="shared" si="15"/>
        <v>-16.004766965651317</v>
      </c>
    </row>
    <row r="868" spans="1:9" x14ac:dyDescent="0.25">
      <c r="E868" s="83">
        <v>200</v>
      </c>
      <c r="F868" s="3">
        <v>9.9600000000000005E-8</v>
      </c>
      <c r="G868" s="80">
        <f t="shared" si="15"/>
        <v>-16.122103672355859</v>
      </c>
    </row>
    <row r="869" spans="1:9" x14ac:dyDescent="0.25">
      <c r="E869" s="83">
        <v>150</v>
      </c>
      <c r="F869" s="3">
        <v>8.4499999999999996E-8</v>
      </c>
      <c r="G869" s="80">
        <f t="shared" si="15"/>
        <v>-16.286514302583281</v>
      </c>
    </row>
    <row r="870" spans="1:9" x14ac:dyDescent="0.25">
      <c r="E870" s="83">
        <v>100</v>
      </c>
      <c r="F870" s="3">
        <v>6.8499999999999998E-8</v>
      </c>
      <c r="G870" s="80">
        <f t="shared" si="15"/>
        <v>-16.49643209167823</v>
      </c>
    </row>
    <row r="871" spans="1:9" x14ac:dyDescent="0.25">
      <c r="E871" s="83">
        <v>50</v>
      </c>
      <c r="F871" s="3">
        <v>4.8300000000000002E-8</v>
      </c>
      <c r="G871" s="80">
        <f t="shared" si="15"/>
        <v>-16.845834276287885</v>
      </c>
    </row>
    <row r="872" spans="1:9" x14ac:dyDescent="0.25">
      <c r="E872" s="83">
        <v>0</v>
      </c>
      <c r="F872" s="3">
        <v>2.59E-8</v>
      </c>
      <c r="G872" s="80">
        <f t="shared" si="15"/>
        <v>-17.46902286824092</v>
      </c>
    </row>
    <row r="873" spans="1:9" x14ac:dyDescent="0.25">
      <c r="A873" s="49" t="s">
        <v>245</v>
      </c>
      <c r="B873" s="49"/>
      <c r="C873" s="49"/>
      <c r="D873" s="49"/>
      <c r="E873" s="49"/>
      <c r="F873" s="49"/>
      <c r="G873" s="89"/>
      <c r="H873" s="49"/>
      <c r="I873" s="49" t="s">
        <v>245</v>
      </c>
    </row>
    <row r="874" spans="1:9" x14ac:dyDescent="0.25">
      <c r="A874" s="6">
        <v>45048</v>
      </c>
      <c r="B874">
        <v>510</v>
      </c>
      <c r="C874">
        <v>790</v>
      </c>
      <c r="D874">
        <v>900</v>
      </c>
      <c r="E874" s="83">
        <v>300</v>
      </c>
      <c r="F874" s="3">
        <v>7.0100000000000004E-7</v>
      </c>
      <c r="G874" s="80">
        <f t="shared" si="15"/>
        <v>-14.17075794991182</v>
      </c>
    </row>
    <row r="875" spans="1:9" x14ac:dyDescent="0.25">
      <c r="E875" s="83">
        <v>250</v>
      </c>
      <c r="F875" s="3">
        <v>6.3300000000000002E-7</v>
      </c>
      <c r="G875" s="80">
        <f t="shared" si="15"/>
        <v>-14.272795414802236</v>
      </c>
    </row>
    <row r="876" spans="1:9" x14ac:dyDescent="0.25">
      <c r="E876" s="83">
        <v>200</v>
      </c>
      <c r="F876" s="3">
        <v>5.5000000000000003E-7</v>
      </c>
      <c r="G876" s="80">
        <f t="shared" si="15"/>
        <v>-14.413347558719895</v>
      </c>
    </row>
    <row r="877" spans="1:9" x14ac:dyDescent="0.25">
      <c r="E877" s="83">
        <v>150</v>
      </c>
      <c r="F877" s="3">
        <v>4.6600000000000002E-7</v>
      </c>
      <c r="G877" s="80">
        <f t="shared" si="15"/>
        <v>-14.579080202820766</v>
      </c>
    </row>
    <row r="878" spans="1:9" x14ac:dyDescent="0.25">
      <c r="E878" s="83">
        <v>100</v>
      </c>
      <c r="F878" s="3">
        <v>3.7899999999999999E-7</v>
      </c>
      <c r="G878" s="80">
        <f t="shared" si="15"/>
        <v>-14.785729631863985</v>
      </c>
    </row>
    <row r="879" spans="1:9" x14ac:dyDescent="0.25">
      <c r="E879" s="83">
        <v>50</v>
      </c>
      <c r="F879" s="3">
        <v>2.65E-7</v>
      </c>
      <c r="G879" s="80">
        <f t="shared" si="15"/>
        <v>-15.143536010960188</v>
      </c>
    </row>
    <row r="880" spans="1:9" x14ac:dyDescent="0.25">
      <c r="E880" s="83">
        <v>0</v>
      </c>
      <c r="F880" s="3">
        <v>1.4100000000000001E-7</v>
      </c>
      <c r="G880" s="80">
        <f t="shared" si="15"/>
        <v>-15.774505946568242</v>
      </c>
    </row>
    <row r="881" spans="1:7" x14ac:dyDescent="0.25">
      <c r="A881" s="6">
        <v>45062</v>
      </c>
      <c r="B881">
        <v>500</v>
      </c>
      <c r="C881">
        <v>790</v>
      </c>
      <c r="D881">
        <v>900</v>
      </c>
      <c r="E881" s="83">
        <v>300</v>
      </c>
      <c r="F881" s="3">
        <v>5.1900000000000003E-7</v>
      </c>
      <c r="G881" s="80">
        <f t="shared" si="15"/>
        <v>-14.471361953780523</v>
      </c>
    </row>
    <row r="882" spans="1:7" x14ac:dyDescent="0.25">
      <c r="E882" s="83">
        <v>250</v>
      </c>
      <c r="F882" s="3">
        <v>4.6699999999999999E-7</v>
      </c>
      <c r="G882" s="80">
        <f t="shared" si="15"/>
        <v>-14.576936579277515</v>
      </c>
    </row>
    <row r="883" spans="1:7" x14ac:dyDescent="0.25">
      <c r="E883" s="83">
        <v>200</v>
      </c>
      <c r="F883" s="3">
        <v>4.08E-7</v>
      </c>
      <c r="G883" s="80">
        <f t="shared" si="15"/>
        <v>-14.71199866254225</v>
      </c>
    </row>
    <row r="884" spans="1:7" x14ac:dyDescent="0.25">
      <c r="E884" s="83">
        <v>150</v>
      </c>
      <c r="F884" s="3">
        <v>3.46E-7</v>
      </c>
      <c r="G884" s="80">
        <f t="shared" si="15"/>
        <v>-14.876827061888687</v>
      </c>
    </row>
    <row r="885" spans="1:7" x14ac:dyDescent="0.25">
      <c r="E885" s="83">
        <v>100</v>
      </c>
      <c r="F885" s="3">
        <v>2.84E-7</v>
      </c>
      <c r="G885" s="80">
        <f t="shared" si="15"/>
        <v>-15.074291598785205</v>
      </c>
    </row>
    <row r="886" spans="1:7" x14ac:dyDescent="0.25">
      <c r="E886" s="83">
        <v>50</v>
      </c>
      <c r="F886" s="3">
        <v>1.98E-7</v>
      </c>
      <c r="G886" s="80">
        <f t="shared" si="15"/>
        <v>-15.434998806251876</v>
      </c>
    </row>
    <row r="887" spans="1:7" x14ac:dyDescent="0.25">
      <c r="E887" s="83">
        <v>0</v>
      </c>
      <c r="F887" s="3">
        <v>1.1000000000000001E-7</v>
      </c>
      <c r="G887" s="80">
        <f t="shared" si="15"/>
        <v>-16.022785471153995</v>
      </c>
    </row>
    <row r="888" spans="1:7" x14ac:dyDescent="0.25">
      <c r="A888" s="6">
        <v>45069</v>
      </c>
      <c r="B888">
        <v>500</v>
      </c>
      <c r="C888">
        <v>790</v>
      </c>
      <c r="D888">
        <v>900</v>
      </c>
      <c r="E888" s="83">
        <v>300</v>
      </c>
      <c r="F888" s="3">
        <v>5.1600000000000001E-7</v>
      </c>
      <c r="G888" s="80">
        <f t="shared" si="15"/>
        <v>-14.477159071464849</v>
      </c>
    </row>
    <row r="889" spans="1:7" x14ac:dyDescent="0.25">
      <c r="E889" s="83">
        <v>250</v>
      </c>
      <c r="F889" s="3">
        <v>4.6199999999999998E-7</v>
      </c>
      <c r="G889" s="80">
        <f t="shared" si="15"/>
        <v>-14.587700945864672</v>
      </c>
    </row>
    <row r="890" spans="1:7" x14ac:dyDescent="0.25">
      <c r="E890" s="83">
        <v>200</v>
      </c>
      <c r="F890" s="3">
        <v>4.0900000000000002E-7</v>
      </c>
      <c r="G890" s="80">
        <f t="shared" si="15"/>
        <v>-14.709550680903609</v>
      </c>
    </row>
    <row r="891" spans="1:7" x14ac:dyDescent="0.25">
      <c r="E891" s="83">
        <v>150</v>
      </c>
      <c r="F891" s="3">
        <v>3.4900000000000001E-7</v>
      </c>
      <c r="G891" s="80">
        <f t="shared" si="15"/>
        <v>-14.868193914743983</v>
      </c>
    </row>
    <row r="892" spans="1:7" x14ac:dyDescent="0.25">
      <c r="E892" s="83">
        <v>100</v>
      </c>
      <c r="F892" s="3">
        <v>2.8500000000000002E-7</v>
      </c>
      <c r="G892" s="80">
        <f t="shared" si="15"/>
        <v>-15.07077665667776</v>
      </c>
    </row>
    <row r="893" spans="1:7" x14ac:dyDescent="0.25">
      <c r="E893" s="83">
        <v>50</v>
      </c>
      <c r="F893" s="3">
        <v>2.0100000000000001E-7</v>
      </c>
      <c r="G893" s="80">
        <f t="shared" si="15"/>
        <v>-15.419960928887335</v>
      </c>
    </row>
    <row r="894" spans="1:7" x14ac:dyDescent="0.25">
      <c r="E894" s="83">
        <v>0</v>
      </c>
      <c r="F894" s="3">
        <v>1.0700000000000001E-7</v>
      </c>
      <c r="G894" s="80">
        <f t="shared" si="15"/>
        <v>-16.050437002484504</v>
      </c>
    </row>
    <row r="895" spans="1:7" x14ac:dyDescent="0.25">
      <c r="A895" s="6">
        <v>45089</v>
      </c>
      <c r="B895">
        <v>500</v>
      </c>
      <c r="C895">
        <v>790</v>
      </c>
      <c r="D895">
        <v>900</v>
      </c>
      <c r="E895" s="83">
        <v>300</v>
      </c>
      <c r="F895" s="3">
        <v>5.0200000000000002E-7</v>
      </c>
      <c r="G895" s="80">
        <f t="shared" ref="G895:G929" si="16">LN(F895)</f>
        <v>-14.504665717254682</v>
      </c>
    </row>
    <row r="896" spans="1:7" x14ac:dyDescent="0.25">
      <c r="E896" s="83">
        <v>250</v>
      </c>
      <c r="F896" s="3">
        <v>4.51E-7</v>
      </c>
      <c r="G896" s="80">
        <f t="shared" si="16"/>
        <v>-14.611798497443733</v>
      </c>
    </row>
    <row r="897" spans="1:22" x14ac:dyDescent="0.25">
      <c r="E897" s="83">
        <v>200</v>
      </c>
      <c r="F897" s="3">
        <v>3.9799999999999999E-7</v>
      </c>
      <c r="G897" s="80">
        <f t="shared" si="16"/>
        <v>-14.736813831661973</v>
      </c>
    </row>
    <row r="898" spans="1:22" x14ac:dyDescent="0.25">
      <c r="E898" s="83">
        <v>150</v>
      </c>
      <c r="F898" s="3">
        <v>3.4400000000000001E-7</v>
      </c>
      <c r="G898" s="80">
        <f t="shared" si="16"/>
        <v>-14.882624179573012</v>
      </c>
    </row>
    <row r="899" spans="1:22" x14ac:dyDescent="0.25">
      <c r="E899" s="83">
        <v>100</v>
      </c>
      <c r="F899" s="3">
        <v>2.79E-7</v>
      </c>
      <c r="G899" s="80">
        <f t="shared" si="16"/>
        <v>-15.092054055125045</v>
      </c>
    </row>
    <row r="900" spans="1:22" x14ac:dyDescent="0.25">
      <c r="E900" s="83">
        <v>50</v>
      </c>
      <c r="F900" s="3">
        <v>2.0200000000000001E-7</v>
      </c>
      <c r="G900" s="80">
        <f t="shared" si="16"/>
        <v>-15.414998139545206</v>
      </c>
    </row>
    <row r="901" spans="1:22" x14ac:dyDescent="0.25">
      <c r="E901" s="83">
        <v>0</v>
      </c>
      <c r="F901" s="3">
        <v>1.11E-7</v>
      </c>
      <c r="G901" s="80">
        <f t="shared" si="16"/>
        <v>-16.013735635634077</v>
      </c>
    </row>
    <row r="902" spans="1:22" x14ac:dyDescent="0.25">
      <c r="A902" s="6">
        <v>45090</v>
      </c>
      <c r="B902">
        <v>535</v>
      </c>
      <c r="C902">
        <v>790</v>
      </c>
      <c r="D902">
        <v>900</v>
      </c>
      <c r="E902" s="83">
        <v>300</v>
      </c>
      <c r="F902" s="3">
        <v>1.5200000000000001E-6</v>
      </c>
      <c r="G902" s="80">
        <f t="shared" si="16"/>
        <v>-13.396800223106089</v>
      </c>
    </row>
    <row r="903" spans="1:22" x14ac:dyDescent="0.25">
      <c r="E903" s="83">
        <v>250</v>
      </c>
      <c r="F903" s="3">
        <v>1.37E-6</v>
      </c>
      <c r="G903" s="80">
        <f t="shared" si="16"/>
        <v>-13.500699818124241</v>
      </c>
    </row>
    <row r="904" spans="1:22" x14ac:dyDescent="0.25">
      <c r="E904" s="83">
        <v>200</v>
      </c>
      <c r="F904" s="3">
        <v>1.22E-6</v>
      </c>
      <c r="G904" s="80">
        <f t="shared" si="16"/>
        <v>-13.61665969921911</v>
      </c>
      <c r="R904" t="s">
        <v>187</v>
      </c>
      <c r="U904" s="49" t="s">
        <v>186</v>
      </c>
      <c r="V904" s="49">
        <v>10</v>
      </c>
    </row>
    <row r="905" spans="1:22" x14ac:dyDescent="0.25">
      <c r="E905" s="83">
        <v>150</v>
      </c>
      <c r="F905" s="3">
        <v>1.04E-6</v>
      </c>
      <c r="G905" s="80">
        <f t="shared" si="16"/>
        <v>-13.776289844810993</v>
      </c>
      <c r="R905" s="62" t="s">
        <v>38</v>
      </c>
      <c r="S905" s="62" t="s">
        <v>39</v>
      </c>
      <c r="T905" s="62" t="s">
        <v>40</v>
      </c>
      <c r="U905" s="63" t="s">
        <v>41</v>
      </c>
      <c r="V905" s="81">
        <f>R906*V904^3+S906*V904^2+T906*V904+U906</f>
        <v>3.9515978E-7</v>
      </c>
    </row>
    <row r="906" spans="1:22" x14ac:dyDescent="0.25">
      <c r="E906" s="83">
        <v>100</v>
      </c>
      <c r="F906" s="3">
        <v>8.4900000000000005E-7</v>
      </c>
      <c r="G906" s="80">
        <f t="shared" si="16"/>
        <v>-13.979206650635064</v>
      </c>
      <c r="R906" s="64">
        <v>9.7800000000000004E-15</v>
      </c>
      <c r="S906" s="64">
        <v>-9.4999999999999995E-12</v>
      </c>
      <c r="T906" s="64">
        <v>5.9099999999999997E-9</v>
      </c>
      <c r="U906" s="64">
        <v>3.3700000000000001E-7</v>
      </c>
      <c r="V906" s="68"/>
    </row>
    <row r="907" spans="1:22" x14ac:dyDescent="0.25">
      <c r="E907" s="83">
        <v>50</v>
      </c>
      <c r="F907" s="3">
        <v>6.0399999999999996E-7</v>
      </c>
      <c r="G907" s="80">
        <f t="shared" si="16"/>
        <v>-14.319691639011596</v>
      </c>
    </row>
    <row r="908" spans="1:22" x14ac:dyDescent="0.25">
      <c r="E908" s="83">
        <v>0</v>
      </c>
      <c r="F908" s="3">
        <v>3.39E-7</v>
      </c>
      <c r="G908" s="80">
        <f t="shared" si="16"/>
        <v>-14.897265729565961</v>
      </c>
    </row>
    <row r="909" spans="1:22" x14ac:dyDescent="0.25">
      <c r="A909" s="6">
        <v>45092</v>
      </c>
      <c r="B909">
        <v>527</v>
      </c>
      <c r="C909">
        <v>790</v>
      </c>
      <c r="D909">
        <v>900</v>
      </c>
      <c r="E909" s="83">
        <v>300</v>
      </c>
      <c r="F909" s="3">
        <v>1.1599999999999999E-6</v>
      </c>
      <c r="G909" s="80">
        <f t="shared" si="16"/>
        <v>-13.667090552846</v>
      </c>
    </row>
    <row r="910" spans="1:22" x14ac:dyDescent="0.25">
      <c r="E910" s="83">
        <v>250</v>
      </c>
      <c r="F910" s="3">
        <v>1.04E-6</v>
      </c>
      <c r="G910" s="80">
        <f t="shared" si="16"/>
        <v>-13.776289844810993</v>
      </c>
    </row>
    <row r="911" spans="1:22" x14ac:dyDescent="0.25">
      <c r="E911" s="83">
        <v>200</v>
      </c>
      <c r="F911" s="3">
        <v>9.1399999999999995E-7</v>
      </c>
      <c r="G911" s="80">
        <f t="shared" si="16"/>
        <v>-13.905435265492262</v>
      </c>
    </row>
    <row r="912" spans="1:22" x14ac:dyDescent="0.25">
      <c r="E912" s="83">
        <v>150</v>
      </c>
      <c r="F912" s="3">
        <v>7.7499999999999999E-7</v>
      </c>
      <c r="G912" s="80">
        <f t="shared" si="16"/>
        <v>-14.070402807593064</v>
      </c>
    </row>
    <row r="913" spans="1:15" x14ac:dyDescent="0.25">
      <c r="E913" s="83">
        <v>100</v>
      </c>
      <c r="F913" s="3">
        <v>6.4499999999999997E-7</v>
      </c>
      <c r="G913" s="80">
        <f t="shared" si="16"/>
        <v>-14.254015520150638</v>
      </c>
    </row>
    <row r="914" spans="1:15" x14ac:dyDescent="0.25">
      <c r="E914" s="83">
        <v>50</v>
      </c>
      <c r="F914" s="3">
        <v>4.5600000000000001E-7</v>
      </c>
      <c r="G914" s="80">
        <f t="shared" si="16"/>
        <v>-14.600773027432025</v>
      </c>
    </row>
    <row r="915" spans="1:15" x14ac:dyDescent="0.25">
      <c r="E915" s="83">
        <v>0</v>
      </c>
      <c r="F915" s="3">
        <v>2.4499999999999998E-7</v>
      </c>
      <c r="G915" s="80">
        <f t="shared" si="16"/>
        <v>-15.222007626401684</v>
      </c>
    </row>
    <row r="916" spans="1:15" x14ac:dyDescent="0.25">
      <c r="A916" s="6">
        <v>45118</v>
      </c>
      <c r="B916">
        <v>500</v>
      </c>
      <c r="C916">
        <v>790</v>
      </c>
      <c r="D916">
        <v>900</v>
      </c>
      <c r="E916" s="83">
        <v>300</v>
      </c>
      <c r="F916" s="3">
        <v>4.6199999999999998E-7</v>
      </c>
      <c r="G916" s="80">
        <f t="shared" si="16"/>
        <v>-14.587700945864672</v>
      </c>
    </row>
    <row r="917" spans="1:15" x14ac:dyDescent="0.25">
      <c r="E917" s="83">
        <v>250</v>
      </c>
      <c r="F917" s="3">
        <v>4.1399999999999997E-7</v>
      </c>
      <c r="G917" s="80">
        <f t="shared" si="16"/>
        <v>-14.697399863121097</v>
      </c>
    </row>
    <row r="918" spans="1:15" x14ac:dyDescent="0.25">
      <c r="E918" s="83">
        <v>200</v>
      </c>
      <c r="F918" s="3">
        <v>3.6699999999999999E-7</v>
      </c>
      <c r="G918" s="80">
        <f t="shared" si="16"/>
        <v>-14.817903988891841</v>
      </c>
    </row>
    <row r="919" spans="1:15" x14ac:dyDescent="0.25">
      <c r="E919" s="83">
        <v>150</v>
      </c>
      <c r="F919" s="3">
        <v>3.1399999999999998E-7</v>
      </c>
      <c r="G919" s="80">
        <f t="shared" si="16"/>
        <v>-14.973872851038157</v>
      </c>
    </row>
    <row r="920" spans="1:15" x14ac:dyDescent="0.25">
      <c r="E920" s="83">
        <v>100</v>
      </c>
      <c r="F920" s="3">
        <v>2.5499999999999999E-7</v>
      </c>
      <c r="G920" s="80">
        <f t="shared" si="16"/>
        <v>-15.182002291787985</v>
      </c>
    </row>
    <row r="921" spans="1:15" x14ac:dyDescent="0.25">
      <c r="E921" s="83">
        <v>50</v>
      </c>
      <c r="F921" s="3">
        <v>1.8300000000000001E-7</v>
      </c>
      <c r="G921" s="80">
        <f t="shared" si="16"/>
        <v>-15.513779684104991</v>
      </c>
    </row>
    <row r="922" spans="1:15" x14ac:dyDescent="0.25">
      <c r="E922" s="83">
        <v>0</v>
      </c>
      <c r="F922" s="3">
        <v>1.01E-7</v>
      </c>
      <c r="G922" s="80">
        <f t="shared" si="16"/>
        <v>-16.108145320105152</v>
      </c>
    </row>
    <row r="923" spans="1:15" x14ac:dyDescent="0.25">
      <c r="A923" s="6">
        <v>45120</v>
      </c>
      <c r="B923">
        <v>500</v>
      </c>
      <c r="C923">
        <v>790</v>
      </c>
      <c r="D923">
        <v>900</v>
      </c>
      <c r="E923" s="83">
        <v>300</v>
      </c>
      <c r="F923" s="3">
        <v>4.6100000000000001E-7</v>
      </c>
      <c r="G923" s="80">
        <f t="shared" si="16"/>
        <v>-14.589867793949763</v>
      </c>
    </row>
    <row r="924" spans="1:15" x14ac:dyDescent="0.25">
      <c r="E924" s="83">
        <v>250</v>
      </c>
      <c r="F924" s="3">
        <v>4.1100000000000001E-7</v>
      </c>
      <c r="G924" s="80">
        <f t="shared" si="16"/>
        <v>-14.704672622450177</v>
      </c>
    </row>
    <row r="925" spans="1:15" x14ac:dyDescent="0.25">
      <c r="E925" s="83">
        <v>200</v>
      </c>
      <c r="F925" s="3">
        <v>3.6300000000000001E-7</v>
      </c>
      <c r="G925" s="80">
        <f t="shared" si="16"/>
        <v>-14.82886300268156</v>
      </c>
    </row>
    <row r="926" spans="1:15" x14ac:dyDescent="0.25">
      <c r="E926" s="83">
        <v>150</v>
      </c>
      <c r="F926" s="3">
        <v>3.1100000000000002E-7</v>
      </c>
      <c r="G926" s="80">
        <f t="shared" si="16"/>
        <v>-14.983472924767177</v>
      </c>
    </row>
    <row r="927" spans="1:15" x14ac:dyDescent="0.25">
      <c r="E927" s="83">
        <v>100</v>
      </c>
      <c r="F927" s="3">
        <v>2.5400000000000002E-7</v>
      </c>
      <c r="G927" s="80">
        <f t="shared" si="16"/>
        <v>-15.185931569927874</v>
      </c>
    </row>
    <row r="928" spans="1:15" x14ac:dyDescent="0.25">
      <c r="E928" s="83">
        <v>50</v>
      </c>
      <c r="F928" s="3">
        <v>1.8199999999999999E-7</v>
      </c>
      <c r="G928" s="80">
        <f t="shared" si="16"/>
        <v>-15.519259149869615</v>
      </c>
      <c r="K928" t="s">
        <v>187</v>
      </c>
      <c r="N928" s="49" t="s">
        <v>186</v>
      </c>
      <c r="O928" s="49">
        <v>37</v>
      </c>
    </row>
    <row r="929" spans="1:22" x14ac:dyDescent="0.25">
      <c r="E929" s="83">
        <v>0</v>
      </c>
      <c r="F929" s="3">
        <v>9.9999999999999995E-8</v>
      </c>
      <c r="G929" s="80">
        <f t="shared" si="16"/>
        <v>-16.11809565095832</v>
      </c>
      <c r="K929" s="62" t="s">
        <v>38</v>
      </c>
      <c r="L929" s="62" t="s">
        <v>39</v>
      </c>
      <c r="M929" s="62" t="s">
        <v>40</v>
      </c>
      <c r="N929" s="63" t="s">
        <v>41</v>
      </c>
      <c r="O929" s="81">
        <f>K930*O928^3+L930*O928^2+M930*O928+N930</f>
        <v>1.5756840188E-7</v>
      </c>
    </row>
    <row r="930" spans="1:22" x14ac:dyDescent="0.25">
      <c r="A930" s="6">
        <v>45166</v>
      </c>
      <c r="B930">
        <v>500</v>
      </c>
      <c r="C930">
        <v>790</v>
      </c>
      <c r="D930">
        <v>900</v>
      </c>
      <c r="E930" s="83">
        <v>300</v>
      </c>
      <c r="F930" s="3">
        <v>4.4200000000000001E-7</v>
      </c>
      <c r="G930" s="80">
        <f t="shared" ref="G930:G936" si="17">LN(F930)</f>
        <v>-14.631955954868713</v>
      </c>
      <c r="K930" s="64">
        <v>5.9599999999999998E-15</v>
      </c>
      <c r="L930" s="64">
        <v>-4.21E-12</v>
      </c>
      <c r="M930" s="64">
        <v>1.8899999999999999E-9</v>
      </c>
      <c r="N930" s="64">
        <v>9.3100000000000006E-8</v>
      </c>
      <c r="O930" s="68"/>
    </row>
    <row r="931" spans="1:22" x14ac:dyDescent="0.25">
      <c r="E931" s="83">
        <v>250</v>
      </c>
      <c r="F931" s="3">
        <v>3.9900000000000001E-7</v>
      </c>
      <c r="G931" s="80">
        <f t="shared" si="17"/>
        <v>-14.734304420056548</v>
      </c>
    </row>
    <row r="932" spans="1:22" x14ac:dyDescent="0.25">
      <c r="E932" s="83">
        <v>200</v>
      </c>
      <c r="F932" s="3">
        <v>3.5199999999999998E-7</v>
      </c>
      <c r="G932" s="80">
        <f t="shared" si="17"/>
        <v>-14.859634661348315</v>
      </c>
    </row>
    <row r="933" spans="1:22" x14ac:dyDescent="0.25">
      <c r="E933" s="83">
        <v>150</v>
      </c>
      <c r="F933" s="3">
        <v>3.03E-7</v>
      </c>
      <c r="G933" s="80">
        <f t="shared" si="17"/>
        <v>-15.009533031437043</v>
      </c>
    </row>
    <row r="934" spans="1:22" x14ac:dyDescent="0.25">
      <c r="E934" s="83">
        <v>100</v>
      </c>
      <c r="F934" s="3">
        <v>2.4699999999999998E-7</v>
      </c>
      <c r="G934" s="80">
        <f t="shared" si="17"/>
        <v>-15.213877500318434</v>
      </c>
    </row>
    <row r="935" spans="1:22" x14ac:dyDescent="0.25">
      <c r="E935" s="83">
        <v>50</v>
      </c>
      <c r="F935" s="3">
        <v>1.7700000000000001E-7</v>
      </c>
      <c r="G935" s="80">
        <f t="shared" si="17"/>
        <v>-15.547116104372583</v>
      </c>
    </row>
    <row r="936" spans="1:22" x14ac:dyDescent="0.25">
      <c r="E936" s="83">
        <v>25</v>
      </c>
      <c r="F936" s="3">
        <v>1.37E-7</v>
      </c>
      <c r="G936" s="80">
        <f t="shared" si="17"/>
        <v>-15.803284911118286</v>
      </c>
    </row>
    <row r="937" spans="1:22" x14ac:dyDescent="0.25">
      <c r="A937" s="6">
        <v>45177</v>
      </c>
      <c r="B937">
        <v>500</v>
      </c>
      <c r="C937">
        <v>790</v>
      </c>
      <c r="D937">
        <v>900</v>
      </c>
      <c r="E937" s="83">
        <v>300</v>
      </c>
      <c r="F937" s="3">
        <v>4.4400000000000001E-7</v>
      </c>
      <c r="G937" s="80">
        <f t="shared" ref="G937:G942" si="18">LN(F937)</f>
        <v>-14.627441274514187</v>
      </c>
    </row>
    <row r="938" spans="1:22" x14ac:dyDescent="0.25">
      <c r="E938" s="83">
        <v>250</v>
      </c>
      <c r="F938" s="3">
        <v>3.96E-7</v>
      </c>
      <c r="G938" s="80">
        <f t="shared" si="18"/>
        <v>-14.741851625691931</v>
      </c>
    </row>
    <row r="939" spans="1:22" x14ac:dyDescent="0.25">
      <c r="E939" s="83">
        <v>200</v>
      </c>
      <c r="F939" s="3">
        <v>3.5100000000000001E-7</v>
      </c>
      <c r="G939" s="80">
        <f t="shared" si="18"/>
        <v>-14.862479613480545</v>
      </c>
    </row>
    <row r="940" spans="1:22" x14ac:dyDescent="0.25">
      <c r="E940" s="83">
        <v>150</v>
      </c>
      <c r="F940" s="3">
        <v>3.03E-7</v>
      </c>
      <c r="G940" s="80">
        <f t="shared" si="18"/>
        <v>-15.009533031437043</v>
      </c>
    </row>
    <row r="941" spans="1:22" x14ac:dyDescent="0.25">
      <c r="E941" s="83">
        <v>100</v>
      </c>
      <c r="F941" s="3">
        <v>2.48E-7</v>
      </c>
      <c r="G941" s="80">
        <f t="shared" si="18"/>
        <v>-15.209837090781429</v>
      </c>
    </row>
    <row r="942" spans="1:22" x14ac:dyDescent="0.25">
      <c r="E942" s="83">
        <v>50</v>
      </c>
      <c r="F942" s="3">
        <v>1.7700000000000001E-7</v>
      </c>
      <c r="G942" s="80">
        <f t="shared" si="18"/>
        <v>-15.547116104372583</v>
      </c>
      <c r="Q942" s="6">
        <v>45204</v>
      </c>
      <c r="R942">
        <v>550</v>
      </c>
      <c r="S942">
        <v>790</v>
      </c>
      <c r="T942">
        <v>900</v>
      </c>
      <c r="U942" s="97">
        <v>300</v>
      </c>
      <c r="V942" s="3">
        <v>1.53E-6</v>
      </c>
    </row>
    <row r="943" spans="1:22" x14ac:dyDescent="0.25">
      <c r="E943" s="83">
        <v>25</v>
      </c>
      <c r="F943" s="3">
        <v>1.36E-7</v>
      </c>
      <c r="G943" s="80">
        <f>LN(F943)</f>
        <v>-15.810610951210359</v>
      </c>
      <c r="U943" s="97">
        <v>200</v>
      </c>
      <c r="V943" s="3">
        <v>1.2100000000000001E-6</v>
      </c>
    </row>
    <row r="944" spans="1:22" x14ac:dyDescent="0.25">
      <c r="E944" s="96">
        <v>0</v>
      </c>
      <c r="F944" s="3">
        <v>9.46E-8</v>
      </c>
      <c r="G944" s="80">
        <f>LN(F944)</f>
        <v>-16.173608360888579</v>
      </c>
      <c r="U944" s="97">
        <v>100</v>
      </c>
      <c r="V944" s="3">
        <v>8.4E-7</v>
      </c>
    </row>
    <row r="945" spans="1:22" x14ac:dyDescent="0.25">
      <c r="A945" s="6">
        <v>45197</v>
      </c>
      <c r="B945">
        <v>527</v>
      </c>
      <c r="C945">
        <v>790</v>
      </c>
      <c r="D945">
        <v>900</v>
      </c>
      <c r="E945" s="83">
        <v>300</v>
      </c>
      <c r="F945" s="3">
        <v>1.08E-6</v>
      </c>
      <c r="G945" s="80">
        <f t="shared" ref="G945:G994" si="19">LN(F945)</f>
        <v>-13.738549516828146</v>
      </c>
      <c r="U945" s="97">
        <v>0</v>
      </c>
      <c r="V945" s="3">
        <v>3.2099999999999998E-7</v>
      </c>
    </row>
    <row r="946" spans="1:22" x14ac:dyDescent="0.25">
      <c r="E946" s="83">
        <v>250</v>
      </c>
      <c r="F946" s="3">
        <v>9.8200000000000008E-7</v>
      </c>
      <c r="G946" s="80">
        <f t="shared" si="19"/>
        <v>-13.833674528591946</v>
      </c>
    </row>
    <row r="947" spans="1:22" x14ac:dyDescent="0.25">
      <c r="E947" s="83">
        <v>200</v>
      </c>
      <c r="F947" s="3">
        <v>8.6000000000000002E-7</v>
      </c>
      <c r="G947" s="80">
        <f t="shared" si="19"/>
        <v>-13.966333447698858</v>
      </c>
    </row>
    <row r="948" spans="1:22" x14ac:dyDescent="0.25">
      <c r="E948" s="83">
        <v>150</v>
      </c>
      <c r="F948" s="3">
        <v>7.3399999999999998E-7</v>
      </c>
      <c r="G948" s="80">
        <f t="shared" si="19"/>
        <v>-14.124756808331895</v>
      </c>
    </row>
    <row r="949" spans="1:22" x14ac:dyDescent="0.25">
      <c r="E949" s="83">
        <v>100</v>
      </c>
      <c r="F949" s="3">
        <v>6.0299999999999999E-7</v>
      </c>
      <c r="G949" s="80">
        <f t="shared" si="19"/>
        <v>-14.321348640219226</v>
      </c>
    </row>
    <row r="950" spans="1:22" x14ac:dyDescent="0.25">
      <c r="E950" s="83">
        <v>50</v>
      </c>
      <c r="F950" s="3">
        <v>4.2500000000000001E-7</v>
      </c>
      <c r="G950" s="80">
        <f t="shared" si="19"/>
        <v>-14.671176668021994</v>
      </c>
    </row>
    <row r="951" spans="1:22" x14ac:dyDescent="0.25">
      <c r="E951" s="83">
        <v>0</v>
      </c>
      <c r="F951" s="3">
        <v>2.2499999999999999E-7</v>
      </c>
      <c r="G951" s="80">
        <f t="shared" si="19"/>
        <v>-15.307165434741991</v>
      </c>
    </row>
    <row r="952" spans="1:22" x14ac:dyDescent="0.25">
      <c r="A952" s="6">
        <v>45199</v>
      </c>
      <c r="B952">
        <v>535</v>
      </c>
      <c r="C952">
        <v>790</v>
      </c>
      <c r="D952">
        <v>900</v>
      </c>
      <c r="E952" s="83">
        <v>300</v>
      </c>
      <c r="F952" s="3">
        <v>1.1999999999999999E-6</v>
      </c>
      <c r="G952" s="80">
        <f t="shared" si="19"/>
        <v>-13.633189001170319</v>
      </c>
    </row>
    <row r="953" spans="1:22" x14ac:dyDescent="0.25">
      <c r="E953" s="83">
        <v>250</v>
      </c>
      <c r="F953" s="3">
        <v>1.08E-6</v>
      </c>
      <c r="G953" s="80">
        <f t="shared" si="19"/>
        <v>-13.738549516828146</v>
      </c>
    </row>
    <row r="954" spans="1:22" x14ac:dyDescent="0.25">
      <c r="E954" s="83">
        <v>200</v>
      </c>
      <c r="F954" s="3">
        <v>9.4E-7</v>
      </c>
      <c r="G954" s="80">
        <f t="shared" si="19"/>
        <v>-13.877385961682361</v>
      </c>
    </row>
    <row r="955" spans="1:22" x14ac:dyDescent="0.25">
      <c r="E955" s="83">
        <v>150</v>
      </c>
      <c r="F955" s="3">
        <v>7.8999999999999995E-7</v>
      </c>
      <c r="G955" s="80">
        <f t="shared" si="19"/>
        <v>-14.051232891485345</v>
      </c>
    </row>
    <row r="956" spans="1:22" x14ac:dyDescent="0.25">
      <c r="E956" s="83">
        <v>100</v>
      </c>
      <c r="F956" s="3">
        <v>6.5000000000000002E-7</v>
      </c>
      <c r="G956" s="80">
        <f t="shared" si="19"/>
        <v>-14.246293474056728</v>
      </c>
    </row>
    <row r="957" spans="1:22" x14ac:dyDescent="0.25">
      <c r="E957" s="83">
        <v>50</v>
      </c>
      <c r="F957" s="3">
        <v>4.5200000000000002E-7</v>
      </c>
      <c r="G957" s="80">
        <f t="shared" si="19"/>
        <v>-14.609583657114181</v>
      </c>
    </row>
    <row r="958" spans="1:22" x14ac:dyDescent="0.25">
      <c r="E958" s="83">
        <v>0</v>
      </c>
      <c r="F958" s="3">
        <v>2.34E-7</v>
      </c>
      <c r="G958" s="80">
        <f t="shared" si="19"/>
        <v>-15.267944721588711</v>
      </c>
    </row>
    <row r="959" spans="1:22" x14ac:dyDescent="0.25">
      <c r="A959" s="6">
        <v>45201</v>
      </c>
      <c r="B959">
        <v>550</v>
      </c>
      <c r="C959">
        <v>790</v>
      </c>
      <c r="D959">
        <v>900</v>
      </c>
      <c r="E959" s="97">
        <v>300</v>
      </c>
      <c r="F959" s="3">
        <v>1.5999999999999999E-6</v>
      </c>
      <c r="G959" s="80">
        <f t="shared" si="19"/>
        <v>-13.345506928718539</v>
      </c>
    </row>
    <row r="960" spans="1:22" x14ac:dyDescent="0.25">
      <c r="E960" s="97">
        <v>200</v>
      </c>
      <c r="F960" s="3">
        <v>1.24E-6</v>
      </c>
      <c r="G960" s="80">
        <f t="shared" si="19"/>
        <v>-13.600399178347329</v>
      </c>
    </row>
    <row r="961" spans="1:15" x14ac:dyDescent="0.25">
      <c r="E961" s="97">
        <v>100</v>
      </c>
      <c r="F961" s="3">
        <v>8.7400000000000002E-7</v>
      </c>
      <c r="G961" s="80">
        <f t="shared" si="19"/>
        <v>-13.950185461290875</v>
      </c>
    </row>
    <row r="962" spans="1:15" x14ac:dyDescent="0.25">
      <c r="E962" s="97">
        <v>0</v>
      </c>
      <c r="F962" s="3">
        <v>3.3000000000000002E-7</v>
      </c>
      <c r="G962" s="80">
        <f t="shared" si="19"/>
        <v>-14.924173182485886</v>
      </c>
    </row>
    <row r="963" spans="1:15" x14ac:dyDescent="0.25">
      <c r="A963" s="6">
        <v>45203</v>
      </c>
      <c r="B963">
        <v>550</v>
      </c>
      <c r="C963">
        <v>790</v>
      </c>
      <c r="D963">
        <v>900</v>
      </c>
      <c r="E963" s="97">
        <v>300</v>
      </c>
      <c r="F963" s="3">
        <v>1.55E-6</v>
      </c>
      <c r="G963" s="80">
        <f t="shared" si="19"/>
        <v>-13.377255627033119</v>
      </c>
    </row>
    <row r="964" spans="1:15" x14ac:dyDescent="0.25">
      <c r="E964" s="97">
        <v>200</v>
      </c>
      <c r="F964" s="3">
        <v>1.22E-6</v>
      </c>
      <c r="G964" s="80">
        <f t="shared" si="19"/>
        <v>-13.61665969921911</v>
      </c>
    </row>
    <row r="965" spans="1:15" x14ac:dyDescent="0.25">
      <c r="E965" s="97">
        <v>100</v>
      </c>
      <c r="F965" s="3">
        <v>8.4099999999999997E-7</v>
      </c>
      <c r="G965" s="80">
        <f t="shared" si="19"/>
        <v>-13.988674176973463</v>
      </c>
    </row>
    <row r="966" spans="1:15" x14ac:dyDescent="0.25">
      <c r="E966" s="97">
        <v>0</v>
      </c>
      <c r="F966" s="3">
        <v>3.2800000000000003E-7</v>
      </c>
      <c r="G966" s="80">
        <f t="shared" si="19"/>
        <v>-14.930252228562267</v>
      </c>
      <c r="K966" t="s">
        <v>187</v>
      </c>
      <c r="N966" s="49" t="s">
        <v>186</v>
      </c>
      <c r="O966" s="49">
        <v>5</v>
      </c>
    </row>
    <row r="967" spans="1:15" x14ac:dyDescent="0.25">
      <c r="A967" s="6">
        <v>45204</v>
      </c>
      <c r="B967">
        <v>550</v>
      </c>
      <c r="C967">
        <v>790</v>
      </c>
      <c r="D967">
        <v>900</v>
      </c>
      <c r="E967" s="97">
        <v>300</v>
      </c>
      <c r="F967" s="3">
        <v>1.53E-6</v>
      </c>
      <c r="G967" s="80">
        <f t="shared" si="19"/>
        <v>-13.39024282255993</v>
      </c>
      <c r="K967" s="62" t="s">
        <v>38</v>
      </c>
      <c r="L967" s="62" t="s">
        <v>39</v>
      </c>
      <c r="M967" s="62" t="s">
        <v>40</v>
      </c>
      <c r="N967" s="63" t="s">
        <v>41</v>
      </c>
      <c r="O967" s="81">
        <f>K968*O966^3+L968*O966^2+M968*O966+N968</f>
        <v>7.7033722499999999E-8</v>
      </c>
    </row>
    <row r="968" spans="1:15" x14ac:dyDescent="0.25">
      <c r="E968" s="97">
        <v>200</v>
      </c>
      <c r="F968" s="3">
        <v>1.2100000000000001E-6</v>
      </c>
      <c r="G968" s="80">
        <f t="shared" si="19"/>
        <v>-13.624890198355624</v>
      </c>
      <c r="K968" s="64">
        <v>3.7799999999999999E-15</v>
      </c>
      <c r="L968" s="64">
        <v>-2.6700000000000001E-12</v>
      </c>
      <c r="M968" s="64">
        <v>1.4200000000000001E-9</v>
      </c>
      <c r="N968" s="64">
        <v>7.0000000000000005E-8</v>
      </c>
      <c r="O968" s="68"/>
    </row>
    <row r="969" spans="1:15" x14ac:dyDescent="0.25">
      <c r="E969" s="97">
        <v>100</v>
      </c>
      <c r="F969" s="3">
        <v>8.4E-7</v>
      </c>
      <c r="G969" s="80">
        <f t="shared" si="19"/>
        <v>-13.989863945109052</v>
      </c>
    </row>
    <row r="970" spans="1:15" x14ac:dyDescent="0.25">
      <c r="E970" s="97">
        <v>0</v>
      </c>
      <c r="F970" s="3">
        <v>3.2099999999999998E-7</v>
      </c>
      <c r="G970" s="80">
        <f t="shared" si="19"/>
        <v>-14.951824713816395</v>
      </c>
    </row>
    <row r="971" spans="1:15" x14ac:dyDescent="0.25">
      <c r="A971" s="6">
        <v>45205</v>
      </c>
      <c r="B971">
        <v>550</v>
      </c>
      <c r="C971">
        <v>790</v>
      </c>
      <c r="D971">
        <v>900</v>
      </c>
      <c r="E971" s="97">
        <v>300</v>
      </c>
      <c r="F971" s="3">
        <v>1.48E-6</v>
      </c>
      <c r="G971" s="80">
        <f t="shared" si="19"/>
        <v>-13.423468470188251</v>
      </c>
    </row>
    <row r="972" spans="1:15" x14ac:dyDescent="0.25">
      <c r="E972" s="97">
        <v>200</v>
      </c>
      <c r="F972" s="3">
        <v>1.1599999999999999E-6</v>
      </c>
      <c r="G972" s="80">
        <f t="shared" si="19"/>
        <v>-13.667090552846</v>
      </c>
    </row>
    <row r="973" spans="1:15" x14ac:dyDescent="0.25">
      <c r="E973" s="97">
        <v>100</v>
      </c>
      <c r="F973" s="3">
        <v>8.0500000000000002E-7</v>
      </c>
      <c r="G973" s="80">
        <f t="shared" si="19"/>
        <v>-14.032423559527848</v>
      </c>
    </row>
    <row r="974" spans="1:15" x14ac:dyDescent="0.25">
      <c r="E974" s="97">
        <v>50</v>
      </c>
      <c r="F974" s="3">
        <v>5.7000000000000005E-7</v>
      </c>
      <c r="G974" s="80">
        <f t="shared" si="19"/>
        <v>-14.377629476117816</v>
      </c>
    </row>
    <row r="975" spans="1:15" x14ac:dyDescent="0.25">
      <c r="E975" s="97">
        <v>25</v>
      </c>
      <c r="F975" s="3">
        <v>4.3799999999999998E-7</v>
      </c>
      <c r="G975" s="80">
        <f t="shared" si="19"/>
        <v>-14.641046926569965</v>
      </c>
    </row>
    <row r="976" spans="1:15" x14ac:dyDescent="0.25">
      <c r="E976" s="97">
        <v>0</v>
      </c>
      <c r="F976" s="3">
        <v>3.0499999999999999E-7</v>
      </c>
      <c r="G976" s="80">
        <f t="shared" si="19"/>
        <v>-15.002954060339</v>
      </c>
    </row>
    <row r="977" spans="1:7" x14ac:dyDescent="0.25">
      <c r="A977" s="6">
        <v>45211</v>
      </c>
      <c r="B977">
        <v>550</v>
      </c>
      <c r="C977">
        <v>790</v>
      </c>
      <c r="D977">
        <v>900</v>
      </c>
      <c r="E977" s="97">
        <v>300</v>
      </c>
      <c r="F977" s="3">
        <v>1.44E-6</v>
      </c>
      <c r="G977" s="80">
        <f t="shared" si="19"/>
        <v>-13.450867444376366</v>
      </c>
    </row>
    <row r="978" spans="1:7" x14ac:dyDescent="0.25">
      <c r="E978" s="97">
        <v>250</v>
      </c>
      <c r="F978" s="3">
        <v>1.28E-6</v>
      </c>
      <c r="G978" s="80">
        <f t="shared" si="19"/>
        <v>-13.568650480032748</v>
      </c>
    </row>
    <row r="979" spans="1:7" x14ac:dyDescent="0.25">
      <c r="E979" s="97">
        <v>200</v>
      </c>
      <c r="F979" s="3">
        <v>1.13E-6</v>
      </c>
      <c r="G979" s="80">
        <f t="shared" si="19"/>
        <v>-13.693292925240025</v>
      </c>
    </row>
    <row r="980" spans="1:7" x14ac:dyDescent="0.25">
      <c r="E980" s="97">
        <v>150</v>
      </c>
      <c r="F980" s="3">
        <v>9.5099999999999998E-7</v>
      </c>
      <c r="G980" s="80">
        <f t="shared" si="19"/>
        <v>-13.865751774401021</v>
      </c>
    </row>
    <row r="981" spans="1:7" x14ac:dyDescent="0.25">
      <c r="E981" s="97">
        <v>100</v>
      </c>
      <c r="F981" s="3">
        <v>7.8299999999999996E-7</v>
      </c>
      <c r="G981" s="80">
        <f t="shared" si="19"/>
        <v>-14.060133140955609</v>
      </c>
    </row>
    <row r="982" spans="1:7" x14ac:dyDescent="0.25">
      <c r="E982" s="97">
        <v>50</v>
      </c>
      <c r="F982" s="3">
        <v>5.5700000000000002E-7</v>
      </c>
      <c r="G982" s="80">
        <f t="shared" si="19"/>
        <v>-14.400700597019128</v>
      </c>
    </row>
    <row r="983" spans="1:7" x14ac:dyDescent="0.25">
      <c r="E983" s="98">
        <v>0</v>
      </c>
      <c r="F983" s="3">
        <v>2.9999999999999999E-7</v>
      </c>
      <c r="G983" s="80">
        <f t="shared" si="19"/>
        <v>-15.01948336229021</v>
      </c>
    </row>
    <row r="984" spans="1:7" x14ac:dyDescent="0.25">
      <c r="A984" s="6">
        <v>45223</v>
      </c>
      <c r="B984">
        <v>500</v>
      </c>
      <c r="C984">
        <v>790</v>
      </c>
      <c r="D984">
        <v>900</v>
      </c>
      <c r="E984" s="97">
        <v>300</v>
      </c>
      <c r="F984" s="3">
        <v>3.5900000000000003E-7</v>
      </c>
      <c r="G984" s="80">
        <f t="shared" si="19"/>
        <v>-14.839943448458133</v>
      </c>
    </row>
    <row r="985" spans="1:7" x14ac:dyDescent="0.25">
      <c r="E985" s="97">
        <v>250</v>
      </c>
      <c r="F985" s="3">
        <v>3.1899999999999998E-7</v>
      </c>
      <c r="G985" s="80">
        <f t="shared" si="19"/>
        <v>-14.958074734161567</v>
      </c>
    </row>
    <row r="986" spans="1:7" x14ac:dyDescent="0.25">
      <c r="E986" s="97">
        <v>200</v>
      </c>
      <c r="F986" s="3">
        <v>2.7799999999999997E-7</v>
      </c>
      <c r="G986" s="80">
        <f t="shared" si="19"/>
        <v>-15.095644723255774</v>
      </c>
    </row>
    <row r="987" spans="1:7" x14ac:dyDescent="0.25">
      <c r="E987" s="97">
        <v>150</v>
      </c>
      <c r="F987" s="3">
        <v>2.36E-7</v>
      </c>
      <c r="G987" s="80">
        <f t="shared" si="19"/>
        <v>-15.259434031920801</v>
      </c>
    </row>
    <row r="988" spans="1:7" x14ac:dyDescent="0.25">
      <c r="E988" s="97">
        <v>100</v>
      </c>
      <c r="F988" s="3">
        <v>1.9000000000000001E-7</v>
      </c>
      <c r="G988" s="80">
        <f t="shared" si="19"/>
        <v>-15.476241764785925</v>
      </c>
    </row>
    <row r="989" spans="1:7" x14ac:dyDescent="0.25">
      <c r="E989" s="97">
        <v>50</v>
      </c>
      <c r="F989" s="3">
        <v>1.35E-7</v>
      </c>
      <c r="G989" s="80">
        <f t="shared" si="19"/>
        <v>-15.817991058507982</v>
      </c>
    </row>
    <row r="990" spans="1:7" x14ac:dyDescent="0.25">
      <c r="E990" s="98">
        <v>0</v>
      </c>
      <c r="F990" s="3">
        <v>7.0000000000000005E-8</v>
      </c>
      <c r="G990" s="80">
        <f t="shared" si="19"/>
        <v>-16.474770594897052</v>
      </c>
    </row>
    <row r="991" spans="1:7" x14ac:dyDescent="0.25">
      <c r="A991" s="6">
        <v>45229</v>
      </c>
      <c r="B991">
        <v>550</v>
      </c>
      <c r="C991">
        <v>790</v>
      </c>
      <c r="D991">
        <v>900</v>
      </c>
      <c r="E991" s="99">
        <v>300</v>
      </c>
      <c r="F991" s="3">
        <v>1.3799999999999999E-6</v>
      </c>
      <c r="G991" s="80">
        <f t="shared" si="19"/>
        <v>-13.493427058795161</v>
      </c>
    </row>
    <row r="992" spans="1:7" x14ac:dyDescent="0.25">
      <c r="E992" s="99">
        <v>200</v>
      </c>
      <c r="F992" s="3">
        <v>1.08E-6</v>
      </c>
      <c r="G992" s="80">
        <f t="shared" si="19"/>
        <v>-13.738549516828146</v>
      </c>
    </row>
    <row r="993" spans="5:14" x14ac:dyDescent="0.25">
      <c r="E993" s="99">
        <v>100</v>
      </c>
      <c r="F993" s="3">
        <v>7.4600000000000004E-7</v>
      </c>
      <c r="G993" s="80">
        <f t="shared" si="19"/>
        <v>-14.10854023674265</v>
      </c>
    </row>
    <row r="994" spans="5:14" x14ac:dyDescent="0.25">
      <c r="E994" s="99">
        <v>0</v>
      </c>
      <c r="F994" s="3">
        <v>2.7500000000000001E-7</v>
      </c>
      <c r="G994" s="80">
        <f t="shared" si="19"/>
        <v>-15.106494739279841</v>
      </c>
    </row>
    <row r="998" spans="5:14" x14ac:dyDescent="0.25">
      <c r="J998" t="s">
        <v>187</v>
      </c>
      <c r="M998" s="49" t="s">
        <v>186</v>
      </c>
      <c r="N998" s="49">
        <v>13</v>
      </c>
    </row>
    <row r="999" spans="5:14" x14ac:dyDescent="0.25">
      <c r="J999" s="62" t="s">
        <v>38</v>
      </c>
      <c r="K999" s="62" t="s">
        <v>39</v>
      </c>
      <c r="L999" s="62" t="s">
        <v>40</v>
      </c>
      <c r="M999" s="63" t="s">
        <v>41</v>
      </c>
      <c r="N999" s="81">
        <f>J1000*N998^3+K1000*N998^2+L1000*N998+M1000</f>
        <v>3.476297884E-7</v>
      </c>
    </row>
    <row r="1000" spans="5:14" x14ac:dyDescent="0.25">
      <c r="J1000" s="64">
        <v>1.7199999999999999E-14</v>
      </c>
      <c r="K1000" s="64">
        <v>-1.2000000000000001E-11</v>
      </c>
      <c r="L1000" s="64">
        <v>5.7399999999999996E-9</v>
      </c>
      <c r="M1000" s="64">
        <v>2.7500000000000001E-7</v>
      </c>
      <c r="N1000" s="6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 - GaAs</vt:lpstr>
      <vt:lpstr>Gallium - GaSb</vt:lpstr>
      <vt:lpstr> Indium - InAs</vt:lpstr>
      <vt:lpstr> In - InSb </vt:lpstr>
      <vt:lpstr>Al- AlAs</vt:lpstr>
      <vt:lpstr>Al - AlSb</vt:lpstr>
      <vt:lpstr>Bismuth Cell</vt:lpstr>
      <vt:lpstr>As-Valve</vt:lpstr>
      <vt:lpstr>Sb-Valve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</dc:creator>
  <cp:lastModifiedBy>kSA</cp:lastModifiedBy>
  <dcterms:created xsi:type="dcterms:W3CDTF">2017-02-22T21:28:01Z</dcterms:created>
  <dcterms:modified xsi:type="dcterms:W3CDTF">2023-11-28T18:31:21Z</dcterms:modified>
</cp:coreProperties>
</file>