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465" yWindow="1245" windowWidth="24555" windowHeight="12945" tabRatio="500" activeTab="1"/>
  </bookViews>
  <sheets>
    <sheet name="Arsenic Valve" sheetId="11" r:id="rId1"/>
    <sheet name="Gallium - GaAs" sheetId="6" r:id="rId2"/>
    <sheet name="Tl Cell" sheetId="8" r:id="rId3"/>
    <sheet name=" Indium - InAs" sheetId="7" r:id="rId4"/>
    <sheet name="Aluminum - AlAs" sheetId="9" r:id="rId5"/>
  </sheets>
  <calcPr calcId="162913"/>
</workbook>
</file>

<file path=xl/calcChain.xml><?xml version="1.0" encoding="utf-8"?>
<calcChain xmlns="http://schemas.openxmlformats.org/spreadsheetml/2006/main">
  <c r="G102" i="6" l="1"/>
  <c r="D103" i="6"/>
  <c r="E103" i="6"/>
  <c r="D102" i="6"/>
  <c r="E102" i="6"/>
  <c r="G101" i="6" l="1"/>
  <c r="D101" i="6"/>
  <c r="E101" i="6"/>
  <c r="G100" i="6" l="1"/>
  <c r="D100" i="6"/>
  <c r="E100" i="6" s="1"/>
  <c r="G99" i="6" l="1"/>
  <c r="D99" i="6"/>
  <c r="E99" i="6" s="1"/>
  <c r="M59" i="8"/>
  <c r="M100" i="6" l="1"/>
  <c r="N247" i="11" l="1"/>
  <c r="Q100" i="6"/>
  <c r="F40" i="9" l="1"/>
  <c r="C41" i="9"/>
  <c r="D41" i="9"/>
  <c r="C40" i="9"/>
  <c r="D40" i="9" s="1"/>
  <c r="O38" i="6" l="1"/>
  <c r="F39" i="9"/>
  <c r="F38" i="9"/>
  <c r="C39" i="9"/>
  <c r="D39" i="9"/>
  <c r="C38" i="9"/>
  <c r="D38" i="9" s="1"/>
  <c r="F37" i="9" l="1"/>
  <c r="F36" i="9"/>
  <c r="G78" i="6"/>
  <c r="C37" i="9"/>
  <c r="D37" i="9"/>
  <c r="C36" i="9"/>
  <c r="D36" i="9" s="1"/>
  <c r="F35" i="9" l="1"/>
  <c r="C35" i="9"/>
  <c r="D35" i="9" s="1"/>
  <c r="F34" i="9" l="1"/>
  <c r="C34" i="9"/>
  <c r="D34" i="9"/>
  <c r="F33" i="9" l="1"/>
  <c r="F32" i="9"/>
  <c r="C33" i="9"/>
  <c r="D33" i="9"/>
  <c r="C32" i="9"/>
  <c r="D32" i="9" s="1"/>
  <c r="F31" i="9" l="1"/>
  <c r="C31" i="9"/>
  <c r="D31" i="9" s="1"/>
  <c r="F30" i="9" l="1"/>
  <c r="C30" i="9"/>
  <c r="D30" i="9" s="1"/>
  <c r="F29" i="9" l="1"/>
  <c r="C29" i="9"/>
  <c r="D29" i="9"/>
  <c r="F28" i="9"/>
  <c r="Q17" i="9"/>
  <c r="M43" i="6"/>
  <c r="C28" i="9"/>
  <c r="D28" i="9"/>
  <c r="F27" i="9" l="1"/>
  <c r="F26" i="9"/>
  <c r="C27" i="9" l="1"/>
  <c r="D27" i="9"/>
  <c r="C26" i="9"/>
  <c r="D26" i="9" s="1"/>
  <c r="F25" i="9" l="1"/>
  <c r="C25" i="9"/>
  <c r="D25" i="9" s="1"/>
  <c r="N41" i="6"/>
  <c r="O42" i="6"/>
  <c r="N38" i="6"/>
  <c r="O41" i="6"/>
  <c r="P38" i="6" l="1"/>
  <c r="F24" i="9"/>
  <c r="C24" i="9"/>
  <c r="D24" i="9" s="1"/>
  <c r="F23" i="9"/>
  <c r="C23" i="9"/>
  <c r="D23" i="9"/>
  <c r="S20" i="9" l="1"/>
  <c r="U20" i="9" s="1"/>
  <c r="F22" i="9"/>
  <c r="C22" i="9"/>
  <c r="D22" i="9"/>
  <c r="F21" i="9"/>
  <c r="F20" i="9"/>
  <c r="C21" i="9"/>
  <c r="D21" i="9" s="1"/>
  <c r="C20" i="9"/>
  <c r="D20" i="9"/>
  <c r="F19" i="9" l="1"/>
  <c r="C19" i="9"/>
  <c r="D19" i="9" s="1"/>
  <c r="F18" i="9" l="1"/>
  <c r="M17" i="9"/>
  <c r="N17" i="9" s="1"/>
  <c r="C18" i="9"/>
  <c r="D18" i="9"/>
  <c r="O17" i="9" l="1"/>
  <c r="F17" i="9"/>
  <c r="C17" i="9"/>
  <c r="D17" i="9" s="1"/>
  <c r="F16" i="9"/>
  <c r="C16" i="9"/>
  <c r="D16" i="9" s="1"/>
  <c r="F12" i="9" l="1"/>
  <c r="F13" i="9"/>
  <c r="F14" i="9"/>
  <c r="F15" i="9"/>
  <c r="C15" i="9"/>
  <c r="D15" i="9"/>
  <c r="M29" i="6"/>
  <c r="O29" i="6" s="1"/>
  <c r="S19" i="9"/>
  <c r="U19" i="9" s="1"/>
  <c r="C14" i="9"/>
  <c r="D14" i="9"/>
  <c r="C13" i="9"/>
  <c r="D13" i="9" s="1"/>
  <c r="C12" i="9"/>
  <c r="D12" i="9"/>
  <c r="N9" i="8" l="1"/>
  <c r="M29" i="7" l="1"/>
  <c r="M28" i="7"/>
  <c r="M25" i="7"/>
  <c r="M24" i="7"/>
  <c r="F11" i="9" l="1"/>
  <c r="C11" i="9"/>
  <c r="D11" i="9"/>
  <c r="O21" i="9"/>
  <c r="M20" i="9"/>
  <c r="F10" i="9"/>
  <c r="C10" i="9"/>
  <c r="D10" i="9" s="1"/>
  <c r="M27" i="6"/>
  <c r="N20" i="9" l="1"/>
  <c r="C9" i="9"/>
  <c r="D9" i="9"/>
  <c r="C8" i="9"/>
  <c r="D8" i="9" s="1"/>
  <c r="C7" i="9"/>
  <c r="D7" i="9" s="1"/>
  <c r="C6" i="9"/>
  <c r="D6" i="9"/>
  <c r="C5" i="9"/>
  <c r="D5" i="9" s="1"/>
  <c r="F4" i="9" l="1"/>
  <c r="M19" i="9" s="1"/>
  <c r="N19" i="9" s="1"/>
  <c r="C4" i="9"/>
  <c r="D4" i="9" s="1"/>
  <c r="F3" i="9"/>
  <c r="C3" i="9"/>
  <c r="D3" i="9" s="1"/>
  <c r="F2" i="9"/>
  <c r="C2" i="9"/>
  <c r="D2" i="9" s="1"/>
  <c r="G18" i="6" l="1"/>
  <c r="G17" i="6"/>
  <c r="N10" i="8"/>
  <c r="O27" i="6" l="1"/>
  <c r="G98" i="6"/>
  <c r="D98" i="6"/>
  <c r="E98" i="6"/>
  <c r="F75" i="8"/>
  <c r="C75" i="8"/>
  <c r="D75" i="8" s="1"/>
  <c r="F74" i="8"/>
  <c r="C74" i="8"/>
  <c r="D74" i="8" s="1"/>
  <c r="F73" i="8"/>
  <c r="C73" i="8"/>
  <c r="D73" i="8" s="1"/>
  <c r="G97" i="6"/>
  <c r="D97" i="6"/>
  <c r="E97" i="6" s="1"/>
  <c r="F70" i="8"/>
  <c r="F71" i="8"/>
  <c r="G96" i="6"/>
  <c r="D96" i="6"/>
  <c r="E96" i="6"/>
  <c r="C71" i="8"/>
  <c r="D71" i="8" s="1"/>
  <c r="C72" i="8"/>
  <c r="D72" i="8" s="1"/>
  <c r="F72" i="8"/>
  <c r="C70" i="8"/>
  <c r="D70" i="8" s="1"/>
  <c r="G95" i="6"/>
  <c r="D95" i="6"/>
  <c r="E95" i="6" s="1"/>
  <c r="G94" i="6"/>
  <c r="D94" i="6"/>
  <c r="E94" i="6" s="1"/>
  <c r="C66" i="8"/>
  <c r="C67" i="8"/>
  <c r="D67" i="8" s="1"/>
  <c r="C68" i="8"/>
  <c r="D68" i="8" s="1"/>
  <c r="C69" i="8"/>
  <c r="D69" i="8" s="1"/>
  <c r="D66" i="8"/>
  <c r="F66" i="8"/>
  <c r="F67" i="8"/>
  <c r="F68" i="8"/>
  <c r="F69" i="8"/>
  <c r="C65" i="8"/>
  <c r="D65" i="8"/>
  <c r="F65" i="8"/>
  <c r="C64" i="8"/>
  <c r="D64" i="8" s="1"/>
  <c r="F64" i="8"/>
  <c r="G93" i="6"/>
  <c r="D93" i="6"/>
  <c r="E93" i="6" s="1"/>
  <c r="C63" i="8"/>
  <c r="D63" i="8" s="1"/>
  <c r="F63" i="8"/>
  <c r="C62" i="8"/>
  <c r="D62" i="8" s="1"/>
  <c r="F62" i="8"/>
  <c r="C61" i="8"/>
  <c r="D61" i="8" s="1"/>
  <c r="F61" i="8"/>
  <c r="C60" i="8"/>
  <c r="D60" i="8" s="1"/>
  <c r="F60" i="8"/>
  <c r="C59" i="8"/>
  <c r="D59" i="8" s="1"/>
  <c r="F59" i="8"/>
  <c r="F42" i="7"/>
  <c r="C42" i="7"/>
  <c r="D42" i="7" s="1"/>
  <c r="W39" i="6"/>
  <c r="X39" i="6" s="1"/>
  <c r="N37" i="7"/>
  <c r="O37" i="7" s="1"/>
  <c r="G90" i="6"/>
  <c r="G89" i="6"/>
  <c r="C58" i="8"/>
  <c r="D58" i="8" s="1"/>
  <c r="F58" i="8"/>
  <c r="C57" i="8"/>
  <c r="D57" i="8" s="1"/>
  <c r="F57" i="8"/>
  <c r="C56" i="8"/>
  <c r="D56" i="8" s="1"/>
  <c r="F56" i="8"/>
  <c r="D90" i="6"/>
  <c r="E90" i="6" s="1"/>
  <c r="D89" i="6"/>
  <c r="E89" i="6"/>
  <c r="G88" i="6"/>
  <c r="D88" i="6"/>
  <c r="E88" i="6" s="1"/>
  <c r="F41" i="7"/>
  <c r="C41" i="7"/>
  <c r="D41" i="7" s="1"/>
  <c r="C55" i="8"/>
  <c r="D55" i="8" s="1"/>
  <c r="F55" i="8"/>
  <c r="G87" i="6"/>
  <c r="D87" i="6"/>
  <c r="E87" i="6" s="1"/>
  <c r="F40" i="7"/>
  <c r="C40" i="7"/>
  <c r="D40" i="7" s="1"/>
  <c r="C54" i="8"/>
  <c r="D54" i="8" s="1"/>
  <c r="F54" i="8"/>
  <c r="R50" i="7"/>
  <c r="S50" i="7" s="1"/>
  <c r="G86" i="6"/>
  <c r="C39" i="7"/>
  <c r="D39" i="7" s="1"/>
  <c r="C38" i="7"/>
  <c r="D38" i="7" s="1"/>
  <c r="D86" i="6"/>
  <c r="E86" i="6" s="1"/>
  <c r="F37" i="7"/>
  <c r="F36" i="7"/>
  <c r="G85" i="6"/>
  <c r="D85" i="6"/>
  <c r="E85" i="6"/>
  <c r="F35" i="7"/>
  <c r="C53" i="8"/>
  <c r="D53" i="8"/>
  <c r="F53" i="8"/>
  <c r="C37" i="7"/>
  <c r="D37" i="7" s="1"/>
  <c r="C36" i="7"/>
  <c r="D36" i="7" s="1"/>
  <c r="C35" i="7"/>
  <c r="D35" i="7" s="1"/>
  <c r="F34" i="7"/>
  <c r="C34" i="7"/>
  <c r="D34" i="7" s="1"/>
  <c r="G84" i="6"/>
  <c r="D84" i="6"/>
  <c r="E84" i="6" s="1"/>
  <c r="G83" i="6"/>
  <c r="D83" i="6"/>
  <c r="E83" i="6" s="1"/>
  <c r="C52" i="8"/>
  <c r="D52" i="8" s="1"/>
  <c r="F52" i="8"/>
  <c r="C51" i="8"/>
  <c r="D51" i="8"/>
  <c r="F51" i="8"/>
  <c r="G82" i="6"/>
  <c r="D82" i="6"/>
  <c r="E82" i="6" s="1"/>
  <c r="G81" i="6"/>
  <c r="D81" i="6"/>
  <c r="E81" i="6"/>
  <c r="G80" i="6"/>
  <c r="D80" i="6"/>
  <c r="E80" i="6" s="1"/>
  <c r="G79" i="6"/>
  <c r="D79" i="6"/>
  <c r="E79" i="6" s="1"/>
  <c r="C50" i="8"/>
  <c r="D50" i="8" s="1"/>
  <c r="F50" i="8"/>
  <c r="D78" i="6"/>
  <c r="E78" i="6"/>
  <c r="F33" i="7"/>
  <c r="C33" i="7"/>
  <c r="D33" i="7" s="1"/>
  <c r="F32" i="7"/>
  <c r="C32" i="7"/>
  <c r="D32" i="7" s="1"/>
  <c r="F31" i="7"/>
  <c r="C31" i="7"/>
  <c r="D31" i="7" s="1"/>
  <c r="F30" i="7"/>
  <c r="F28" i="7"/>
  <c r="F29" i="7"/>
  <c r="C30" i="7"/>
  <c r="D30" i="7" s="1"/>
  <c r="C29" i="7"/>
  <c r="D29" i="7" s="1"/>
  <c r="C28" i="7"/>
  <c r="D28" i="7" s="1"/>
  <c r="G77" i="6"/>
  <c r="D77" i="6"/>
  <c r="E77" i="6" s="1"/>
  <c r="F27" i="7"/>
  <c r="G76" i="6"/>
  <c r="C27" i="7"/>
  <c r="D27" i="7" s="1"/>
  <c r="F26" i="7"/>
  <c r="C26" i="7"/>
  <c r="D26" i="7"/>
  <c r="D76" i="6"/>
  <c r="E76" i="6" s="1"/>
  <c r="Q35" i="7"/>
  <c r="K36" i="7"/>
  <c r="K37" i="7"/>
  <c r="F25" i="7"/>
  <c r="C25" i="7"/>
  <c r="D25" i="7"/>
  <c r="G75" i="6"/>
  <c r="G74" i="6"/>
  <c r="D75" i="6"/>
  <c r="E75" i="6" s="1"/>
  <c r="D74" i="6"/>
  <c r="E74" i="6" s="1"/>
  <c r="C49" i="8"/>
  <c r="D49" i="8" s="1"/>
  <c r="F49" i="8"/>
  <c r="G73" i="6"/>
  <c r="G72" i="6"/>
  <c r="G71" i="6"/>
  <c r="D73" i="6"/>
  <c r="E73" i="6" s="1"/>
  <c r="D72" i="6"/>
  <c r="E72" i="6"/>
  <c r="D71" i="6"/>
  <c r="E71" i="6" s="1"/>
  <c r="C48" i="8"/>
  <c r="D48" i="8" s="1"/>
  <c r="F48" i="8"/>
  <c r="F24" i="7"/>
  <c r="C24" i="7"/>
  <c r="D24" i="7"/>
  <c r="G70" i="6"/>
  <c r="D70" i="6"/>
  <c r="E70" i="6" s="1"/>
  <c r="G69" i="6"/>
  <c r="D69" i="6"/>
  <c r="E69" i="6" s="1"/>
  <c r="G68" i="6"/>
  <c r="D68" i="6"/>
  <c r="E68" i="6" s="1"/>
  <c r="C23" i="7"/>
  <c r="D23" i="7" s="1"/>
  <c r="G67" i="6"/>
  <c r="D67" i="6"/>
  <c r="E67" i="6" s="1"/>
  <c r="F22" i="7"/>
  <c r="C22" i="7"/>
  <c r="D22" i="7" s="1"/>
  <c r="G66" i="6"/>
  <c r="D66" i="6"/>
  <c r="E66" i="6" s="1"/>
  <c r="F21" i="7"/>
  <c r="C21" i="7"/>
  <c r="D21" i="7" s="1"/>
  <c r="G65" i="6"/>
  <c r="D65" i="6"/>
  <c r="E65" i="6" s="1"/>
  <c r="F20" i="7"/>
  <c r="C20" i="7"/>
  <c r="D20" i="7" s="1"/>
  <c r="G64" i="6"/>
  <c r="G63" i="6"/>
  <c r="D64" i="6"/>
  <c r="E64" i="6" s="1"/>
  <c r="D63" i="6"/>
  <c r="E63" i="6"/>
  <c r="G62" i="6"/>
  <c r="D62" i="6"/>
  <c r="E62" i="6"/>
  <c r="G61" i="6"/>
  <c r="D61" i="6"/>
  <c r="E61" i="6" s="1"/>
  <c r="C45" i="8"/>
  <c r="D45" i="8" s="1"/>
  <c r="F45" i="8"/>
  <c r="G60" i="6"/>
  <c r="D60" i="6"/>
  <c r="E60" i="6"/>
  <c r="G59" i="6"/>
  <c r="D59" i="6"/>
  <c r="E59" i="6" s="1"/>
  <c r="G58" i="6"/>
  <c r="D58" i="6"/>
  <c r="E58" i="6"/>
  <c r="G57" i="6"/>
  <c r="D57" i="6"/>
  <c r="E57" i="6" s="1"/>
  <c r="C44" i="8"/>
  <c r="D44" i="8" s="1"/>
  <c r="F44" i="8"/>
  <c r="G56" i="6"/>
  <c r="D56" i="6"/>
  <c r="E56" i="6"/>
  <c r="G55" i="6"/>
  <c r="D55" i="6"/>
  <c r="E55" i="6" s="1"/>
  <c r="C43" i="8"/>
  <c r="D43" i="8" s="1"/>
  <c r="F43" i="8"/>
  <c r="C42" i="8"/>
  <c r="D42" i="8" s="1"/>
  <c r="F42" i="8"/>
  <c r="G54" i="6"/>
  <c r="D54" i="6"/>
  <c r="E54" i="6" s="1"/>
  <c r="F41" i="8"/>
  <c r="C41" i="8"/>
  <c r="D41" i="8" s="1"/>
  <c r="C40" i="8"/>
  <c r="D40" i="8" s="1"/>
  <c r="F40" i="8"/>
  <c r="G53" i="6"/>
  <c r="C39" i="8"/>
  <c r="D39" i="8" s="1"/>
  <c r="F39" i="8"/>
  <c r="D53" i="6"/>
  <c r="E53" i="6" s="1"/>
  <c r="C38" i="8"/>
  <c r="D38" i="8" s="1"/>
  <c r="F38" i="8"/>
  <c r="C37" i="8"/>
  <c r="D37" i="8" s="1"/>
  <c r="F37" i="8"/>
  <c r="D52" i="6"/>
  <c r="E52" i="6"/>
  <c r="G52" i="6"/>
  <c r="G51" i="6"/>
  <c r="D51" i="6"/>
  <c r="E51" i="6"/>
  <c r="C36" i="8"/>
  <c r="D36" i="8" s="1"/>
  <c r="F36" i="8"/>
  <c r="C35" i="8"/>
  <c r="D35" i="8" s="1"/>
  <c r="F35" i="8"/>
  <c r="G50" i="6"/>
  <c r="G49" i="6"/>
  <c r="D50" i="6"/>
  <c r="E50" i="6" s="1"/>
  <c r="D49" i="6"/>
  <c r="E49" i="6" s="1"/>
  <c r="G48" i="6"/>
  <c r="D48" i="6"/>
  <c r="E48" i="6" s="1"/>
  <c r="G47" i="6"/>
  <c r="D47" i="6"/>
  <c r="E47" i="6" s="1"/>
  <c r="G46" i="6"/>
  <c r="D46" i="6"/>
  <c r="E46" i="6" s="1"/>
  <c r="C34" i="8"/>
  <c r="D34" i="8" s="1"/>
  <c r="F34" i="8"/>
  <c r="C33" i="8"/>
  <c r="D33" i="8" s="1"/>
  <c r="F33" i="8"/>
  <c r="C32" i="8"/>
  <c r="D32" i="8" s="1"/>
  <c r="F32" i="8"/>
  <c r="G45" i="6"/>
  <c r="G44" i="6"/>
  <c r="G43" i="6"/>
  <c r="D45" i="6"/>
  <c r="E45" i="6"/>
  <c r="D44" i="6"/>
  <c r="E44" i="6"/>
  <c r="D43" i="6"/>
  <c r="E43" i="6" s="1"/>
  <c r="W41" i="6"/>
  <c r="G42" i="6"/>
  <c r="F19" i="7"/>
  <c r="C19" i="7"/>
  <c r="D19" i="7" s="1"/>
  <c r="C31" i="8"/>
  <c r="D31" i="8" s="1"/>
  <c r="F31" i="8"/>
  <c r="D42" i="6"/>
  <c r="E42" i="6"/>
  <c r="G41" i="6"/>
  <c r="D41" i="6"/>
  <c r="E41" i="6" s="1"/>
  <c r="K35" i="7"/>
  <c r="F18" i="7"/>
  <c r="C18" i="7"/>
  <c r="D18" i="7" s="1"/>
  <c r="F17" i="7"/>
  <c r="C17" i="7"/>
  <c r="D17" i="7" s="1"/>
  <c r="C30" i="8"/>
  <c r="D30" i="8" s="1"/>
  <c r="F30" i="8"/>
  <c r="F16" i="7"/>
  <c r="C16" i="7"/>
  <c r="D16" i="7" s="1"/>
  <c r="F15" i="7"/>
  <c r="C15" i="7"/>
  <c r="D15" i="7" s="1"/>
  <c r="F14" i="7"/>
  <c r="C29" i="8"/>
  <c r="D29" i="8" s="1"/>
  <c r="F29" i="8"/>
  <c r="C14" i="7"/>
  <c r="D14" i="7" s="1"/>
  <c r="F13" i="7"/>
  <c r="C13" i="7"/>
  <c r="D13" i="7" s="1"/>
  <c r="C28" i="8"/>
  <c r="D28" i="8" s="1"/>
  <c r="F28" i="8"/>
  <c r="C27" i="8"/>
  <c r="D27" i="8" s="1"/>
  <c r="F27" i="8"/>
  <c r="F12" i="7"/>
  <c r="C12" i="7"/>
  <c r="D12" i="7" s="1"/>
  <c r="F11" i="7"/>
  <c r="C26" i="8"/>
  <c r="D26" i="8" s="1"/>
  <c r="F26" i="8"/>
  <c r="G40" i="6"/>
  <c r="D40" i="6"/>
  <c r="E40" i="6" s="1"/>
  <c r="C25" i="8"/>
  <c r="D25" i="8" s="1"/>
  <c r="F25" i="8"/>
  <c r="C24" i="8"/>
  <c r="D24" i="8" s="1"/>
  <c r="F24" i="8"/>
  <c r="C11" i="7"/>
  <c r="D11" i="7" s="1"/>
  <c r="G39" i="6"/>
  <c r="D39" i="6"/>
  <c r="E39" i="6"/>
  <c r="G38" i="6"/>
  <c r="D38" i="6"/>
  <c r="E38" i="6"/>
  <c r="G37" i="6"/>
  <c r="D37" i="6"/>
  <c r="E37" i="6" s="1"/>
  <c r="C23" i="8"/>
  <c r="D23" i="8" s="1"/>
  <c r="F23" i="8"/>
  <c r="C22" i="8"/>
  <c r="D22" i="8" s="1"/>
  <c r="F22" i="8"/>
  <c r="G36" i="6"/>
  <c r="D36" i="6"/>
  <c r="E36" i="6" s="1"/>
  <c r="G35" i="6"/>
  <c r="D35" i="6"/>
  <c r="E35" i="6" s="1"/>
  <c r="G34" i="6"/>
  <c r="D34" i="6"/>
  <c r="E34" i="6" s="1"/>
  <c r="G33" i="6"/>
  <c r="D33" i="6"/>
  <c r="E33" i="6"/>
  <c r="G32" i="6"/>
  <c r="D32" i="6"/>
  <c r="E32" i="6"/>
  <c r="G31" i="6"/>
  <c r="C21" i="8"/>
  <c r="D21" i="8" s="1"/>
  <c r="F21" i="8"/>
  <c r="C20" i="8"/>
  <c r="D20" i="8" s="1"/>
  <c r="F20" i="8"/>
  <c r="D31" i="6"/>
  <c r="E31" i="6"/>
  <c r="G30" i="6"/>
  <c r="D30" i="6"/>
  <c r="E30" i="6" s="1"/>
  <c r="C19" i="8"/>
  <c r="D19" i="8" s="1"/>
  <c r="F19" i="8"/>
  <c r="C18" i="8"/>
  <c r="D18" i="8" s="1"/>
  <c r="F18" i="8"/>
  <c r="C17" i="8"/>
  <c r="D17" i="8" s="1"/>
  <c r="F17" i="8"/>
  <c r="N36" i="7"/>
  <c r="O36" i="7" s="1"/>
  <c r="N35" i="7"/>
  <c r="O35" i="7" s="1"/>
  <c r="W38" i="6"/>
  <c r="X38" i="6"/>
  <c r="G28" i="6"/>
  <c r="G29" i="6"/>
  <c r="G27" i="6"/>
  <c r="D29" i="6"/>
  <c r="E29" i="6"/>
  <c r="D28" i="6"/>
  <c r="E28" i="6" s="1"/>
  <c r="D27" i="6"/>
  <c r="E27" i="6"/>
  <c r="C13" i="8"/>
  <c r="D13" i="8" s="1"/>
  <c r="F13" i="8"/>
  <c r="C16" i="8"/>
  <c r="D16" i="8" s="1"/>
  <c r="F16" i="8"/>
  <c r="C15" i="8"/>
  <c r="D15" i="8" s="1"/>
  <c r="F15" i="8"/>
  <c r="C14" i="8"/>
  <c r="D14" i="8" s="1"/>
  <c r="F14" i="8"/>
  <c r="C12" i="8"/>
  <c r="D12" i="8"/>
  <c r="F12" i="8"/>
  <c r="C11" i="8"/>
  <c r="D11" i="8" s="1"/>
  <c r="F11" i="8"/>
  <c r="F10" i="8"/>
  <c r="C10" i="8"/>
  <c r="D10" i="8" s="1"/>
  <c r="C9" i="8"/>
  <c r="D9" i="8" s="1"/>
  <c r="F9" i="8"/>
  <c r="G26" i="6"/>
  <c r="F8" i="8"/>
  <c r="C8" i="8"/>
  <c r="D8" i="8"/>
  <c r="F10" i="7"/>
  <c r="G25" i="6"/>
  <c r="C10" i="7"/>
  <c r="D10" i="7" s="1"/>
  <c r="D26" i="6"/>
  <c r="E26" i="6" s="1"/>
  <c r="D25" i="6"/>
  <c r="E25" i="6" s="1"/>
  <c r="G24" i="6"/>
  <c r="F9" i="7"/>
  <c r="D24" i="6"/>
  <c r="E24" i="6"/>
  <c r="G23" i="6"/>
  <c r="F8" i="7"/>
  <c r="G22" i="6"/>
  <c r="F7" i="7"/>
  <c r="G21" i="6"/>
  <c r="F5" i="8"/>
  <c r="F7" i="8"/>
  <c r="C5" i="8"/>
  <c r="D5" i="8" s="1"/>
  <c r="F4" i="8"/>
  <c r="F6" i="8"/>
  <c r="F3" i="8"/>
  <c r="C3" i="8"/>
  <c r="D3" i="8" s="1"/>
  <c r="C4" i="8"/>
  <c r="D4" i="8" s="1"/>
  <c r="C7" i="8"/>
  <c r="D7" i="8" s="1"/>
  <c r="C6" i="8"/>
  <c r="D6" i="8" s="1"/>
  <c r="C9" i="7"/>
  <c r="D9" i="7" s="1"/>
  <c r="C8" i="7"/>
  <c r="D8" i="7" s="1"/>
  <c r="C7" i="7"/>
  <c r="D7" i="7" s="1"/>
  <c r="D23" i="6"/>
  <c r="E23" i="6"/>
  <c r="D22" i="6"/>
  <c r="E22" i="6" s="1"/>
  <c r="D21" i="6"/>
  <c r="E21" i="6"/>
  <c r="G20" i="6"/>
  <c r="G19" i="6"/>
  <c r="D20" i="6"/>
  <c r="E20" i="6"/>
  <c r="G16" i="6"/>
  <c r="G15" i="6"/>
  <c r="D19" i="6"/>
  <c r="E19" i="6" s="1"/>
  <c r="D18" i="6"/>
  <c r="E18" i="6"/>
  <c r="D17" i="6"/>
  <c r="E17" i="6"/>
  <c r="D16" i="6"/>
  <c r="E16" i="6"/>
  <c r="D15" i="6"/>
  <c r="E15" i="6"/>
  <c r="S38" i="6"/>
  <c r="T38" i="6"/>
  <c r="G14" i="6"/>
  <c r="D14" i="6"/>
  <c r="E14" i="6"/>
  <c r="G13" i="6"/>
  <c r="D13" i="6"/>
  <c r="E13" i="6"/>
  <c r="G12" i="6"/>
  <c r="D12" i="6"/>
  <c r="E12" i="6" s="1"/>
  <c r="G11" i="6"/>
  <c r="D11" i="6"/>
  <c r="E11" i="6"/>
  <c r="G10" i="6"/>
  <c r="D10" i="6"/>
  <c r="E10" i="6"/>
  <c r="G9" i="6"/>
  <c r="D9" i="6"/>
  <c r="E9" i="6"/>
  <c r="G8" i="6"/>
  <c r="D8" i="6"/>
  <c r="E8" i="6" s="1"/>
  <c r="G7" i="6"/>
  <c r="D7" i="6"/>
  <c r="E7" i="6"/>
  <c r="G6" i="6"/>
  <c r="D6" i="6"/>
  <c r="E6" i="6"/>
  <c r="G5" i="6"/>
  <c r="D5" i="6"/>
  <c r="E5" i="6"/>
  <c r="G4" i="6"/>
  <c r="D4" i="6"/>
  <c r="E4" i="6" s="1"/>
  <c r="G3" i="6"/>
  <c r="D3" i="6"/>
  <c r="E3" i="6"/>
  <c r="G2" i="6"/>
  <c r="D2" i="6"/>
  <c r="E2" i="6"/>
  <c r="F6" i="7"/>
  <c r="C6" i="7"/>
  <c r="D6" i="7" s="1"/>
  <c r="F5" i="7"/>
  <c r="C5" i="7"/>
  <c r="D5" i="7" s="1"/>
  <c r="F4" i="7"/>
  <c r="C4" i="7"/>
  <c r="D4" i="7" s="1"/>
  <c r="F3" i="7"/>
  <c r="C3" i="7"/>
  <c r="D3" i="7" s="1"/>
  <c r="F2" i="7"/>
  <c r="C2" i="7"/>
  <c r="D2" i="7" s="1"/>
</calcChain>
</file>

<file path=xl/sharedStrings.xml><?xml version="1.0" encoding="utf-8"?>
<sst xmlns="http://schemas.openxmlformats.org/spreadsheetml/2006/main" count="150" uniqueCount="99">
  <si>
    <t>ML/s</t>
  </si>
  <si>
    <t>um/hr</t>
  </si>
  <si>
    <t xml:space="preserve">Temp (C) </t>
  </si>
  <si>
    <t>Temp (K)</t>
  </si>
  <si>
    <t>10000/T</t>
  </si>
  <si>
    <t>GR (ML/s)</t>
  </si>
  <si>
    <t>Ga Flux</t>
  </si>
  <si>
    <t>LN(Flux)</t>
  </si>
  <si>
    <t>In Flux</t>
  </si>
  <si>
    <t>Temp</t>
  </si>
  <si>
    <t>Flux</t>
  </si>
  <si>
    <t>Valve Position</t>
  </si>
  <si>
    <t>GR (As Uptake)</t>
  </si>
  <si>
    <t>Date</t>
  </si>
  <si>
    <t>In GR (ML/s)</t>
  </si>
  <si>
    <t>Log(Flux)</t>
  </si>
  <si>
    <t>As Base</t>
  </si>
  <si>
    <t>As Cracker</t>
  </si>
  <si>
    <t>Notes</t>
  </si>
  <si>
    <t>As species</t>
  </si>
  <si>
    <t>time for on um (min)</t>
  </si>
  <si>
    <t xml:space="preserve">Base Temp (C) </t>
  </si>
  <si>
    <t>Tip Temp ©</t>
  </si>
  <si>
    <t>Flux (wait for BFM to stabilize)</t>
  </si>
  <si>
    <t>T Cell</t>
  </si>
  <si>
    <t>Temp K</t>
  </si>
  <si>
    <t>ML/s (GaAs)</t>
  </si>
  <si>
    <t>ML/s (InP)</t>
  </si>
  <si>
    <t>um/hr InP</t>
  </si>
  <si>
    <t>ML/s (InAs)</t>
  </si>
  <si>
    <t>GR (&lt;0.5 ML/s))</t>
  </si>
  <si>
    <t>Group V Species</t>
  </si>
  <si>
    <t>LN Flux</t>
  </si>
  <si>
    <t xml:space="preserve">Need </t>
  </si>
  <si>
    <t>after long period of cells cold and chamber unused</t>
  </si>
  <si>
    <t>after long system cold and idle</t>
  </si>
  <si>
    <t>could not get great Ga oscillations, could get no As uptake</t>
  </si>
  <si>
    <t>Tl Flux</t>
  </si>
  <si>
    <t>flux dropped, something happened here</t>
  </si>
  <si>
    <t>flux much lower than anticipated below melting point, need to heatup</t>
  </si>
  <si>
    <t>melting occurred at about Tsub=330C</t>
  </si>
  <si>
    <t>flux lower than on heatup, something happened.  On cooling freeze occurred about 325C</t>
  </si>
  <si>
    <t>Growth Rate (ML/s)</t>
  </si>
  <si>
    <t>Desired Thickness (in um)</t>
  </si>
  <si>
    <t>Time To Grow (min)</t>
  </si>
  <si>
    <t>Tl Flux Targeting using exponential fit</t>
  </si>
  <si>
    <t>Pre-factor</t>
  </si>
  <si>
    <t>Exponential term</t>
  </si>
  <si>
    <t>Cell Temperature</t>
  </si>
  <si>
    <t>Predicted Flux</t>
  </si>
  <si>
    <t>long idle and power down before</t>
  </si>
  <si>
    <t>Kevin's method</t>
  </si>
  <si>
    <t>Al Flux</t>
  </si>
  <si>
    <t>First measurements after melt</t>
  </si>
  <si>
    <t>First use of cell, been at idle temp since last bake</t>
  </si>
  <si>
    <t>really have to wait for flux to stabilize due to temp swing with shutter open</t>
  </si>
  <si>
    <t>Growth Rate</t>
  </si>
  <si>
    <t>A</t>
  </si>
  <si>
    <t>Predict Fluxes based on cell temp and Aexp(Ea*Temp) fit</t>
  </si>
  <si>
    <t>Ea</t>
  </si>
  <si>
    <t>Predict Growth Based on  liner fit of flux vs. GR, y=mx+b</t>
  </si>
  <si>
    <t>m</t>
  </si>
  <si>
    <t>b</t>
  </si>
  <si>
    <t>after long idle</t>
  </si>
  <si>
    <t>Growth Rate (parabolic fit)</t>
  </si>
  <si>
    <t>Growth Rate (exponential Fit)</t>
  </si>
  <si>
    <t>Growth Rate (nm/s)</t>
  </si>
  <si>
    <t>Desired Layer Thickness (nm)</t>
  </si>
  <si>
    <t>Time to grow layer (s)</t>
  </si>
  <si>
    <t>first time using BFM recipe</t>
  </si>
  <si>
    <t>AlAs lattice parameter (nm)</t>
  </si>
  <si>
    <t>after long idle and melt, 2 min on 2 min off BFM measure</t>
  </si>
  <si>
    <t>nm/s</t>
  </si>
  <si>
    <t>Desired Thickness (in nm)</t>
  </si>
  <si>
    <t>Time To Grow (s)</t>
  </si>
  <si>
    <t>after freeze and reheat</t>
  </si>
  <si>
    <t>not stable, going up, value uncertain</t>
  </si>
  <si>
    <t>did not get long enough to stabilize</t>
  </si>
  <si>
    <t>7/09/219</t>
  </si>
  <si>
    <t>calculate flux needed for GR</t>
  </si>
  <si>
    <t>calculate flux for given cell temp</t>
  </si>
  <si>
    <t>Temp in C</t>
  </si>
  <si>
    <t>Temp inK</t>
  </si>
  <si>
    <t>exponential method</t>
  </si>
  <si>
    <t>linear method</t>
  </si>
  <si>
    <t>GR from flux</t>
  </si>
  <si>
    <t>Note change in bulk temp</t>
  </si>
  <si>
    <t xml:space="preserve"> </t>
  </si>
  <si>
    <t>drop from previous</t>
  </si>
  <si>
    <t>LONG IDLE</t>
  </si>
  <si>
    <t>Base Temp</t>
  </si>
  <si>
    <t>GR</t>
  </si>
  <si>
    <t>Long Idle</t>
  </si>
  <si>
    <t>a</t>
  </si>
  <si>
    <t>c</t>
  </si>
  <si>
    <t>d</t>
  </si>
  <si>
    <t>Vavle Position</t>
  </si>
  <si>
    <t>Coefficient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</si>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</sst>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E+00"/>
    <numFmt numFmtId="166" formatCode="0.0000"/>
    <numFmt numFmtId="167" formatCode="0.0"/>
    <numFmt numFmtId="168" formatCode="m/d/yyyy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6" borderId="0" applyNumberFormat="0" applyBorder="0" applyAlignment="0" applyProtection="0"/>
  </cellStyleXfs>
  <cellXfs count="70">
    <xf numFmtId="0" fontId="0" fillId="0" borderId="0" xfId="0"/>
    <xf numFmtId="0" fontId="2" fillId="2" borderId="0" xfId="1"/>
    <xf numFmtId="164" fontId="0" fillId="0" borderId="0" xfId="0" applyNumberFormat="1"/>
    <xf numFmtId="11" fontId="0" fillId="0" borderId="0" xfId="0" applyNumberFormat="1"/>
    <xf numFmtId="0" fontId="2" fillId="4" borderId="0" xfId="3"/>
    <xf numFmtId="14" fontId="0" fillId="0" borderId="0" xfId="0" applyNumberFormat="1"/>
    <xf numFmtId="14" fontId="4" fillId="0" borderId="0" xfId="0" applyNumberFormat="1" applyFont="1"/>
    <xf numFmtId="0" fontId="3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2" fontId="0" fillId="0" borderId="0" xfId="0" applyNumberFormat="1"/>
    <xf numFmtId="0" fontId="0" fillId="0" borderId="0" xfId="0" applyFont="1"/>
    <xf numFmtId="1" fontId="0" fillId="0" borderId="0" xfId="0" applyNumberFormat="1"/>
    <xf numFmtId="165" fontId="0" fillId="0" borderId="0" xfId="0" applyNumberFormat="1"/>
    <xf numFmtId="11" fontId="4" fillId="0" borderId="0" xfId="0" applyNumberFormat="1" applyFont="1"/>
    <xf numFmtId="0" fontId="6" fillId="0" borderId="0" xfId="0" applyFont="1"/>
    <xf numFmtId="11" fontId="6" fillId="0" borderId="0" xfId="0" applyNumberFormat="1" applyFont="1"/>
    <xf numFmtId="11" fontId="7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5" borderId="1" xfId="3" applyFont="1" applyFill="1" applyBorder="1" applyAlignment="1">
      <alignment wrapText="1"/>
    </xf>
    <xf numFmtId="0" fontId="2" fillId="5" borderId="1" xfId="3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Border="1"/>
    <xf numFmtId="11" fontId="0" fillId="0" borderId="1" xfId="0" applyNumberFormat="1" applyBorder="1"/>
    <xf numFmtId="0" fontId="0" fillId="0" borderId="1" xfId="0" applyBorder="1"/>
    <xf numFmtId="167" fontId="0" fillId="0" borderId="1" xfId="0" applyNumberFormat="1" applyBorder="1"/>
    <xf numFmtId="0" fontId="8" fillId="6" borderId="0" xfId="4"/>
    <xf numFmtId="11" fontId="9" fillId="0" borderId="0" xfId="0" applyNumberFormat="1" applyFont="1"/>
    <xf numFmtId="11" fontId="0" fillId="0" borderId="0" xfId="0" applyNumberFormat="1" applyFont="1"/>
    <xf numFmtId="168" fontId="0" fillId="0" borderId="0" xfId="0" applyNumberFormat="1"/>
    <xf numFmtId="168" fontId="2" fillId="3" borderId="0" xfId="2" applyNumberFormat="1" applyAlignment="1">
      <alignment horizontal="center" wrapText="1"/>
    </xf>
    <xf numFmtId="0" fontId="2" fillId="3" borderId="0" xfId="2" applyAlignment="1">
      <alignment horizontal="center" wrapText="1"/>
    </xf>
    <xf numFmtId="0" fontId="2" fillId="3" borderId="0" xfId="2" applyAlignment="1">
      <alignment horizontal="center" vertical="center"/>
    </xf>
    <xf numFmtId="0" fontId="8" fillId="6" borderId="0" xfId="4" applyAlignment="1">
      <alignment wrapText="1"/>
    </xf>
    <xf numFmtId="0" fontId="0" fillId="0" borderId="0" xfId="0" applyAlignment="1">
      <alignment wrapText="1"/>
    </xf>
    <xf numFmtId="0" fontId="0" fillId="7" borderId="1" xfId="0" applyFill="1" applyBorder="1" applyAlignment="1">
      <alignment wrapText="1"/>
    </xf>
    <xf numFmtId="0" fontId="8" fillId="6" borderId="1" xfId="4" applyBorder="1" applyAlignment="1">
      <alignment wrapText="1"/>
    </xf>
    <xf numFmtId="11" fontId="4" fillId="0" borderId="1" xfId="0" applyNumberFormat="1" applyFont="1" applyBorder="1"/>
    <xf numFmtId="0" fontId="2" fillId="4" borderId="1" xfId="3" applyBorder="1"/>
    <xf numFmtId="0" fontId="2" fillId="4" borderId="1" xfId="3" applyBorder="1" applyAlignment="1">
      <alignment horizontal="center"/>
    </xf>
    <xf numFmtId="0" fontId="2" fillId="8" borderId="1" xfId="3" applyFont="1" applyFill="1" applyBorder="1" applyAlignment="1">
      <alignment wrapText="1"/>
    </xf>
    <xf numFmtId="0" fontId="2" fillId="8" borderId="1" xfId="3" applyFont="1" applyFill="1" applyBorder="1" applyAlignment="1">
      <alignment horizontal="center" wrapText="1"/>
    </xf>
    <xf numFmtId="0" fontId="2" fillId="8" borderId="1" xfId="0" applyFont="1" applyFill="1" applyBorder="1" applyAlignment="1">
      <alignment wrapText="1"/>
    </xf>
    <xf numFmtId="14" fontId="4" fillId="9" borderId="0" xfId="0" applyNumberFormat="1" applyFont="1" applyFill="1"/>
    <xf numFmtId="0" fontId="0" fillId="9" borderId="0" xfId="0" applyFill="1"/>
    <xf numFmtId="11" fontId="0" fillId="9" borderId="0" xfId="0" applyNumberFormat="1" applyFill="1"/>
    <xf numFmtId="165" fontId="0" fillId="9" borderId="0" xfId="0" applyNumberFormat="1" applyFill="1"/>
    <xf numFmtId="0" fontId="4" fillId="9" borderId="0" xfId="0" applyFont="1" applyFill="1"/>
    <xf numFmtId="14" fontId="4" fillId="9" borderId="2" xfId="0" applyNumberFormat="1" applyFont="1" applyFill="1" applyBorder="1"/>
    <xf numFmtId="0" fontId="0" fillId="9" borderId="3" xfId="0" applyFont="1" applyFill="1" applyBorder="1"/>
    <xf numFmtId="11" fontId="0" fillId="9" borderId="3" xfId="0" applyNumberFormat="1" applyFont="1" applyFill="1" applyBorder="1"/>
    <xf numFmtId="165" fontId="0" fillId="9" borderId="3" xfId="0" applyNumberFormat="1" applyFont="1" applyFill="1" applyBorder="1"/>
    <xf numFmtId="0" fontId="0" fillId="9" borderId="4" xfId="0" applyFont="1" applyFill="1" applyBorder="1"/>
    <xf numFmtId="0" fontId="4" fillId="9" borderId="2" xfId="0" applyFont="1" applyFill="1" applyBorder="1"/>
    <xf numFmtId="168" fontId="0" fillId="9" borderId="0" xfId="0" applyNumberFormat="1" applyFill="1"/>
    <xf numFmtId="11" fontId="1" fillId="0" borderId="5" xfId="0" applyNumberFormat="1" applyFont="1" applyBorder="1" applyAlignment="1">
      <alignment vertical="center" wrapText="1"/>
    </xf>
    <xf numFmtId="11" fontId="7" fillId="0" borderId="5" xfId="0" applyNumberFormat="1" applyFont="1" applyBorder="1" applyAlignment="1">
      <alignment vertical="center" wrapText="1"/>
    </xf>
    <xf numFmtId="0" fontId="2" fillId="3" borderId="0" xfId="2" applyBorder="1" applyAlignment="1">
      <alignment horizont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0" fillId="9" borderId="0" xfId="0" applyFill="1" applyBorder="1"/>
    <xf numFmtId="14" fontId="0" fillId="0" borderId="0" xfId="0" applyNumberFormat="1" applyFont="1"/>
    <xf numFmtId="0" fontId="10" fillId="0" borderId="0" xfId="0" applyFont="1"/>
    <xf numFmtId="0" fontId="3" fillId="0" borderId="0" xfId="0" applyFont="1" applyAlignment="1">
      <alignment horizontal="left" wrapText="1"/>
    </xf>
  </cellXfs>
  <cellStyles count="5">
    <cellStyle name="Accent1" xfId="1" builtinId="29"/>
    <cellStyle name="Accent2" xfId="2" builtinId="33"/>
    <cellStyle name="Accent4" xfId="4" builtinId="41"/>
    <cellStyle name="Accent6" xfId="3" builtinId="49"/>
    <cellStyle name="Normal" xfId="0" builtinId="0"/>
  </cellStyles>
  <dxfs count="7">
    <dxf>
      <numFmt numFmtId="15" formatCode="0.00E+00"/>
    </dxf>
    <dxf>
      <numFmt numFmtId="165" formatCode="0.000E+00"/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9" formatCode="m/d/yyyy"/>
    </dxf>
    <dxf>
      <font>
        <b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'Arsenic Valve'!$D$261:$D$264</c:f>
              <c:numCache>
                <c:formatCode>General</c:formatCode>
                <c:ptCount val="4"/>
                <c:pt idx="0">
                  <c:v>300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</c:numCache>
            </c:numRef>
          </c:xVal>
          <c:yVal>
            <c:numRef>
              <c:f>'Arsenic Valve'!$E$261:$E$264</c:f>
              <c:numCache>
                <c:formatCode>0.00E+00</c:formatCode>
                <c:ptCount val="4"/>
                <c:pt idx="0">
                  <c:v>7.8499999999999994E-6</c:v>
                </c:pt>
                <c:pt idx="1">
                  <c:v>5.1699999999999996E-6</c:v>
                </c:pt>
                <c:pt idx="2">
                  <c:v>1.6899999999999999E-6</c:v>
                </c:pt>
                <c:pt idx="3">
                  <c:v>8.3999999999999998E-8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493C-B547-B6DF985E5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902416"/>
        <c:axId val="287889952"/>
      </c:scatterChart>
      <c:valAx>
        <c:axId val="28790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89952"/>
        <c:crosses val="autoZero"/>
        <c:crossBetween val="midCat"/>
      </c:valAx>
      <c:valAx>
        <c:axId val="2878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0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 Base vs. Flux Aug 2023 -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613030369218308E-2"/>
                  <c:y val="0.3433034883595689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 Cell'!$B$48:$B$59</c:f>
              <c:numCache>
                <c:formatCode>General</c:formatCode>
                <c:ptCount val="12"/>
                <c:pt idx="0">
                  <c:v>550</c:v>
                </c:pt>
                <c:pt idx="1">
                  <c:v>525</c:v>
                </c:pt>
                <c:pt idx="2">
                  <c:v>500</c:v>
                </c:pt>
                <c:pt idx="3">
                  <c:v>490</c:v>
                </c:pt>
                <c:pt idx="4">
                  <c:v>510</c:v>
                </c:pt>
                <c:pt idx="5">
                  <c:v>490</c:v>
                </c:pt>
                <c:pt idx="6">
                  <c:v>505</c:v>
                </c:pt>
                <c:pt idx="7">
                  <c:v>480</c:v>
                </c:pt>
                <c:pt idx="8">
                  <c:v>462</c:v>
                </c:pt>
                <c:pt idx="9">
                  <c:v>480</c:v>
                </c:pt>
                <c:pt idx="10">
                  <c:v>462</c:v>
                </c:pt>
                <c:pt idx="11">
                  <c:v>480</c:v>
                </c:pt>
              </c:numCache>
            </c:numRef>
          </c:xVal>
          <c:yVal>
            <c:numRef>
              <c:f>'Tl Cell'!$E$48:$E$59</c:f>
              <c:numCache>
                <c:formatCode>0.00E+00</c:formatCode>
                <c:ptCount val="12"/>
                <c:pt idx="0">
                  <c:v>7.5800000000000004E-8</c:v>
                </c:pt>
                <c:pt idx="1">
                  <c:v>3.4300000000000003E-8</c:v>
                </c:pt>
                <c:pt idx="2">
                  <c:v>1.4699999999999999E-8</c:v>
                </c:pt>
                <c:pt idx="3">
                  <c:v>1.04E-8</c:v>
                </c:pt>
                <c:pt idx="4">
                  <c:v>2.0599999999999999E-8</c:v>
                </c:pt>
                <c:pt idx="5">
                  <c:v>1.04E-8</c:v>
                </c:pt>
                <c:pt idx="6">
                  <c:v>1.7500000000000001E-8</c:v>
                </c:pt>
                <c:pt idx="7">
                  <c:v>7.2500000000000004E-9</c:v>
                </c:pt>
                <c:pt idx="8">
                  <c:v>3.8199999999999996E-9</c:v>
                </c:pt>
                <c:pt idx="9">
                  <c:v>7.3499999999999996E-9</c:v>
                </c:pt>
                <c:pt idx="10">
                  <c:v>3.7799999999999998E-9</c:v>
                </c:pt>
                <c:pt idx="11">
                  <c:v>7.3600000000000002E-9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D-4FE2-A652-3C2E69B1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8136"/>
        <c:axId val="237979448"/>
      </c:scatterChart>
      <c:valAx>
        <c:axId val="23797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9448"/>
        <c:crosses val="autoZero"/>
        <c:crossBetween val="midCat"/>
      </c:valAx>
      <c:valAx>
        <c:axId val="237979448"/>
        <c:scaling>
          <c:logBase val="10"/>
          <c:orientation val="minMax"/>
          <c:max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temp vs BEP, 9/19/18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Cell temp vs BEP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7.7529527559055122E-2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InAs'!$B$2:$B$6</c:f>
              <c:numCache>
                <c:formatCode>General</c:formatCode>
                <c:ptCount val="5"/>
                <c:pt idx="0">
                  <c:v>800</c:v>
                </c:pt>
                <c:pt idx="1">
                  <c:v>775</c:v>
                </c:pt>
                <c:pt idx="2">
                  <c:v>750</c:v>
                </c:pt>
                <c:pt idx="3">
                  <c:v>725</c:v>
                </c:pt>
                <c:pt idx="4">
                  <c:v>700</c:v>
                </c:pt>
              </c:numCache>
            </c:numRef>
          </c:xVal>
          <c:yVal>
            <c:numRef>
              <c:f>' Indium - InAs'!$E$2:$E$6</c:f>
              <c:numCache>
                <c:formatCode>0.00E+00</c:formatCode>
                <c:ptCount val="5"/>
                <c:pt idx="0">
                  <c:v>8.3500000000000005E-7</c:v>
                </c:pt>
                <c:pt idx="1">
                  <c:v>4.89E-7</c:v>
                </c:pt>
                <c:pt idx="2">
                  <c:v>2.7599999999999998E-7</c:v>
                </c:pt>
                <c:pt idx="3">
                  <c:v>1.4100000000000001E-7</c:v>
                </c:pt>
                <c:pt idx="4">
                  <c:v>7.7999999999999997E-8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2-42F4-BFA1-C983F352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500552"/>
        <c:axId val="272501536"/>
      </c:scatterChart>
      <c:valAx>
        <c:axId val="27250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01536"/>
        <c:crosses val="autoZero"/>
        <c:crossBetween val="midCat"/>
      </c:valAx>
      <c:valAx>
        <c:axId val="2725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0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BEP Flux vs. Osc GR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39785651793526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 Indium - InAs'!$E$2:$E$6</c:f>
              <c:numCache>
                <c:formatCode>0.00E+00</c:formatCode>
                <c:ptCount val="5"/>
                <c:pt idx="0">
                  <c:v>8.3500000000000005E-7</c:v>
                </c:pt>
                <c:pt idx="1">
                  <c:v>4.89E-7</c:v>
                </c:pt>
                <c:pt idx="2">
                  <c:v>2.7599999999999998E-7</c:v>
                </c:pt>
                <c:pt idx="3">
                  <c:v>1.4100000000000001E-7</c:v>
                </c:pt>
                <c:pt idx="4">
                  <c:v>7.7999999999999997E-8</c:v>
                </c:pt>
              </c:numCache>
            </c:numRef>
          </c:xVal>
          <c:yVal>
            <c:numRef>
              <c:f>' Indium - InAs'!$G$2:$G$6</c:f>
              <c:numCache>
                <c:formatCode>General</c:formatCode>
                <c:ptCount val="5"/>
                <c:pt idx="0">
                  <c:v>0.56399999999999995</c:v>
                </c:pt>
                <c:pt idx="1">
                  <c:v>0.33</c:v>
                </c:pt>
                <c:pt idx="2">
                  <c:v>0.18099999999999999</c:v>
                </c:pt>
                <c:pt idx="3">
                  <c:v>9.6000000000000002E-2</c:v>
                </c:pt>
                <c:pt idx="4">
                  <c:v>4.7699999999999999E-2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F8A-A9E3-C2A7E4A6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941904"/>
        <c:axId val="281943872"/>
      </c:scatterChart>
      <c:valAx>
        <c:axId val="28194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3872"/>
        <c:crosses val="autoZero"/>
        <c:crossBetween val="midCat"/>
      </c:valAx>
      <c:valAx>
        <c:axId val="2819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Dates Temp</a:t>
            </a:r>
            <a:r>
              <a:rPr lang="en-US" baseline="0"/>
              <a:t> vs.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7/16 and 7/18/2018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8655726346883507E-2"/>
                  <c:y val="0.189398148148148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('Aluminum - AlAs'!$D$2:$D$4,'Aluminum - AlAs'!$D$10,'Aluminum - AlAs'!$D$11)</c:f>
              <c:numCache>
                <c:formatCode>General</c:formatCode>
                <c:ptCount val="5"/>
                <c:pt idx="0">
                  <c:v>7.2833211944646763</c:v>
                </c:pt>
                <c:pt idx="1">
                  <c:v>7.4183976261127595</c:v>
                </c:pt>
                <c:pt idx="2">
                  <c:v>7.5585789871504154</c:v>
                </c:pt>
                <c:pt idx="3">
                  <c:v>7.9681274900398407</c:v>
                </c:pt>
                <c:pt idx="4">
                  <c:v>7.9681274900398407</c:v>
                </c:pt>
              </c:numCache>
            </c:numRef>
          </c:xVal>
          <c:yVal>
            <c:numRef>
              <c:f>('Aluminum - AlAs'!$F$2:$F$4,'Aluminum - AlAs'!$F$10,'Aluminum - AlAs'!$F$11)</c:f>
              <c:numCache>
                <c:formatCode>General</c:formatCode>
                <c:ptCount val="5"/>
                <c:pt idx="0">
                  <c:v>-14.83162162512064</c:v>
                </c:pt>
                <c:pt idx="1">
                  <c:v>-15.228148894423766</c:v>
                </c:pt>
                <c:pt idx="2">
                  <c:v>-15.660670803919444</c:v>
                </c:pt>
                <c:pt idx="3">
                  <c:v>-17.109648867333021</c:v>
                </c:pt>
                <c:pt idx="4">
                  <c:v>-17.064845590317184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9-4AE3-B629-6DA9D896FC90}"/>
            </c:ext>
          </c:extLst>
        </c:ser>
        <c:ser>
          <c:idx val="1"/>
          <c:order val="1"/>
          <c:tx>
            <c:v>5/16/2019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'Aluminum - AlAs'!$D$12:$D$15</c:f>
              <c:numCache>
                <c:formatCode>General</c:formatCode>
                <c:ptCount val="4"/>
                <c:pt idx="0">
                  <c:v>7.8554595443833461</c:v>
                </c:pt>
                <c:pt idx="1">
                  <c:v>7.5585789871504154</c:v>
                </c:pt>
                <c:pt idx="2">
                  <c:v>7.2833211944646763</c:v>
                </c:pt>
                <c:pt idx="3">
                  <c:v>7.1530758226037197</c:v>
                </c:pt>
              </c:numCache>
            </c:numRef>
          </c:xVal>
          <c:yVal>
            <c:numRef>
              <c:f>'Aluminum - AlAs'!$F$12:$F$15</c:f>
              <c:numCache>
                <c:formatCode>General</c:formatCode>
                <c:ptCount val="4"/>
                <c:pt idx="0">
                  <c:v>-17.312118124431088</c:v>
                </c:pt>
                <c:pt idx="1">
                  <c:v>-16.280614580456096</c:v>
                </c:pt>
                <c:pt idx="2">
                  <c:v>-15.338770774157322</c:v>
                </c:pt>
                <c:pt idx="3">
                  <c:v>-14.924173182485886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A-4974-AFAD-0AAC7D5D620C}"/>
            </c:ext>
          </c:extLst>
        </c:ser>
        <c:ser>
          <c:idx val="2"/>
          <c:order val="2"/>
          <c:tx>
            <c:v>6/17/2019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'Aluminum - AlAs'!$D$20:$D$22</c:f>
              <c:numCache>
                <c:formatCode>General</c:formatCode>
                <c:ptCount val="3"/>
                <c:pt idx="0">
                  <c:v>7.2833211944646763</c:v>
                </c:pt>
                <c:pt idx="1">
                  <c:v>7.1530758226037197</c:v>
                </c:pt>
                <c:pt idx="2">
                  <c:v>7.1022727272727275</c:v>
                </c:pt>
              </c:numCache>
            </c:numRef>
          </c:xVal>
          <c:yVal>
            <c:numRef>
              <c:f>'Aluminum - AlAs'!$F$20:$F$22</c:f>
              <c:numCache>
                <c:formatCode>General</c:formatCode>
                <c:ptCount val="3"/>
                <c:pt idx="0">
                  <c:v>-15.55278184190826</c:v>
                </c:pt>
                <c:pt idx="1">
                  <c:v>-15.081358766008298</c:v>
                </c:pt>
                <c:pt idx="2">
                  <c:v>-14.918130868029923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0-4F57-9E56-724122F98F08}"/>
            </c:ext>
          </c:extLst>
        </c:ser>
        <c:ser>
          <c:idx val="3"/>
          <c:order val="3"/>
          <c:tx>
            <c:v>8/21 to 8/23/2019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'Aluminum - AlAs'!$D$35:$D$37</c:f>
              <c:numCache>
                <c:formatCode>General</c:formatCode>
                <c:ptCount val="3"/>
                <c:pt idx="0">
                  <c:v>7.1787508973438623</c:v>
                </c:pt>
                <c:pt idx="1">
                  <c:v>7.2046109510086458</c:v>
                </c:pt>
                <c:pt idx="2">
                  <c:v>7.5585789871504154</c:v>
                </c:pt>
              </c:numCache>
            </c:numRef>
          </c:xVal>
          <c:yVal>
            <c:numRef>
              <c:f>'Aluminum - AlAs'!$F$35:$F$37</c:f>
              <c:numCache>
                <c:formatCode>General</c:formatCode>
                <c:ptCount val="3"/>
                <c:pt idx="0">
                  <c:v>-15.371407703470345</c:v>
                </c:pt>
                <c:pt idx="1">
                  <c:v>-15.481518821886768</c:v>
                </c:pt>
                <c:pt idx="2">
                  <c:v>-16.645728393040692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0-4987-BF18-AD0F1566DB3D}"/>
            </c:ext>
          </c:extLst>
        </c:ser>
        <c:ser>
          <c:idx val="4"/>
          <c:order val="4"/>
          <c:tx>
            <c:v>8/21 to 9/2/2019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462950791964047E-2"/>
                  <c:y val="-1.801524056216770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'Aluminum - AlAs'!$D$35:$D$39</c:f>
              <c:numCache>
                <c:formatCode>General</c:formatCode>
                <c:ptCount val="5"/>
                <c:pt idx="0">
                  <c:v>7.1787508973438623</c:v>
                </c:pt>
                <c:pt idx="1">
                  <c:v>7.2046109510086458</c:v>
                </c:pt>
                <c:pt idx="2">
                  <c:v>7.5585789871504154</c:v>
                </c:pt>
                <c:pt idx="3">
                  <c:v>7.2046109510086458</c:v>
                </c:pt>
                <c:pt idx="4">
                  <c:v>7.5301204819277112</c:v>
                </c:pt>
              </c:numCache>
            </c:numRef>
          </c:xVal>
          <c:yVal>
            <c:numRef>
              <c:f>'Aluminum - AlAs'!$F$35:$F$39</c:f>
              <c:numCache>
                <c:formatCode>General</c:formatCode>
                <c:ptCount val="5"/>
                <c:pt idx="0">
                  <c:v>-15.371407703470345</c:v>
                </c:pt>
                <c:pt idx="1">
                  <c:v>-15.481518821886768</c:v>
                </c:pt>
                <c:pt idx="2">
                  <c:v>-16.645728393040692</c:v>
                </c:pt>
                <c:pt idx="3">
                  <c:v>-15.460575648041525</c:v>
                </c:pt>
                <c:pt idx="4">
                  <c:v>-16.538166911455846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9-4A65-9DC2-2312A6A5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2720"/>
        <c:axId val="227543112"/>
      </c:scatterChart>
      <c:valAx>
        <c:axId val="22754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1e4/T(K)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43112"/>
        <c:crosses val="autoZero"/>
        <c:crossBetween val="midCat"/>
      </c:valAx>
      <c:valAx>
        <c:axId val="2275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4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Flux vs. GR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Growth rate vs. Ln(flux)</c:v>
          </c:tx>
          <c:spPr>
            <a:ln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1.1125519771656232E-2"/>
                  <c:y val="0.25224508286404834"/>
                </c:manualLayout>
              </c:layout>
              <c:numFmt formatCode="General" sourceLinked="0"/>
            </c:trendlineLbl>
          </c:trendline>
          <c:xVal>
            <c:numRef>
              <c:f>'Aluminum - AlAs'!$G$2:$G$22</c:f>
              <c:numCache>
                <c:formatCode>General</c:formatCode>
                <c:ptCount val="21"/>
                <c:pt idx="2">
                  <c:v>0.26400000000000001</c:v>
                </c:pt>
                <c:pt idx="3">
                  <c:v>0.14799999999999999</c:v>
                </c:pt>
                <c:pt idx="4">
                  <c:v>7.8299999999999995E-2</c:v>
                </c:pt>
                <c:pt idx="5">
                  <c:v>6.8599999999999994E-2</c:v>
                </c:pt>
                <c:pt idx="6">
                  <c:v>6.0670000000000002E-2</c:v>
                </c:pt>
                <c:pt idx="7">
                  <c:v>5.0200000000000002E-2</c:v>
                </c:pt>
                <c:pt idx="8">
                  <c:v>5.9499999999999997E-2</c:v>
                </c:pt>
                <c:pt idx="9">
                  <c:v>6.1800000000000001E-2</c:v>
                </c:pt>
                <c:pt idx="11">
                  <c:v>0.15</c:v>
                </c:pt>
                <c:pt idx="12">
                  <c:v>0.39</c:v>
                </c:pt>
                <c:pt idx="13">
                  <c:v>0.62</c:v>
                </c:pt>
                <c:pt idx="18">
                  <c:v>0.32800000000000001</c:v>
                </c:pt>
                <c:pt idx="19">
                  <c:v>0.53500000000000003</c:v>
                </c:pt>
                <c:pt idx="20">
                  <c:v>0.63</c:v>
                </c:pt>
              </c:numCache>
            </c:numRef>
          </c:xVal>
          <c:yVal>
            <c:numRef>
              <c:f>'Aluminum - AlAs'!$F$2:$F$22</c:f>
              <c:numCache>
                <c:formatCode>General</c:formatCode>
                <c:ptCount val="21"/>
                <c:pt idx="0">
                  <c:v>-14.83162162512064</c:v>
                </c:pt>
                <c:pt idx="1">
                  <c:v>-15.228148894423766</c:v>
                </c:pt>
                <c:pt idx="2">
                  <c:v>-15.660670803919444</c:v>
                </c:pt>
                <c:pt idx="8">
                  <c:v>-17.109648867333021</c:v>
                </c:pt>
                <c:pt idx="9">
                  <c:v>-17.064845590317184</c:v>
                </c:pt>
                <c:pt idx="10">
                  <c:v>-17.312118124431088</c:v>
                </c:pt>
                <c:pt idx="11">
                  <c:v>-16.280614580456096</c:v>
                </c:pt>
                <c:pt idx="12">
                  <c:v>-15.338770774157322</c:v>
                </c:pt>
                <c:pt idx="13">
                  <c:v>-14.924173182485886</c:v>
                </c:pt>
                <c:pt idx="14">
                  <c:v>-15.217934301014049</c:v>
                </c:pt>
                <c:pt idx="15">
                  <c:v>-14.817903988891841</c:v>
                </c:pt>
                <c:pt idx="16">
                  <c:v>-14.809762831308142</c:v>
                </c:pt>
                <c:pt idx="17">
                  <c:v>-14.84833510609438</c:v>
                </c:pt>
                <c:pt idx="18">
                  <c:v>-15.55278184190826</c:v>
                </c:pt>
                <c:pt idx="19">
                  <c:v>-15.081358766008298</c:v>
                </c:pt>
                <c:pt idx="20">
                  <c:v>-14.918130868029923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91-4597-8017-C15C99DE9E4F}"/>
            </c:ext>
          </c:extLst>
        </c:ser>
        <c:ser>
          <c:idx val="0"/>
          <c:order val="1"/>
          <c:tx>
            <c:v>6/17/2019</c:v>
          </c:tx>
          <c:spPr>
            <a:ln w="19050">
              <a:noFill/>
            </a:ln>
          </c:spPr>
          <c:xVal>
            <c:numRef>
              <c:f>'Aluminum - AlAs'!$G$20:$G$22</c:f>
              <c:numCache>
                <c:formatCode>General</c:formatCode>
                <c:ptCount val="3"/>
                <c:pt idx="0">
                  <c:v>0.32800000000000001</c:v>
                </c:pt>
                <c:pt idx="1">
                  <c:v>0.53500000000000003</c:v>
                </c:pt>
                <c:pt idx="2">
                  <c:v>0.63</c:v>
                </c:pt>
              </c:numCache>
            </c:numRef>
          </c:xVal>
          <c:yVal>
            <c:numRef>
              <c:f>'Aluminum - AlAs'!$F$20:$F$22</c:f>
              <c:numCache>
                <c:formatCode>General</c:formatCode>
                <c:ptCount val="3"/>
                <c:pt idx="0">
                  <c:v>-15.55278184190826</c:v>
                </c:pt>
                <c:pt idx="1">
                  <c:v>-15.081358766008298</c:v>
                </c:pt>
                <c:pt idx="2">
                  <c:v>-14.918130868029923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3-4696-98FB-7DFC299F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3896"/>
        <c:axId val="227544288"/>
      </c:scatterChart>
      <c:valAx>
        <c:axId val="227543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(ML/s)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44288"/>
        <c:crosses val="autoZero"/>
        <c:crossBetween val="midCat"/>
      </c:valAx>
      <c:valAx>
        <c:axId val="2275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Ln(flux)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43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vs. Growth rate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07072297780958"/>
          <c:y val="0.12733397273841987"/>
          <c:w val="0.83357671200190886"/>
          <c:h val="0.72022468204554846"/>
        </c:manualLayout>
      </c:layout>
      <c:scatterChart>
        <c:scatterStyle val="lineMarker"/>
        <c:varyColors val="0"/>
        <c:ser>
          <c:idx val="0"/>
          <c:order val="0"/>
          <c:tx>
            <c:v>Temp vs. Growth rate 07/2018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0"/>
            <c:backward val="10"/>
            <c:dispRSqr val="1"/>
            <c:dispEq val="1"/>
            <c:trendlineLbl>
              <c:layout>
                <c:manualLayout>
                  <c:x val="-2.6606811919577398E-2"/>
                  <c:y val="3.931584376601666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'Aluminum - AlAs'!$B$4:$B$11</c:f>
              <c:numCache>
                <c:formatCode>General</c:formatCode>
                <c:ptCount val="8"/>
                <c:pt idx="0">
                  <c:v>1050</c:v>
                </c:pt>
                <c:pt idx="1">
                  <c:v>1025</c:v>
                </c:pt>
                <c:pt idx="2">
                  <c:v>1000</c:v>
                </c:pt>
                <c:pt idx="3">
                  <c:v>995</c:v>
                </c:pt>
                <c:pt idx="4">
                  <c:v>990</c:v>
                </c:pt>
                <c:pt idx="5">
                  <c:v>982</c:v>
                </c:pt>
                <c:pt idx="6">
                  <c:v>982</c:v>
                </c:pt>
                <c:pt idx="7">
                  <c:v>982</c:v>
                </c:pt>
              </c:numCache>
            </c:numRef>
          </c:xVal>
          <c:yVal>
            <c:numRef>
              <c:f>'Aluminum - AlAs'!$G$4:$G$11</c:f>
              <c:numCache>
                <c:formatCode>General</c:formatCode>
                <c:ptCount val="8"/>
                <c:pt idx="0">
                  <c:v>0.26400000000000001</c:v>
                </c:pt>
                <c:pt idx="1">
                  <c:v>0.14799999999999999</c:v>
                </c:pt>
                <c:pt idx="2">
                  <c:v>7.8299999999999995E-2</c:v>
                </c:pt>
                <c:pt idx="3">
                  <c:v>6.8599999999999994E-2</c:v>
                </c:pt>
                <c:pt idx="4">
                  <c:v>6.0670000000000002E-2</c:v>
                </c:pt>
                <c:pt idx="5">
                  <c:v>5.0200000000000002E-2</c:v>
                </c:pt>
                <c:pt idx="6">
                  <c:v>5.9499999999999997E-2</c:v>
                </c:pt>
                <c:pt idx="7">
                  <c:v>6.1800000000000001E-2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96-413B-B05A-97C47F2DB4C8}"/>
            </c:ext>
          </c:extLst>
        </c:ser>
        <c:ser>
          <c:idx val="1"/>
          <c:order val="1"/>
          <c:tx>
            <c:v>5/16/2019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2612094593746253E-2"/>
                  <c:y val="9.5818042036379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'Aluminum - AlAs'!$B$13:$B$15</c:f>
              <c:numCache>
                <c:formatCode>General</c:formatCode>
                <c:ptCount val="3"/>
                <c:pt idx="0">
                  <c:v>1050</c:v>
                </c:pt>
                <c:pt idx="1">
                  <c:v>1100</c:v>
                </c:pt>
                <c:pt idx="2">
                  <c:v>1125</c:v>
                </c:pt>
              </c:numCache>
            </c:numRef>
          </c:xVal>
          <c:yVal>
            <c:numRef>
              <c:f>'Aluminum - AlAs'!$G$13:$G$15</c:f>
              <c:numCache>
                <c:formatCode>General</c:formatCode>
                <c:ptCount val="3"/>
                <c:pt idx="0">
                  <c:v>0.15</c:v>
                </c:pt>
                <c:pt idx="1">
                  <c:v>0.39</c:v>
                </c:pt>
                <c:pt idx="2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96-413B-B05A-97C47F2DB4C8}"/>
            </c:ext>
          </c:extLst>
        </c:ser>
        <c:ser>
          <c:idx val="2"/>
          <c:order val="2"/>
          <c:tx>
            <c:v>6/17/2019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'Aluminum - AlAs'!$B$20:$B$22</c:f>
              <c:numCache>
                <c:formatCode>General</c:formatCode>
                <c:ptCount val="3"/>
                <c:pt idx="0">
                  <c:v>1100</c:v>
                </c:pt>
                <c:pt idx="1">
                  <c:v>1125</c:v>
                </c:pt>
                <c:pt idx="2">
                  <c:v>1135</c:v>
                </c:pt>
              </c:numCache>
            </c:numRef>
          </c:xVal>
          <c:yVal>
            <c:numRef>
              <c:f>'Aluminum - AlAs'!$G$20:$G$22</c:f>
              <c:numCache>
                <c:formatCode>General</c:formatCode>
                <c:ptCount val="3"/>
                <c:pt idx="0">
                  <c:v>0.32800000000000001</c:v>
                </c:pt>
                <c:pt idx="1">
                  <c:v>0.53500000000000003</c:v>
                </c:pt>
                <c:pt idx="2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8-4F66-B20C-05B2F014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35104"/>
        <c:axId val="266534448"/>
      </c:scatterChart>
      <c:valAx>
        <c:axId val="26653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 Cell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34448"/>
        <c:crosses val="autoZero"/>
        <c:crossBetween val="midCat"/>
      </c:valAx>
      <c:valAx>
        <c:axId val="2665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3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75141016463851"/>
          <c:y val="0.16456724458217725"/>
          <c:w val="0.33640516816554028"/>
          <c:h val="0.47634777869807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BFM since</a:t>
            </a:r>
            <a:r>
              <a:rPr lang="en-US" baseline="0"/>
              <a:t> bake, bulk temp vs. BFM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'Gallium - GaAs'!$B$24:$B$42</c:f>
              <c:strCache>
                <c:ptCount val="19"/>
                <c:pt idx="0">
                  <c:v>890</c:v>
                </c:pt>
                <c:pt idx="1">
                  <c:v>890</c:v>
                </c:pt>
                <c:pt idx="2">
                  <c:v>890</c:v>
                </c:pt>
                <c:pt idx="3">
                  <c:v>910</c:v>
                </c:pt>
                <c:pt idx="4">
                  <c:v>890</c:v>
                </c:pt>
                <c:pt idx="5">
                  <c:v>910</c:v>
                </c:pt>
                <c:pt idx="6">
                  <c:v>890</c:v>
                </c:pt>
                <c:pt idx="7">
                  <c:v>910</c:v>
                </c:pt>
                <c:pt idx="8">
                  <c:v>900</c:v>
                </c:pt>
                <c:pt idx="9">
                  <c:v>890</c:v>
                </c:pt>
                <c:pt idx="10">
                  <c:v>910</c:v>
                </c:pt>
                <c:pt idx="11">
                  <c:v>890</c:v>
                </c:pt>
                <c:pt idx="12">
                  <c:v>910</c:v>
                </c:pt>
                <c:pt idx="13">
                  <c:v>890</c:v>
                </c:pt>
                <c:pt idx="14">
                  <c:v>910</c:v>
                </c:pt>
                <c:pt idx="15">
                  <c:v>930</c:v>
                </c:pt>
                <c:pt idx="16">
                  <c:v>910</c:v>
                </c:pt>
                <c:pt idx="17">
                  <c:v>890</c:v>
                </c:pt>
                <c:pt idx="18">
                  <c:v>890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3401792458869469"/>
                  <c:y val="5.4559548142428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GaAs'!$B$24:$B$42</c:f>
              <c:numCache>
                <c:formatCode>General</c:formatCode>
                <c:ptCount val="19"/>
                <c:pt idx="0">
                  <c:v>890</c:v>
                </c:pt>
                <c:pt idx="1">
                  <c:v>890</c:v>
                </c:pt>
                <c:pt idx="2">
                  <c:v>890</c:v>
                </c:pt>
                <c:pt idx="3">
                  <c:v>910</c:v>
                </c:pt>
                <c:pt idx="4">
                  <c:v>890</c:v>
                </c:pt>
                <c:pt idx="5">
                  <c:v>910</c:v>
                </c:pt>
                <c:pt idx="6">
                  <c:v>890</c:v>
                </c:pt>
                <c:pt idx="7">
                  <c:v>910</c:v>
                </c:pt>
                <c:pt idx="8">
                  <c:v>900</c:v>
                </c:pt>
                <c:pt idx="9">
                  <c:v>890</c:v>
                </c:pt>
                <c:pt idx="10">
                  <c:v>910</c:v>
                </c:pt>
                <c:pt idx="11">
                  <c:v>890</c:v>
                </c:pt>
                <c:pt idx="12">
                  <c:v>910</c:v>
                </c:pt>
                <c:pt idx="13">
                  <c:v>890</c:v>
                </c:pt>
                <c:pt idx="14">
                  <c:v>910</c:v>
                </c:pt>
                <c:pt idx="15">
                  <c:v>930</c:v>
                </c:pt>
                <c:pt idx="16">
                  <c:v>910</c:v>
                </c:pt>
                <c:pt idx="17">
                  <c:v>890</c:v>
                </c:pt>
                <c:pt idx="18">
                  <c:v>890</c:v>
                </c:pt>
              </c:numCache>
            </c:numRef>
          </c:xVal>
          <c:yVal>
            <c:numRef>
              <c:f>'Gallium - GaAs'!$F$24:$F$42</c:f>
              <c:numCache>
                <c:formatCode>0.00E+00</c:formatCode>
                <c:ptCount val="19"/>
                <c:pt idx="0">
                  <c:v>3.9900000000000001E-7</c:v>
                </c:pt>
                <c:pt idx="1">
                  <c:v>3.9799999999999999E-7</c:v>
                </c:pt>
                <c:pt idx="2">
                  <c:v>4.08E-7</c:v>
                </c:pt>
                <c:pt idx="3">
                  <c:v>6.0399999999999996E-7</c:v>
                </c:pt>
                <c:pt idx="4">
                  <c:v>3.89E-7</c:v>
                </c:pt>
                <c:pt idx="5">
                  <c:v>6.0100000000000005E-7</c:v>
                </c:pt>
                <c:pt idx="6">
                  <c:v>3.9999999999999998E-7</c:v>
                </c:pt>
                <c:pt idx="7">
                  <c:v>5.9400000000000005E-7</c:v>
                </c:pt>
                <c:pt idx="8">
                  <c:v>4.7700000000000005E-7</c:v>
                </c:pt>
                <c:pt idx="9">
                  <c:v>3.9400000000000001E-7</c:v>
                </c:pt>
                <c:pt idx="10">
                  <c:v>5.9800000000000003E-7</c:v>
                </c:pt>
                <c:pt idx="11">
                  <c:v>3.9299999999999999E-7</c:v>
                </c:pt>
                <c:pt idx="12">
                  <c:v>5.7400000000000003E-7</c:v>
                </c:pt>
                <c:pt idx="13">
                  <c:v>3.8500000000000002E-7</c:v>
                </c:pt>
                <c:pt idx="14">
                  <c:v>5.75E-7</c:v>
                </c:pt>
                <c:pt idx="15">
                  <c:v>8.7000000000000003E-7</c:v>
                </c:pt>
                <c:pt idx="16">
                  <c:v>5.8599999999999998E-7</c:v>
                </c:pt>
                <c:pt idx="17">
                  <c:v>3.84E-7</c:v>
                </c:pt>
                <c:pt idx="18">
                  <c:v>3.89E-7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1-4516-96E0-7929CDFEB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403448"/>
        <c:axId val="227403840"/>
      </c:scatterChart>
      <c:valAx>
        <c:axId val="22740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03840"/>
        <c:crosses val="autoZero"/>
        <c:crossBetween val="midCat"/>
      </c:valAx>
      <c:valAx>
        <c:axId val="2274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0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 Flux BEP vs. ML/s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05/01/18 Flux vs. ML/s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'Gallium - GaAs'!$F$15:$F$16</c:f>
              <c:numCache>
                <c:formatCode>0.00E+00</c:formatCode>
                <c:ptCount val="2"/>
                <c:pt idx="0">
                  <c:v>5.8800000000000002E-7</c:v>
                </c:pt>
                <c:pt idx="1">
                  <c:v>3.8599999999999999E-7</c:v>
                </c:pt>
              </c:numCache>
            </c:numRef>
          </c:xVal>
          <c:yVal>
            <c:numRef>
              <c:f>'Gallium - GaAs'!$H$15:$H$16</c:f>
              <c:numCache>
                <c:formatCode>General</c:formatCode>
                <c:ptCount val="2"/>
                <c:pt idx="0">
                  <c:v>0.86499999999999999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D-42A9-A42E-8B6BFE4D13AE}"/>
            </c:ext>
          </c:extLst>
        </c:ser>
        <c:ser>
          <c:idx val="1"/>
          <c:order val="1"/>
          <c:tx>
            <c:v>5/4/2018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'Gallium - GaAs'!$F$17:$F$18</c:f>
              <c:numCache>
                <c:formatCode>0.00E+00</c:formatCode>
                <c:ptCount val="2"/>
                <c:pt idx="0">
                  <c:v>6.0500000000000003E-7</c:v>
                </c:pt>
                <c:pt idx="1">
                  <c:v>3.9799999999999999E-7</c:v>
                </c:pt>
              </c:numCache>
            </c:numRef>
          </c:xVal>
          <c:yVal>
            <c:numRef>
              <c:f>'Gallium - GaAs'!$H$17:$H$18</c:f>
              <c:numCache>
                <c:formatCode>General</c:formatCode>
                <c:ptCount val="2"/>
                <c:pt idx="0">
                  <c:v>0.84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D-42A9-A42E-8B6BFE4D13AE}"/>
            </c:ext>
          </c:extLst>
        </c:ser>
        <c:ser>
          <c:idx val="2"/>
          <c:order val="2"/>
          <c:tx>
            <c:v>6/17/2019 and 6/24/2019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forward val="3.0000000000000015E-7"/>
            <c:dispRSqr val="1"/>
            <c:dispEq val="1"/>
            <c:trendlineLbl>
              <c:layout>
                <c:manualLayout>
                  <c:x val="-3.4421648641203874E-2"/>
                  <c:y val="-6.51200947750913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GaAs'!$F$48:$F$52</c:f>
              <c:numCache>
                <c:formatCode>0.00E+00</c:formatCode>
                <c:ptCount val="5"/>
                <c:pt idx="0">
                  <c:v>5.6599999999999996E-7</c:v>
                </c:pt>
                <c:pt idx="1">
                  <c:v>4.2199999999999999E-7</c:v>
                </c:pt>
                <c:pt idx="2">
                  <c:v>3.8099999999999998E-7</c:v>
                </c:pt>
                <c:pt idx="3">
                  <c:v>5.75E-7</c:v>
                </c:pt>
                <c:pt idx="4">
                  <c:v>3.77E-7</c:v>
                </c:pt>
              </c:numCache>
            </c:numRef>
          </c:xVal>
          <c:yVal>
            <c:numRef>
              <c:f>'Gallium - GaAs'!$H$48:$H$52</c:f>
              <c:numCache>
                <c:formatCode>General</c:formatCode>
                <c:ptCount val="5"/>
                <c:pt idx="0">
                  <c:v>0.82499999999999996</c:v>
                </c:pt>
                <c:pt idx="1">
                  <c:v>0.62</c:v>
                </c:pt>
                <c:pt idx="2">
                  <c:v>0.55200000000000005</c:v>
                </c:pt>
                <c:pt idx="3">
                  <c:v>0.82</c:v>
                </c:pt>
                <c:pt idx="4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0-4551-958B-6D788C2E7B9D}"/>
            </c:ext>
          </c:extLst>
        </c:ser>
        <c:ser>
          <c:idx val="3"/>
          <c:order val="3"/>
          <c:tx>
            <c:v>7/16/2019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70182933301352"/>
                  <c:y val="0.19157872579855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GaAs'!$F$60:$F$62</c:f>
              <c:numCache>
                <c:formatCode>0.00E+00</c:formatCode>
                <c:ptCount val="3"/>
                <c:pt idx="0">
                  <c:v>5.7000000000000005E-7</c:v>
                </c:pt>
                <c:pt idx="1">
                  <c:v>3.7300000000000002E-7</c:v>
                </c:pt>
                <c:pt idx="2">
                  <c:v>2.7300000000000002E-7</c:v>
                </c:pt>
              </c:numCache>
            </c:numRef>
          </c:xVal>
          <c:yVal>
            <c:numRef>
              <c:f>'Gallium - GaAs'!$H$60:$H$62</c:f>
              <c:numCache>
                <c:formatCode>General</c:formatCode>
                <c:ptCount val="3"/>
                <c:pt idx="0">
                  <c:v>0.83</c:v>
                </c:pt>
                <c:pt idx="1">
                  <c:v>0.56000000000000005</c:v>
                </c:pt>
                <c:pt idx="2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9-48C5-A3C4-76A22C7D0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82032"/>
        <c:axId val="223482424"/>
      </c:scatterChart>
      <c:valAx>
        <c:axId val="22348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Flux, BEP (torr)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82424"/>
        <c:crosses val="autoZero"/>
        <c:crossBetween val="midCat"/>
      </c:valAx>
      <c:valAx>
        <c:axId val="22348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8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90034565149002"/>
          <c:y val="0.30558463305011446"/>
          <c:w val="0.33588208150243432"/>
          <c:h val="0.69441536694988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Dates Temp</a:t>
            </a:r>
            <a:r>
              <a:rPr lang="en-US" baseline="0"/>
              <a:t> vs.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8655726346883507E-2"/>
                  <c:y val="0.189398148148148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94864222398999"/>
                  <c:y val="-0.17437117235345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GaAs'!$E$2:$E$26</c:f>
              <c:numCache>
                <c:formatCode>General</c:formatCode>
                <c:ptCount val="25"/>
                <c:pt idx="0">
                  <c:v>8.4530853761622993</c:v>
                </c:pt>
                <c:pt idx="1">
                  <c:v>8.5251491901108274</c:v>
                </c:pt>
                <c:pt idx="2">
                  <c:v>8.5984522785898534</c:v>
                </c:pt>
                <c:pt idx="3">
                  <c:v>8.5251491901108274</c:v>
                </c:pt>
                <c:pt idx="4">
                  <c:v>8.5984522785898534</c:v>
                </c:pt>
                <c:pt idx="5">
                  <c:v>8.5251491901108274</c:v>
                </c:pt>
                <c:pt idx="6">
                  <c:v>8.5984522785898534</c:v>
                </c:pt>
                <c:pt idx="7">
                  <c:v>8.4175084175084169</c:v>
                </c:pt>
                <c:pt idx="8">
                  <c:v>8.6730268863833473</c:v>
                </c:pt>
                <c:pt idx="9">
                  <c:v>8.4530853761622993</c:v>
                </c:pt>
                <c:pt idx="10">
                  <c:v>8.5984522785898534</c:v>
                </c:pt>
                <c:pt idx="11">
                  <c:v>8.4530853761622993</c:v>
                </c:pt>
                <c:pt idx="12">
                  <c:v>8.5984522785898534</c:v>
                </c:pt>
                <c:pt idx="13">
                  <c:v>8.4530853761622993</c:v>
                </c:pt>
                <c:pt idx="14">
                  <c:v>8.5984522785898534</c:v>
                </c:pt>
                <c:pt idx="15">
                  <c:v>8.4530853761622993</c:v>
                </c:pt>
                <c:pt idx="16">
                  <c:v>8.5984522785898534</c:v>
                </c:pt>
                <c:pt idx="17">
                  <c:v>8.4530853761622993</c:v>
                </c:pt>
                <c:pt idx="18">
                  <c:v>8.5984522785898534</c:v>
                </c:pt>
                <c:pt idx="19">
                  <c:v>8.3822296730930432</c:v>
                </c:pt>
                <c:pt idx="20">
                  <c:v>8.3822296730930432</c:v>
                </c:pt>
                <c:pt idx="21">
                  <c:v>8.5984522785898534</c:v>
                </c:pt>
                <c:pt idx="22">
                  <c:v>8.5984522785898534</c:v>
                </c:pt>
                <c:pt idx="23">
                  <c:v>8.5984522785898534</c:v>
                </c:pt>
                <c:pt idx="24">
                  <c:v>8.5984522785898534</c:v>
                </c:pt>
              </c:numCache>
            </c:numRef>
          </c:xVal>
          <c:yVal>
            <c:numRef>
              <c:f>'Gallium - GaAs'!$G$2:$G$26</c:f>
              <c:numCache>
                <c:formatCode>General</c:formatCode>
                <c:ptCount val="25"/>
                <c:pt idx="0">
                  <c:v>-14.355078650595919</c:v>
                </c:pt>
                <c:pt idx="1">
                  <c:v>-14.55574934605807</c:v>
                </c:pt>
                <c:pt idx="2">
                  <c:v>-14.764841143916628</c:v>
                </c:pt>
                <c:pt idx="3">
                  <c:v>-14.514675810849782</c:v>
                </c:pt>
                <c:pt idx="4">
                  <c:v>-14.745646696660483</c:v>
                </c:pt>
                <c:pt idx="5">
                  <c:v>-14.55574934605807</c:v>
                </c:pt>
                <c:pt idx="6">
                  <c:v>-14.757119097822718</c:v>
                </c:pt>
                <c:pt idx="7">
                  <c:v>-14.240158485489212</c:v>
                </c:pt>
                <c:pt idx="8">
                  <c:v>-14.977062646406258</c:v>
                </c:pt>
                <c:pt idx="9">
                  <c:v>-14.358515080094501</c:v>
                </c:pt>
                <c:pt idx="10">
                  <c:v>-14.785729631863985</c:v>
                </c:pt>
                <c:pt idx="11">
                  <c:v>-14.334704431400782</c:v>
                </c:pt>
                <c:pt idx="12">
                  <c:v>-14.746914927648477</c:v>
                </c:pt>
                <c:pt idx="13">
                  <c:v>-14.346538889047784</c:v>
                </c:pt>
                <c:pt idx="14">
                  <c:v>-14.767428467481579</c:v>
                </c:pt>
                <c:pt idx="15">
                  <c:v>-14.318037378915569</c:v>
                </c:pt>
                <c:pt idx="16">
                  <c:v>-14.736813831661973</c:v>
                </c:pt>
                <c:pt idx="17">
                  <c:v>-14.363691968274034</c:v>
                </c:pt>
                <c:pt idx="18">
                  <c:v>-14.772623284358684</c:v>
                </c:pt>
                <c:pt idx="19">
                  <c:v>-14.167908945135746</c:v>
                </c:pt>
                <c:pt idx="20">
                  <c:v>-14.152382874606827</c:v>
                </c:pt>
                <c:pt idx="21">
                  <c:v>-14.714452651503816</c:v>
                </c:pt>
                <c:pt idx="22">
                  <c:v>-14.734304420056548</c:v>
                </c:pt>
                <c:pt idx="23">
                  <c:v>-14.736813831661973</c:v>
                </c:pt>
                <c:pt idx="24">
                  <c:v>-14.71199866254225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9-45F3-BAC8-EF63DD759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83208"/>
        <c:axId val="223483600"/>
      </c:scatterChart>
      <c:valAx>
        <c:axId val="22348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83600"/>
        <c:crosses val="autoZero"/>
        <c:crossBetween val="midCat"/>
      </c:valAx>
      <c:valAx>
        <c:axId val="22348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8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 (ML/s) vs. LN(flux)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308402055507071E-2"/>
                  <c:y val="0.19448956245804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GaAs'!$H$48:$H$52</c:f>
              <c:numCache>
                <c:formatCode>General</c:formatCode>
                <c:ptCount val="5"/>
                <c:pt idx="0">
                  <c:v>0.82499999999999996</c:v>
                </c:pt>
                <c:pt idx="1">
                  <c:v>0.62</c:v>
                </c:pt>
                <c:pt idx="2">
                  <c:v>0.55200000000000005</c:v>
                </c:pt>
                <c:pt idx="3">
                  <c:v>0.82</c:v>
                </c:pt>
                <c:pt idx="4">
                  <c:v>0.54</c:v>
                </c:pt>
              </c:numCache>
            </c:numRef>
          </c:xVal>
          <c:yVal>
            <c:numRef>
              <c:f>'Gallium - GaAs'!$G$48:$G$52</c:f>
              <c:numCache>
                <c:formatCode>General</c:formatCode>
                <c:ptCount val="5"/>
                <c:pt idx="0">
                  <c:v>-14.384671758743229</c:v>
                </c:pt>
                <c:pt idx="1">
                  <c:v>-14.678260522910399</c:v>
                </c:pt>
                <c:pt idx="2">
                  <c:v>-14.78046646181971</c:v>
                </c:pt>
                <c:pt idx="3">
                  <c:v>-14.368895796149062</c:v>
                </c:pt>
                <c:pt idx="4">
                  <c:v>-14.7910206494984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D-4F55-85DB-4A12FD288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734424"/>
        <c:axId val="240729504"/>
      </c:scatterChart>
      <c:valAx>
        <c:axId val="240734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29504"/>
        <c:crosses val="autoZero"/>
        <c:crossBetween val="midCat"/>
      </c:valAx>
      <c:valAx>
        <c:axId val="2407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34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temp vs Ln(flux)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06/17 to 06/28/2019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'Gallium - GaAs'!$D$48:$D$53</c:f>
              <c:numCache>
                <c:formatCode>General</c:formatCode>
                <c:ptCount val="6"/>
                <c:pt idx="0">
                  <c:v>1183</c:v>
                </c:pt>
                <c:pt idx="1">
                  <c:v>1168</c:v>
                </c:pt>
                <c:pt idx="2">
                  <c:v>1163</c:v>
                </c:pt>
                <c:pt idx="3">
                  <c:v>1183</c:v>
                </c:pt>
                <c:pt idx="4">
                  <c:v>1163</c:v>
                </c:pt>
                <c:pt idx="5">
                  <c:v>1168</c:v>
                </c:pt>
              </c:numCache>
            </c:numRef>
          </c:xVal>
          <c:yVal>
            <c:numRef>
              <c:f>'Gallium - GaAs'!$G$48:$G$53</c:f>
              <c:numCache>
                <c:formatCode>General</c:formatCode>
                <c:ptCount val="6"/>
                <c:pt idx="0">
                  <c:v>-14.384671758743229</c:v>
                </c:pt>
                <c:pt idx="1">
                  <c:v>-14.678260522910399</c:v>
                </c:pt>
                <c:pt idx="2">
                  <c:v>-14.78046646181971</c:v>
                </c:pt>
                <c:pt idx="3">
                  <c:v>-14.368895796149062</c:v>
                </c:pt>
                <c:pt idx="4">
                  <c:v>-14.7910206494984</c:v>
                </c:pt>
                <c:pt idx="5">
                  <c:v>-14.673532381714454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0-4CF5-94E5-DBD60BC6E735}"/>
            </c:ext>
          </c:extLst>
        </c:ser>
        <c:ser>
          <c:idx val="1"/>
          <c:order val="1"/>
          <c:tx>
            <c:v>07/12-7/18/2019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11900419676848"/>
                  <c:y val="0.272100447869095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GaAs'!$D$57:$D$62</c:f>
              <c:numCache>
                <c:formatCode>General</c:formatCode>
                <c:ptCount val="6"/>
                <c:pt idx="0">
                  <c:v>1168</c:v>
                </c:pt>
                <c:pt idx="1">
                  <c:v>1183</c:v>
                </c:pt>
                <c:pt idx="2">
                  <c:v>1148</c:v>
                </c:pt>
                <c:pt idx="3">
                  <c:v>1183</c:v>
                </c:pt>
                <c:pt idx="4">
                  <c:v>1163</c:v>
                </c:pt>
                <c:pt idx="5">
                  <c:v>1148</c:v>
                </c:pt>
              </c:numCache>
            </c:numRef>
          </c:xVal>
          <c:yVal>
            <c:numRef>
              <c:f>'Gallium - GaAs'!$G$57:$G$62</c:f>
              <c:numCache>
                <c:formatCode>General</c:formatCode>
                <c:ptCount val="6"/>
                <c:pt idx="0">
                  <c:v>-14.668826490677041</c:v>
                </c:pt>
                <c:pt idx="1">
                  <c:v>-14.377629476117816</c:v>
                </c:pt>
                <c:pt idx="2">
                  <c:v>-15.092054055125045</c:v>
                </c:pt>
                <c:pt idx="3" formatCode="0.00E+00">
                  <c:v>-14.377629476117816</c:v>
                </c:pt>
                <c:pt idx="4">
                  <c:v>-14.801687417302595</c:v>
                </c:pt>
                <c:pt idx="5">
                  <c:v>-15.113794041761452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7-4C12-87CC-E5AE02A8B85E}"/>
            </c:ext>
          </c:extLst>
        </c:ser>
        <c:ser>
          <c:idx val="2"/>
          <c:order val="2"/>
          <c:tx>
            <c:v>8/5 to 9/02/2019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'Gallium - GaAs'!$B$68:$B$83</c:f>
              <c:numCache>
                <c:formatCode>General</c:formatCode>
                <c:ptCount val="16"/>
                <c:pt idx="0">
                  <c:v>895</c:v>
                </c:pt>
                <c:pt idx="1">
                  <c:v>918</c:v>
                </c:pt>
                <c:pt idx="2">
                  <c:v>895</c:v>
                </c:pt>
                <c:pt idx="3">
                  <c:v>910</c:v>
                </c:pt>
                <c:pt idx="4">
                  <c:v>875</c:v>
                </c:pt>
                <c:pt idx="5">
                  <c:v>910</c:v>
                </c:pt>
                <c:pt idx="6">
                  <c:v>825</c:v>
                </c:pt>
                <c:pt idx="7">
                  <c:v>795</c:v>
                </c:pt>
                <c:pt idx="8">
                  <c:v>910</c:v>
                </c:pt>
                <c:pt idx="9">
                  <c:v>810</c:v>
                </c:pt>
                <c:pt idx="10">
                  <c:v>910</c:v>
                </c:pt>
                <c:pt idx="11">
                  <c:v>875</c:v>
                </c:pt>
                <c:pt idx="12">
                  <c:v>810</c:v>
                </c:pt>
                <c:pt idx="13">
                  <c:v>910</c:v>
                </c:pt>
                <c:pt idx="14">
                  <c:v>865</c:v>
                </c:pt>
                <c:pt idx="15">
                  <c:v>820</c:v>
                </c:pt>
              </c:numCache>
            </c:numRef>
          </c:xVal>
          <c:yVal>
            <c:numRef>
              <c:f>'Gallium - GaAs'!$G$68:$G$83</c:f>
              <c:numCache>
                <c:formatCode>General</c:formatCode>
                <c:ptCount val="16"/>
                <c:pt idx="0">
                  <c:v>-14.668826490677041</c:v>
                </c:pt>
                <c:pt idx="1">
                  <c:v>-14.229511997094725</c:v>
                </c:pt>
                <c:pt idx="2">
                  <c:v>-14.675893657900133</c:v>
                </c:pt>
                <c:pt idx="3">
                  <c:v>-14.38114441822526</c:v>
                </c:pt>
                <c:pt idx="4">
                  <c:v>-15.113794041761452</c:v>
                </c:pt>
                <c:pt idx="5" formatCode="0.00E+00">
                  <c:v>-14.39176398705272</c:v>
                </c:pt>
                <c:pt idx="6">
                  <c:v>-16.193897364374603</c:v>
                </c:pt>
                <c:pt idx="7">
                  <c:v>-16.890286038858719</c:v>
                </c:pt>
                <c:pt idx="8">
                  <c:v>-14.400700597019128</c:v>
                </c:pt>
                <c:pt idx="9">
                  <c:v>-16.52156275640381</c:v>
                </c:pt>
                <c:pt idx="10">
                  <c:v>-14.388211585448353</c:v>
                </c:pt>
                <c:pt idx="11">
                  <c:v>-15.106494739279841</c:v>
                </c:pt>
                <c:pt idx="12">
                  <c:v>-16.533611094919987</c:v>
                </c:pt>
                <c:pt idx="13">
                  <c:v>-14.38644010579997</c:v>
                </c:pt>
                <c:pt idx="14">
                  <c:v>-15.298315819465008</c:v>
                </c:pt>
                <c:pt idx="15">
                  <c:v>-16.266595659276764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2-4318-9895-713F0A73869E}"/>
            </c:ext>
          </c:extLst>
        </c:ser>
        <c:ser>
          <c:idx val="3"/>
          <c:order val="3"/>
          <c:tx>
            <c:v>8/21 tp 9/2/2019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25285247066156E-2"/>
                  <c:y val="0.23452323458602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GaAs'!$B$76:$B$83</c:f>
              <c:numCache>
                <c:formatCode>General</c:formatCode>
                <c:ptCount val="8"/>
                <c:pt idx="0">
                  <c:v>910</c:v>
                </c:pt>
                <c:pt idx="1">
                  <c:v>810</c:v>
                </c:pt>
                <c:pt idx="2">
                  <c:v>910</c:v>
                </c:pt>
                <c:pt idx="3">
                  <c:v>875</c:v>
                </c:pt>
                <c:pt idx="4">
                  <c:v>810</c:v>
                </c:pt>
                <c:pt idx="5">
                  <c:v>910</c:v>
                </c:pt>
                <c:pt idx="6">
                  <c:v>865</c:v>
                </c:pt>
                <c:pt idx="7">
                  <c:v>820</c:v>
                </c:pt>
              </c:numCache>
            </c:numRef>
          </c:xVal>
          <c:yVal>
            <c:numRef>
              <c:f>'Gallium - GaAs'!$G$76:$G$83</c:f>
              <c:numCache>
                <c:formatCode>General</c:formatCode>
                <c:ptCount val="8"/>
                <c:pt idx="0">
                  <c:v>-14.400700597019128</c:v>
                </c:pt>
                <c:pt idx="1">
                  <c:v>-16.52156275640381</c:v>
                </c:pt>
                <c:pt idx="2">
                  <c:v>-14.388211585448353</c:v>
                </c:pt>
                <c:pt idx="3">
                  <c:v>-15.106494739279841</c:v>
                </c:pt>
                <c:pt idx="4">
                  <c:v>-16.533611094919987</c:v>
                </c:pt>
                <c:pt idx="5">
                  <c:v>-14.38644010579997</c:v>
                </c:pt>
                <c:pt idx="6">
                  <c:v>-15.298315819465008</c:v>
                </c:pt>
                <c:pt idx="7">
                  <c:v>-16.266595659276764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1-487F-BEF4-D06314FA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30504"/>
        <c:axId val="280112136"/>
      </c:scatterChart>
      <c:valAx>
        <c:axId val="28013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base temp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12136"/>
        <c:crosses val="autoZero"/>
        <c:crossBetween val="midCat"/>
      </c:valAx>
      <c:valAx>
        <c:axId val="28011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LN(Flux)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130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GaAs'!$F$93:$F$95</c:f>
              <c:numCache>
                <c:formatCode>0.00E+00</c:formatCode>
                <c:ptCount val="3"/>
                <c:pt idx="0">
                  <c:v>3.4200000000000002E-7</c:v>
                </c:pt>
                <c:pt idx="1">
                  <c:v>4.63E-7</c:v>
                </c:pt>
                <c:pt idx="2">
                  <c:v>7.6300000000000004E-7</c:v>
                </c:pt>
              </c:numCache>
            </c:numRef>
          </c:xVal>
          <c:yVal>
            <c:numRef>
              <c:f>'Gallium - GaAs'!$H$93:$H$95</c:f>
              <c:numCache>
                <c:formatCode>General</c:formatCode>
                <c:ptCount val="3"/>
                <c:pt idx="0">
                  <c:v>0.47</c:v>
                </c:pt>
                <c:pt idx="1">
                  <c:v>0.64</c:v>
                </c:pt>
                <c:pt idx="2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D-4BF1-905B-F04EE8AA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898368"/>
        <c:axId val="227898040"/>
      </c:scatterChart>
      <c:valAx>
        <c:axId val="2278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98040"/>
        <c:crosses val="autoZero"/>
        <c:crossBetween val="midCat"/>
      </c:valAx>
      <c:valAx>
        <c:axId val="2278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8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'Gallium - GaAs'!$B$93:$B$96</c:f>
              <c:numCache>
                <c:formatCode>General</c:formatCode>
                <c:ptCount val="4"/>
                <c:pt idx="0">
                  <c:v>875</c:v>
                </c:pt>
                <c:pt idx="1">
                  <c:v>890</c:v>
                </c:pt>
                <c:pt idx="2">
                  <c:v>915</c:v>
                </c:pt>
                <c:pt idx="3">
                  <c:v>880</c:v>
                </c:pt>
              </c:numCache>
            </c:numRef>
          </c:xVal>
          <c:yVal>
            <c:numRef>
              <c:f>'Gallium - GaAs'!$F$93:$F$96</c:f>
              <c:numCache>
                <c:formatCode>0.00E+00</c:formatCode>
                <c:ptCount val="4"/>
                <c:pt idx="0">
                  <c:v>3.4200000000000002E-7</c:v>
                </c:pt>
                <c:pt idx="1">
                  <c:v>4.63E-7</c:v>
                </c:pt>
                <c:pt idx="2">
                  <c:v>7.6300000000000004E-7</c:v>
                </c:pt>
                <c:pt idx="3">
                  <c:v>3.53E-7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D-47C1-9FED-FDB58F42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741104"/>
        <c:axId val="229750288"/>
      </c:scatterChart>
      <c:valAx>
        <c:axId val="22974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50288"/>
        <c:crosses val="autoZero"/>
        <c:crossBetween val="midCat"/>
      </c:valAx>
      <c:valAx>
        <c:axId val="2297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Tl Temp vs. Flux By date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0307758234673"/>
          <c:y val="8.0501628178677093E-2"/>
          <c:w val="0.59257456366193695"/>
          <c:h val="0.83066288717431691"/>
        </c:manualLayout>
      </c:layout>
      <c:scatterChart>
        <c:scatterStyle val="lineMarker"/>
        <c:varyColors val="0"/>
        <c:ser>
          <c:idx val="0"/>
          <c:order val="0"/>
          <c:tx>
            <c:v>Temp vs. Flux 04-05-2018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8137287088797072E-2"/>
                  <c:y val="0.15604288330662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 Cell'!$B$11:$B$14</c:f>
              <c:numCache>
                <c:formatCode>General</c:formatCode>
                <c:ptCount val="4"/>
                <c:pt idx="0">
                  <c:v>375</c:v>
                </c:pt>
                <c:pt idx="1">
                  <c:v>425</c:v>
                </c:pt>
                <c:pt idx="2">
                  <c:v>475</c:v>
                </c:pt>
                <c:pt idx="3">
                  <c:v>500</c:v>
                </c:pt>
              </c:numCache>
            </c:numRef>
          </c:xVal>
          <c:yVal>
            <c:numRef>
              <c:f>'Tl Cell'!$E$11:$E$14</c:f>
              <c:numCache>
                <c:formatCode>0.00E+00</c:formatCode>
                <c:ptCount val="4"/>
                <c:pt idx="0">
                  <c:v>1.8899999999999999E-10</c:v>
                </c:pt>
                <c:pt idx="1">
                  <c:v>1.37E-9</c:v>
                </c:pt>
                <c:pt idx="2">
                  <c:v>5.69E-9</c:v>
                </c:pt>
                <c:pt idx="3">
                  <c:v>1.4999999999999999E-8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860-8586-DD24FAED140A}"/>
            </c:ext>
          </c:extLst>
        </c:ser>
        <c:ser>
          <c:idx val="1"/>
          <c:order val="1"/>
          <c:tx>
            <c:v>Temp vs. Flux 04-10-18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'Tl Cell'!$B$15:$B$16</c:f>
              <c:numCache>
                <c:formatCode>General</c:formatCode>
                <c:ptCount val="2"/>
                <c:pt idx="0">
                  <c:v>500</c:v>
                </c:pt>
                <c:pt idx="1">
                  <c:v>490</c:v>
                </c:pt>
              </c:numCache>
            </c:numRef>
          </c:xVal>
          <c:yVal>
            <c:numRef>
              <c:f>'Tl Cell'!$E$15:$E$16</c:f>
              <c:numCache>
                <c:formatCode>0.00E+00</c:formatCode>
                <c:ptCount val="2"/>
                <c:pt idx="0">
                  <c:v>1.7900000000000001E-8</c:v>
                </c:pt>
                <c:pt idx="1">
                  <c:v>1.24E-8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4-4860-8586-DD24FAED140A}"/>
            </c:ext>
          </c:extLst>
        </c:ser>
        <c:ser>
          <c:idx val="2"/>
          <c:order val="2"/>
          <c:tx>
            <c:v>5/1/2018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'Tl Cell'!$B$17:$B$18</c:f>
              <c:numCache>
                <c:formatCode>General</c:formatCode>
                <c:ptCount val="2"/>
                <c:pt idx="0">
                  <c:v>500</c:v>
                </c:pt>
                <c:pt idx="1">
                  <c:v>490</c:v>
                </c:pt>
              </c:numCache>
            </c:numRef>
          </c:xVal>
          <c:yVal>
            <c:numRef>
              <c:f>'Tl Cell'!$E$17:$E$18</c:f>
              <c:numCache>
                <c:formatCode>0.00E+00</c:formatCode>
                <c:ptCount val="2"/>
                <c:pt idx="0">
                  <c:v>1.77E-8</c:v>
                </c:pt>
                <c:pt idx="1">
                  <c:v>1.26E-8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CB-4712-A3B2-FB678A63FEF5}"/>
            </c:ext>
          </c:extLst>
        </c:ser>
        <c:ser>
          <c:idx val="3"/>
          <c:order val="3"/>
          <c:tx>
            <c:v>5/4/2018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881014104310382"/>
                  <c:y val="8.2500776276157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 Cell'!$B$19:$B$21</c:f>
              <c:numCache>
                <c:formatCode>General</c:formatCode>
                <c:ptCount val="3"/>
                <c:pt idx="0">
                  <c:v>500</c:v>
                </c:pt>
                <c:pt idx="1">
                  <c:v>515</c:v>
                </c:pt>
                <c:pt idx="2">
                  <c:v>525</c:v>
                </c:pt>
              </c:numCache>
            </c:numRef>
          </c:xVal>
          <c:yVal>
            <c:numRef>
              <c:f>'Tl Cell'!$E$19:$E$21</c:f>
              <c:numCache>
                <c:formatCode>0.00E+00</c:formatCode>
                <c:ptCount val="3"/>
                <c:pt idx="0">
                  <c:v>1.81E-8</c:v>
                </c:pt>
                <c:pt idx="1">
                  <c:v>3.0199999999999999E-8</c:v>
                </c:pt>
                <c:pt idx="2">
                  <c:v>4.2799999999999999E-8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B-4712-A3B2-FB678A63FEF5}"/>
            </c:ext>
          </c:extLst>
        </c:ser>
        <c:ser>
          <c:idx val="4"/>
          <c:order val="4"/>
          <c:tx>
            <c:v>6/25/2018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7555312110136951E-2"/>
                  <c:y val="7.34963941603809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'Tl Cell'!$B$22:$B$24</c:f>
              <c:numCache>
                <c:formatCode>General</c:formatCode>
                <c:ptCount val="3"/>
                <c:pt idx="0">
                  <c:v>500</c:v>
                </c:pt>
                <c:pt idx="1">
                  <c:v>525</c:v>
                </c:pt>
                <c:pt idx="2">
                  <c:v>540</c:v>
                </c:pt>
              </c:numCache>
            </c:numRef>
          </c:xVal>
          <c:yVal>
            <c:numRef>
              <c:f>'Tl Cell'!$E$22:$E$24</c:f>
              <c:numCache>
                <c:formatCode>0.00E+00</c:formatCode>
                <c:ptCount val="3"/>
                <c:pt idx="0">
                  <c:v>1.85E-8</c:v>
                </c:pt>
                <c:pt idx="1">
                  <c:v>4.2599999999999998E-8</c:v>
                </c:pt>
                <c:pt idx="2">
                  <c:v>6.87E-8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CB-4712-A3B2-FB678A63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46968"/>
        <c:axId val="228847360"/>
      </c:scatterChart>
      <c:valAx>
        <c:axId val="228846968"/>
        <c:scaling>
          <c:orientation val="minMax"/>
          <c:max val="550"/>
          <c:min val="475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47360"/>
        <c:crosses val="autoZero"/>
        <c:crossBetween val="midCat"/>
      </c:valAx>
      <c:valAx>
        <c:axId val="228847360"/>
        <c:scaling>
          <c:logBase val="10"/>
          <c:orientation val="minMax"/>
          <c:max val="1.0000000000000005E-7"/>
          <c:min val="1.0000000000000005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147778</xdr:colOff>
      <xdr:row>231</xdr:row>
      <xdr:rowOff>8473</xdr:rowOff>
    </xdr:from>
    <xdr:to>
      <xdr:col>13</xdr:col>
      <xdr:colOff>576403</xdr:colOff>
      <xdr:row>244</xdr:row>
      <xdr:rowOff>120392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76199</xdr:colOff>
      <xdr:row>28</xdr:row>
      <xdr:rowOff>86914</xdr:rowOff>
    </xdr:from>
    <xdr:to>
      <xdr:col>36</xdr:col>
      <xdr:colOff>481012</xdr:colOff>
      <xdr:row>50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678492</xdr:colOff>
      <xdr:row>4</xdr:row>
      <xdr:rowOff>169623</xdr:rowOff>
    </xdr:from>
    <xdr:to>
      <xdr:col>15</xdr:col>
      <xdr:colOff>326198</xdr:colOff>
      <xdr:row>23</xdr:row>
      <xdr:rowOff>156574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16</xdr:col>
      <xdr:colOff>18267</xdr:colOff>
      <xdr:row>59</xdr:row>
      <xdr:rowOff>3131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369254</xdr:colOff>
      <xdr:row>4</xdr:row>
      <xdr:rowOff>141960</xdr:rowOff>
    </xdr:from>
    <xdr:to>
      <xdr:col>23</xdr:col>
      <xdr:colOff>39143</xdr:colOff>
      <xdr:row>23</xdr:row>
      <xdr:rowOff>104383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271397</xdr:colOff>
      <xdr:row>22</xdr:row>
      <xdr:rowOff>39144</xdr:rowOff>
    </xdr:from>
    <xdr:to>
      <xdr:col>22</xdr:col>
      <xdr:colOff>795924</xdr:colOff>
      <xdr:row>35</xdr:row>
      <xdr:rowOff>118998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245300</xdr:colOff>
      <xdr:row>82</xdr:row>
      <xdr:rowOff>83245</xdr:rowOff>
    </xdr:from>
    <xdr:to>
      <xdr:col>20</xdr:col>
      <xdr:colOff>211376</xdr:colOff>
      <xdr:row>96</xdr:row>
      <xdr:rowOff>86377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427973</xdr:colOff>
      <xdr:row>82</xdr:row>
      <xdr:rowOff>70197</xdr:rowOff>
    </xdr:from>
    <xdr:to>
      <xdr:col>14</xdr:col>
      <xdr:colOff>41754</xdr:colOff>
      <xdr:row>96</xdr:row>
      <xdr:rowOff>73329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244077</xdr:colOff>
      <xdr:row>15</xdr:row>
      <xdr:rowOff>63103</xdr:rowOff>
    </xdr:from>
    <xdr:to>
      <xdr:col>20</xdr:col>
      <xdr:colOff>321468</xdr:colOff>
      <xdr:row>38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321469</xdr:colOff>
      <xdr:row>39</xdr:row>
      <xdr:rowOff>182165</xdr:rowOff>
    </xdr:from>
    <xdr:to>
      <xdr:col>15</xdr:col>
      <xdr:colOff>321469</xdr:colOff>
      <xdr:row>53</xdr:row>
      <xdr:rowOff>91678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34192</xdr:colOff>
      <xdr:row>3</xdr:row>
      <xdr:rowOff>44939</xdr:rowOff>
    </xdr:from>
    <xdr:to>
      <xdr:col>15</xdr:col>
      <xdr:colOff>100135</xdr:colOff>
      <xdr:row>17</xdr:row>
      <xdr:rowOff>52755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119673</xdr:colOff>
      <xdr:row>3</xdr:row>
      <xdr:rowOff>44939</xdr:rowOff>
    </xdr:from>
    <xdr:to>
      <xdr:col>21</xdr:col>
      <xdr:colOff>356577</xdr:colOff>
      <xdr:row>17</xdr:row>
      <xdr:rowOff>52755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76200</xdr:rowOff>
    </xdr:from>
    <xdr:to>
      <xdr:col>18</xdr:col>
      <xdr:colOff>409053</xdr:colOff>
      <xdr:row>14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492920</xdr:colOff>
      <xdr:row>21</xdr:row>
      <xdr:rowOff>45240</xdr:rowOff>
    </xdr:from>
    <xdr:to>
      <xdr:col>24</xdr:col>
      <xdr:colOff>369093</xdr:colOff>
      <xdr:row>35</xdr:row>
      <xdr:rowOff>23810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</xdr:colOff>
      <xdr:row>21</xdr:row>
      <xdr:rowOff>51195</xdr:rowOff>
    </xdr:from>
    <xdr:to>
      <xdr:col>17</xdr:col>
      <xdr:colOff>464344</xdr:colOff>
      <xdr:row>39</xdr:row>
      <xdr:rowOff>107155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77" totalsRowCount="1">
  <autoFilter ref="A1:G76"/>
  <tableColumns count="7">
    <tableColumn id="1" name="Date" dataDxfId="6" totalsRowDxfId="5"/>
    <tableColumn id="2" name="T Cell" totalsRowDxfId="4"/>
    <tableColumn id="3" name="Temp K">
      <calculatedColumnFormula>Table1[T Cell]+273</calculatedColumnFormula>
    </tableColumn>
    <tableColumn id="4" name="10000/T">
      <calculatedColumnFormula>10000/Table1[Temp K]</calculatedColumnFormula>
    </tableColumn>
    <tableColumn id="5" name="Tl Flux" dataDxfId="3" totalsRowDxfId="2"/>
    <tableColumn id="7" name="LN(Flux)" dataDxfId="1" totalsRowDxfId="0">
      <calculatedColumnFormula>LN(Table1[[#This Row],[Tl Flux]])</calculatedColumnFormula>
    </tableColumn>
    <tableColumn id="6" name="Not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zoomScale="85" zoomScaleNormal="85" workbookViewId="0">
      <pane ySplit="1" topLeftCell="A233" activePane="bottomLeft" state="frozen"/>
      <selection pane="bottomLeft" activeCell="E261" sqref="E261"/>
    </sheetView>
  </sheetViews>
  <sheetFormatPr defaultRowHeight="15.75" x14ac:dyDescent="0.25"/>
  <cols>
    <col min="1" max="1" width="11.875" style="33" customWidth="1"/>
    <col min="3" max="3" width="11" customWidth="1"/>
    <col min="5" max="5" width="11.625" customWidth="1"/>
  </cols>
  <sheetData>
    <row r="1" spans="1:8" ht="31.5" x14ac:dyDescent="0.25">
      <c r="A1" s="34" t="s">
        <v>13</v>
      </c>
      <c r="B1" s="35" t="s">
        <v>16</v>
      </c>
      <c r="C1" s="35" t="s">
        <v>17</v>
      </c>
      <c r="D1" s="61" t="s">
        <v>11</v>
      </c>
      <c r="E1" s="36" t="s">
        <v>23</v>
      </c>
      <c r="F1" s="35" t="s">
        <v>32</v>
      </c>
      <c r="G1" s="35" t="s">
        <v>12</v>
      </c>
      <c r="H1" s="35" t="s">
        <v>18</v>
      </c>
    </row>
    <row r="2" spans="1:8" x14ac:dyDescent="0.25">
      <c r="A2" s="33">
        <v>43075</v>
      </c>
      <c r="B2">
        <v>350</v>
      </c>
      <c r="C2">
        <v>600</v>
      </c>
      <c r="D2" s="62">
        <v>300</v>
      </c>
      <c r="E2" s="3">
        <v>5.1599999999999997E-6</v>
      </c>
      <c r="F2" s="3"/>
      <c r="H2" t="s">
        <v>35</v>
      </c>
    </row>
    <row r="3" spans="1:8" x14ac:dyDescent="0.25">
      <c r="A3" s="33">
        <v>43075</v>
      </c>
      <c r="B3">
        <v>350</v>
      </c>
      <c r="C3">
        <v>600</v>
      </c>
      <c r="D3" s="62">
        <v>250</v>
      </c>
      <c r="E3" s="3">
        <v>4.8600000000000001E-6</v>
      </c>
      <c r="F3" s="3"/>
      <c r="H3" t="s">
        <v>36</v>
      </c>
    </row>
    <row r="4" spans="1:8" x14ac:dyDescent="0.25">
      <c r="A4" s="33">
        <v>43075</v>
      </c>
      <c r="B4">
        <v>350</v>
      </c>
      <c r="C4">
        <v>600</v>
      </c>
      <c r="D4" s="62">
        <v>200</v>
      </c>
      <c r="E4" s="3">
        <v>3.7299999999999999E-6</v>
      </c>
      <c r="F4" s="3"/>
    </row>
    <row r="5" spans="1:8" x14ac:dyDescent="0.25">
      <c r="A5" s="33">
        <v>43075</v>
      </c>
      <c r="B5">
        <v>350</v>
      </c>
      <c r="C5">
        <v>600</v>
      </c>
      <c r="D5" s="62">
        <v>150</v>
      </c>
      <c r="E5" s="3">
        <v>2.3999999999999999E-6</v>
      </c>
      <c r="F5" s="3"/>
    </row>
    <row r="6" spans="1:8" x14ac:dyDescent="0.25">
      <c r="A6" s="33">
        <v>43075</v>
      </c>
      <c r="B6">
        <v>350</v>
      </c>
      <c r="C6">
        <v>600</v>
      </c>
      <c r="D6" s="62">
        <v>100</v>
      </c>
      <c r="E6" s="3">
        <v>1.1400000000000001E-6</v>
      </c>
      <c r="F6" s="3"/>
    </row>
    <row r="7" spans="1:8" x14ac:dyDescent="0.25">
      <c r="A7" s="33">
        <v>43075</v>
      </c>
      <c r="B7">
        <v>350</v>
      </c>
      <c r="C7">
        <v>600</v>
      </c>
      <c r="D7" s="62">
        <v>50</v>
      </c>
      <c r="E7" s="3">
        <v>3.9400000000000001E-7</v>
      </c>
      <c r="F7" s="3"/>
    </row>
    <row r="8" spans="1:8" x14ac:dyDescent="0.25">
      <c r="A8" s="33">
        <v>43195</v>
      </c>
      <c r="B8">
        <v>350</v>
      </c>
      <c r="C8">
        <v>600</v>
      </c>
      <c r="D8" s="62">
        <v>300</v>
      </c>
      <c r="E8" s="3">
        <v>4.42E-6</v>
      </c>
      <c r="F8" s="3"/>
      <c r="G8">
        <v>1.94</v>
      </c>
    </row>
    <row r="9" spans="1:8" x14ac:dyDescent="0.25">
      <c r="B9">
        <v>350</v>
      </c>
      <c r="C9">
        <v>600</v>
      </c>
      <c r="D9" s="62">
        <v>250</v>
      </c>
      <c r="E9" s="3">
        <v>4.1200000000000004E-6</v>
      </c>
      <c r="F9" s="3"/>
    </row>
    <row r="10" spans="1:8" x14ac:dyDescent="0.25">
      <c r="B10">
        <v>350</v>
      </c>
      <c r="C10">
        <v>600</v>
      </c>
      <c r="D10" s="62">
        <v>200</v>
      </c>
      <c r="E10" s="3">
        <v>3.14E-6</v>
      </c>
      <c r="F10" s="3"/>
      <c r="G10">
        <v>1.6</v>
      </c>
    </row>
    <row r="11" spans="1:8" x14ac:dyDescent="0.25">
      <c r="B11">
        <v>350</v>
      </c>
      <c r="C11">
        <v>600</v>
      </c>
      <c r="D11" s="62">
        <v>150</v>
      </c>
      <c r="E11" s="3">
        <v>2.04E-6</v>
      </c>
      <c r="F11" s="3"/>
    </row>
    <row r="12" spans="1:8" x14ac:dyDescent="0.25">
      <c r="B12">
        <v>350</v>
      </c>
      <c r="C12">
        <v>600</v>
      </c>
      <c r="D12" s="62">
        <v>125</v>
      </c>
      <c r="E12" s="3">
        <v>1.5E-6</v>
      </c>
      <c r="F12" s="3"/>
    </row>
    <row r="13" spans="1:8" x14ac:dyDescent="0.25">
      <c r="B13">
        <v>350</v>
      </c>
      <c r="C13">
        <v>600</v>
      </c>
      <c r="D13" s="62">
        <v>100</v>
      </c>
      <c r="E13" s="3">
        <v>9.7900000000000007E-7</v>
      </c>
      <c r="F13" s="3"/>
    </row>
    <row r="14" spans="1:8" x14ac:dyDescent="0.25">
      <c r="B14">
        <v>350</v>
      </c>
      <c r="C14">
        <v>600</v>
      </c>
      <c r="D14" s="62">
        <v>75</v>
      </c>
      <c r="E14" s="3">
        <v>5.2699999999999999E-7</v>
      </c>
      <c r="F14" s="3"/>
    </row>
    <row r="15" spans="1:8" x14ac:dyDescent="0.25">
      <c r="B15">
        <v>350</v>
      </c>
      <c r="C15">
        <v>600</v>
      </c>
      <c r="D15" s="62">
        <v>50</v>
      </c>
      <c r="E15" s="3">
        <v>3.4299999999999999E-7</v>
      </c>
      <c r="F15" s="3"/>
    </row>
    <row r="16" spans="1:8" x14ac:dyDescent="0.25">
      <c r="A16" s="33">
        <v>43200</v>
      </c>
      <c r="B16">
        <v>350</v>
      </c>
      <c r="C16">
        <v>600</v>
      </c>
      <c r="D16" s="62">
        <v>300</v>
      </c>
      <c r="E16" s="3">
        <v>4.2100000000000003E-6</v>
      </c>
      <c r="F16" s="3"/>
      <c r="H16" s="8"/>
    </row>
    <row r="17" spans="1:8" x14ac:dyDescent="0.25">
      <c r="B17">
        <v>350</v>
      </c>
      <c r="C17">
        <v>600</v>
      </c>
      <c r="D17" s="62">
        <v>250</v>
      </c>
      <c r="E17" s="3">
        <v>3.8600000000000003E-6</v>
      </c>
      <c r="F17" s="3"/>
      <c r="H17" s="8"/>
    </row>
    <row r="18" spans="1:8" x14ac:dyDescent="0.25">
      <c r="B18">
        <v>350</v>
      </c>
      <c r="C18">
        <v>600</v>
      </c>
      <c r="D18" s="62">
        <v>200</v>
      </c>
      <c r="E18" s="3">
        <v>2.96E-6</v>
      </c>
      <c r="F18" s="3"/>
      <c r="H18" s="8"/>
    </row>
    <row r="19" spans="1:8" x14ac:dyDescent="0.25">
      <c r="B19">
        <v>350</v>
      </c>
      <c r="C19">
        <v>600</v>
      </c>
      <c r="D19" s="62">
        <v>175</v>
      </c>
      <c r="E19" s="3">
        <v>2.4700000000000001E-6</v>
      </c>
      <c r="F19" s="3"/>
      <c r="H19" s="8"/>
    </row>
    <row r="20" spans="1:8" x14ac:dyDescent="0.25">
      <c r="B20">
        <v>350</v>
      </c>
      <c r="C20">
        <v>600</v>
      </c>
      <c r="D20" s="62">
        <v>150</v>
      </c>
      <c r="E20" s="3">
        <v>1.9400000000000001E-6</v>
      </c>
      <c r="F20" s="3"/>
      <c r="H20" s="8"/>
    </row>
    <row r="21" spans="1:8" x14ac:dyDescent="0.25">
      <c r="B21">
        <v>350</v>
      </c>
      <c r="C21">
        <v>600</v>
      </c>
      <c r="D21" s="62">
        <v>125</v>
      </c>
      <c r="E21" s="3">
        <v>1.4300000000000001E-6</v>
      </c>
      <c r="F21" s="3"/>
      <c r="H21" s="8"/>
    </row>
    <row r="22" spans="1:8" x14ac:dyDescent="0.25">
      <c r="B22">
        <v>350</v>
      </c>
      <c r="C22">
        <v>600</v>
      </c>
      <c r="D22" s="62">
        <v>100</v>
      </c>
      <c r="E22" s="3">
        <v>9.33E-7</v>
      </c>
      <c r="F22" s="3"/>
    </row>
    <row r="23" spans="1:8" x14ac:dyDescent="0.25">
      <c r="B23">
        <v>350</v>
      </c>
      <c r="C23">
        <v>600</v>
      </c>
      <c r="D23" s="62">
        <v>75</v>
      </c>
      <c r="E23" s="3">
        <v>5.0500000000000004E-7</v>
      </c>
      <c r="F23" s="3"/>
    </row>
    <row r="24" spans="1:8" x14ac:dyDescent="0.25">
      <c r="B24">
        <v>350</v>
      </c>
      <c r="C24">
        <v>600</v>
      </c>
      <c r="D24" s="62">
        <v>50</v>
      </c>
      <c r="E24" s="3">
        <v>3.3200000000000001E-7</v>
      </c>
      <c r="F24" s="3"/>
      <c r="H24" s="8"/>
    </row>
    <row r="25" spans="1:8" x14ac:dyDescent="0.25">
      <c r="A25" s="33">
        <v>43221</v>
      </c>
      <c r="B25">
        <v>350</v>
      </c>
      <c r="C25">
        <v>600</v>
      </c>
      <c r="D25" s="62">
        <v>300</v>
      </c>
      <c r="E25" s="3">
        <v>4.0600000000000001E-6</v>
      </c>
      <c r="F25" s="3"/>
    </row>
    <row r="26" spans="1:8" x14ac:dyDescent="0.25">
      <c r="B26">
        <v>350</v>
      </c>
      <c r="C26">
        <v>600</v>
      </c>
      <c r="D26" s="62">
        <v>250</v>
      </c>
      <c r="E26" s="3">
        <v>3.8E-6</v>
      </c>
      <c r="F26" s="3"/>
    </row>
    <row r="27" spans="1:8" x14ac:dyDescent="0.25">
      <c r="B27">
        <v>350</v>
      </c>
      <c r="C27">
        <v>600</v>
      </c>
      <c r="D27" s="62">
        <v>200</v>
      </c>
      <c r="E27" s="3">
        <v>2.9399999999999998E-6</v>
      </c>
      <c r="F27" s="3"/>
    </row>
    <row r="28" spans="1:8" x14ac:dyDescent="0.25">
      <c r="B28">
        <v>350</v>
      </c>
      <c r="C28">
        <v>600</v>
      </c>
      <c r="D28" s="62">
        <v>175</v>
      </c>
      <c r="E28" s="3">
        <v>2.4499999999999998E-6</v>
      </c>
      <c r="F28" s="3"/>
    </row>
    <row r="29" spans="1:8" x14ac:dyDescent="0.25">
      <c r="B29">
        <v>350</v>
      </c>
      <c r="C29">
        <v>600</v>
      </c>
      <c r="D29" s="62">
        <v>150</v>
      </c>
      <c r="E29" s="3">
        <v>1.95E-6</v>
      </c>
      <c r="F29" s="3"/>
    </row>
    <row r="30" spans="1:8" x14ac:dyDescent="0.25">
      <c r="B30">
        <v>350</v>
      </c>
      <c r="C30">
        <v>600</v>
      </c>
      <c r="D30" s="62">
        <v>125</v>
      </c>
      <c r="E30" s="3">
        <v>1.44E-6</v>
      </c>
      <c r="F30" s="3"/>
    </row>
    <row r="31" spans="1:8" x14ac:dyDescent="0.25">
      <c r="B31">
        <v>350</v>
      </c>
      <c r="C31">
        <v>600</v>
      </c>
      <c r="D31" s="62">
        <v>100</v>
      </c>
      <c r="E31" s="3">
        <v>9.4900000000000004E-7</v>
      </c>
      <c r="F31" s="3"/>
    </row>
    <row r="32" spans="1:8" x14ac:dyDescent="0.25">
      <c r="B32">
        <v>350</v>
      </c>
      <c r="C32">
        <v>600</v>
      </c>
      <c r="D32" s="62">
        <v>75</v>
      </c>
      <c r="E32" s="3">
        <v>5.13E-7</v>
      </c>
      <c r="F32" s="3"/>
    </row>
    <row r="33" spans="1:8" x14ac:dyDescent="0.25">
      <c r="B33">
        <v>350</v>
      </c>
      <c r="C33">
        <v>600</v>
      </c>
      <c r="D33" s="62">
        <v>50</v>
      </c>
      <c r="E33" s="3">
        <v>3.3299999999999998E-7</v>
      </c>
      <c r="F33" s="3"/>
    </row>
    <row r="34" spans="1:8" x14ac:dyDescent="0.25">
      <c r="A34" s="33">
        <v>43224</v>
      </c>
      <c r="B34">
        <v>350</v>
      </c>
      <c r="C34">
        <v>600</v>
      </c>
      <c r="D34" s="62">
        <v>300</v>
      </c>
      <c r="E34" s="3">
        <v>4.34E-6</v>
      </c>
      <c r="F34" s="3"/>
    </row>
    <row r="35" spans="1:8" x14ac:dyDescent="0.25">
      <c r="B35">
        <v>350</v>
      </c>
      <c r="C35">
        <v>600</v>
      </c>
      <c r="D35" s="62">
        <v>250</v>
      </c>
      <c r="E35" s="3">
        <v>3.9999999999999998E-6</v>
      </c>
      <c r="F35" s="3"/>
    </row>
    <row r="36" spans="1:8" x14ac:dyDescent="0.25">
      <c r="B36">
        <v>350</v>
      </c>
      <c r="C36">
        <v>600</v>
      </c>
      <c r="D36" s="62">
        <v>200</v>
      </c>
      <c r="E36" s="3">
        <v>3.0699999999999998E-6</v>
      </c>
      <c r="F36" s="3"/>
    </row>
    <row r="37" spans="1:8" x14ac:dyDescent="0.25">
      <c r="B37">
        <v>350</v>
      </c>
      <c r="C37">
        <v>600</v>
      </c>
      <c r="D37" s="62">
        <v>175</v>
      </c>
      <c r="E37" s="3">
        <v>2.5500000000000001E-6</v>
      </c>
      <c r="F37" s="3"/>
    </row>
    <row r="38" spans="1:8" x14ac:dyDescent="0.25">
      <c r="B38">
        <v>350</v>
      </c>
      <c r="C38">
        <v>600</v>
      </c>
      <c r="D38" s="62">
        <v>150</v>
      </c>
      <c r="E38" s="3">
        <v>2.0200000000000001E-6</v>
      </c>
      <c r="F38" s="3"/>
    </row>
    <row r="39" spans="1:8" x14ac:dyDescent="0.25">
      <c r="B39">
        <v>350</v>
      </c>
      <c r="C39">
        <v>600</v>
      </c>
      <c r="D39" s="62">
        <v>125</v>
      </c>
      <c r="E39" s="3">
        <v>1.48E-6</v>
      </c>
      <c r="F39" s="3"/>
    </row>
    <row r="40" spans="1:8" x14ac:dyDescent="0.25">
      <c r="B40">
        <v>350</v>
      </c>
      <c r="C40">
        <v>600</v>
      </c>
      <c r="D40" s="62">
        <v>100</v>
      </c>
      <c r="E40" s="3">
        <v>9.7000000000000003E-7</v>
      </c>
      <c r="F40" s="3"/>
    </row>
    <row r="41" spans="1:8" x14ac:dyDescent="0.25">
      <c r="B41">
        <v>350</v>
      </c>
      <c r="C41">
        <v>600</v>
      </c>
      <c r="D41" s="62">
        <v>75</v>
      </c>
      <c r="E41" s="3">
        <v>5.1699999999999998E-7</v>
      </c>
      <c r="F41" s="3"/>
    </row>
    <row r="42" spans="1:8" x14ac:dyDescent="0.25">
      <c r="B42">
        <v>350</v>
      </c>
      <c r="C42">
        <v>600</v>
      </c>
      <c r="D42" s="62">
        <v>50</v>
      </c>
      <c r="E42" s="3">
        <v>3.3500000000000002E-7</v>
      </c>
      <c r="F42" s="3"/>
    </row>
    <row r="43" spans="1:8" x14ac:dyDescent="0.25">
      <c r="A43" s="33">
        <v>43276</v>
      </c>
      <c r="B43" s="11">
        <v>350</v>
      </c>
      <c r="C43" s="11">
        <v>600</v>
      </c>
      <c r="D43" s="62">
        <v>300</v>
      </c>
      <c r="E43" s="3">
        <v>3.8099999999999999E-6</v>
      </c>
      <c r="F43" s="3"/>
      <c r="H43" t="s">
        <v>50</v>
      </c>
    </row>
    <row r="44" spans="1:8" x14ac:dyDescent="0.25">
      <c r="B44" s="11">
        <v>350</v>
      </c>
      <c r="C44" s="11">
        <v>600</v>
      </c>
      <c r="D44" s="62">
        <v>250</v>
      </c>
      <c r="E44" s="3">
        <v>3.4599999999999999E-6</v>
      </c>
      <c r="F44" s="3"/>
    </row>
    <row r="45" spans="1:8" x14ac:dyDescent="0.25">
      <c r="B45" s="11">
        <v>350</v>
      </c>
      <c r="C45" s="11">
        <v>600</v>
      </c>
      <c r="D45" s="62">
        <v>200</v>
      </c>
      <c r="E45" s="3">
        <v>2.6599999999999999E-6</v>
      </c>
      <c r="F45" s="3"/>
    </row>
    <row r="46" spans="1:8" x14ac:dyDescent="0.25">
      <c r="B46" s="11">
        <v>350</v>
      </c>
      <c r="C46" s="11">
        <v>600</v>
      </c>
      <c r="D46" s="62">
        <v>175</v>
      </c>
      <c r="E46" s="3">
        <v>2.2199999999999999E-6</v>
      </c>
      <c r="F46" s="3"/>
    </row>
    <row r="47" spans="1:8" x14ac:dyDescent="0.25">
      <c r="B47" s="11">
        <v>350</v>
      </c>
      <c r="C47" s="11">
        <v>600</v>
      </c>
      <c r="D47" s="62">
        <v>165</v>
      </c>
      <c r="E47" s="3">
        <v>2.0600000000000002E-6</v>
      </c>
      <c r="F47" s="3"/>
    </row>
    <row r="48" spans="1:8" x14ac:dyDescent="0.25">
      <c r="B48" s="11">
        <v>350</v>
      </c>
      <c r="C48" s="11">
        <v>600</v>
      </c>
      <c r="D48" s="62">
        <v>150</v>
      </c>
      <c r="E48" s="3">
        <v>1.7600000000000001E-6</v>
      </c>
      <c r="F48" s="3"/>
    </row>
    <row r="49" spans="1:7" x14ac:dyDescent="0.25">
      <c r="B49" s="11">
        <v>350</v>
      </c>
      <c r="C49" s="11">
        <v>600</v>
      </c>
      <c r="D49" s="62">
        <v>125</v>
      </c>
      <c r="E49" s="3">
        <v>1.3E-6</v>
      </c>
      <c r="F49" s="3"/>
    </row>
    <row r="50" spans="1:7" x14ac:dyDescent="0.25">
      <c r="B50" s="11">
        <v>350</v>
      </c>
      <c r="C50" s="11">
        <v>600</v>
      </c>
      <c r="D50" s="62">
        <v>100</v>
      </c>
      <c r="E50" s="3">
        <v>8.6000000000000002E-7</v>
      </c>
      <c r="F50" s="3"/>
    </row>
    <row r="51" spans="1:7" x14ac:dyDescent="0.25">
      <c r="B51" s="11">
        <v>350</v>
      </c>
      <c r="C51" s="11">
        <v>600</v>
      </c>
      <c r="D51" s="62">
        <v>75</v>
      </c>
      <c r="E51" s="3">
        <v>4.7199999999999999E-7</v>
      </c>
      <c r="F51" s="3"/>
    </row>
    <row r="52" spans="1:7" x14ac:dyDescent="0.25">
      <c r="B52" s="11">
        <v>350</v>
      </c>
      <c r="C52" s="11">
        <v>600</v>
      </c>
      <c r="D52" s="62">
        <v>50</v>
      </c>
      <c r="E52" s="3">
        <v>3.0899999999999997E-7</v>
      </c>
      <c r="F52" s="3"/>
    </row>
    <row r="53" spans="1:7" x14ac:dyDescent="0.25">
      <c r="A53" s="33">
        <v>43293</v>
      </c>
      <c r="B53" s="11">
        <v>350</v>
      </c>
      <c r="C53" s="11">
        <v>600</v>
      </c>
      <c r="D53" s="62">
        <v>300</v>
      </c>
      <c r="E53" s="3">
        <v>3.7800000000000001E-8</v>
      </c>
      <c r="F53" s="3"/>
    </row>
    <row r="54" spans="1:7" x14ac:dyDescent="0.25">
      <c r="A54" s="33">
        <v>43294</v>
      </c>
      <c r="B54" s="11">
        <v>350</v>
      </c>
      <c r="C54" s="11">
        <v>600</v>
      </c>
      <c r="D54" s="62">
        <v>300</v>
      </c>
      <c r="E54" s="3">
        <v>4.3800000000000004E-6</v>
      </c>
      <c r="F54" s="3"/>
    </row>
    <row r="55" spans="1:7" x14ac:dyDescent="0.25">
      <c r="A55" s="33">
        <v>43300</v>
      </c>
      <c r="B55" s="11">
        <v>350</v>
      </c>
      <c r="C55" s="11">
        <v>600</v>
      </c>
      <c r="D55" s="62">
        <v>300</v>
      </c>
      <c r="E55" s="3">
        <v>4.5700000000000003E-6</v>
      </c>
      <c r="F55" s="3"/>
    </row>
    <row r="56" spans="1:7" x14ac:dyDescent="0.25">
      <c r="A56" s="33">
        <v>43304</v>
      </c>
      <c r="B56" s="11">
        <v>350</v>
      </c>
      <c r="C56" s="11">
        <v>600</v>
      </c>
      <c r="D56" s="62">
        <v>300</v>
      </c>
      <c r="E56" s="3">
        <v>4.95E-6</v>
      </c>
      <c r="G56">
        <v>2.0499999999999998</v>
      </c>
    </row>
    <row r="57" spans="1:7" x14ac:dyDescent="0.25">
      <c r="B57" s="11">
        <v>350</v>
      </c>
      <c r="C57" s="11">
        <v>600</v>
      </c>
      <c r="D57" s="62">
        <v>275</v>
      </c>
      <c r="E57" s="3">
        <v>4.8500000000000002E-6</v>
      </c>
    </row>
    <row r="58" spans="1:7" x14ac:dyDescent="0.25">
      <c r="B58" s="11">
        <v>350</v>
      </c>
      <c r="C58" s="11">
        <v>600</v>
      </c>
      <c r="D58" s="62">
        <v>250</v>
      </c>
      <c r="E58" s="3">
        <v>4.5299999999999998E-6</v>
      </c>
    </row>
    <row r="59" spans="1:7" x14ac:dyDescent="0.25">
      <c r="B59" s="11">
        <v>350</v>
      </c>
      <c r="C59" s="11">
        <v>600</v>
      </c>
      <c r="D59" s="62">
        <v>225</v>
      </c>
      <c r="E59" s="3">
        <v>4.0899999999999998E-6</v>
      </c>
    </row>
    <row r="60" spans="1:7" x14ac:dyDescent="0.25">
      <c r="B60" s="11">
        <v>350</v>
      </c>
      <c r="C60" s="11">
        <v>600</v>
      </c>
      <c r="D60" s="62">
        <v>200</v>
      </c>
      <c r="E60" s="3">
        <v>3.5700000000000001E-6</v>
      </c>
      <c r="G60">
        <v>1.41</v>
      </c>
    </row>
    <row r="61" spans="1:7" x14ac:dyDescent="0.25">
      <c r="B61" s="11">
        <v>350</v>
      </c>
      <c r="C61" s="11">
        <v>600</v>
      </c>
      <c r="D61" s="62">
        <v>175</v>
      </c>
      <c r="E61" s="3">
        <v>2.9900000000000002E-6</v>
      </c>
    </row>
    <row r="62" spans="1:7" x14ac:dyDescent="0.25">
      <c r="B62" s="11">
        <v>350</v>
      </c>
      <c r="C62" s="11">
        <v>600</v>
      </c>
      <c r="D62" s="62">
        <v>150</v>
      </c>
      <c r="E62" s="3">
        <v>2.3700000000000002E-6</v>
      </c>
      <c r="G62">
        <v>0.95</v>
      </c>
    </row>
    <row r="63" spans="1:7" x14ac:dyDescent="0.25">
      <c r="B63" s="11">
        <v>350</v>
      </c>
      <c r="C63" s="11">
        <v>600</v>
      </c>
      <c r="D63" s="62">
        <v>135</v>
      </c>
      <c r="E63" s="3">
        <v>1.9700000000000002E-6</v>
      </c>
    </row>
    <row r="64" spans="1:7" x14ac:dyDescent="0.25">
      <c r="B64" s="11">
        <v>350</v>
      </c>
      <c r="C64" s="11">
        <v>600</v>
      </c>
      <c r="D64" s="62">
        <v>125</v>
      </c>
      <c r="E64" s="3">
        <v>1.77E-6</v>
      </c>
    </row>
    <row r="65" spans="1:5" x14ac:dyDescent="0.25">
      <c r="B65" s="11">
        <v>350</v>
      </c>
      <c r="C65" s="11">
        <v>600</v>
      </c>
      <c r="D65" s="62">
        <v>100</v>
      </c>
      <c r="E65" s="3">
        <v>1.17E-6</v>
      </c>
    </row>
    <row r="66" spans="1:5" x14ac:dyDescent="0.25">
      <c r="B66" s="11">
        <v>350</v>
      </c>
      <c r="C66" s="11">
        <v>600</v>
      </c>
      <c r="D66" s="62">
        <v>75</v>
      </c>
      <c r="E66" s="3">
        <v>6.37E-7</v>
      </c>
    </row>
    <row r="67" spans="1:5" ht="16.5" thickBot="1" x14ac:dyDescent="0.3">
      <c r="B67" s="11">
        <v>350</v>
      </c>
      <c r="C67" s="11">
        <v>600</v>
      </c>
      <c r="D67" s="62">
        <v>50</v>
      </c>
      <c r="E67" s="3">
        <v>4.0200000000000003E-7</v>
      </c>
    </row>
    <row r="68" spans="1:5" ht="16.5" thickBot="1" x14ac:dyDescent="0.3">
      <c r="A68" s="33">
        <v>43353</v>
      </c>
      <c r="B68" s="11">
        <v>350</v>
      </c>
      <c r="C68" s="11">
        <v>600</v>
      </c>
      <c r="D68" s="63">
        <v>300</v>
      </c>
      <c r="E68" s="59">
        <v>5.7400000000000001E-6</v>
      </c>
    </row>
    <row r="69" spans="1:5" ht="16.5" thickBot="1" x14ac:dyDescent="0.3">
      <c r="B69" s="11">
        <v>350</v>
      </c>
      <c r="C69" s="11">
        <v>600</v>
      </c>
      <c r="D69" s="63">
        <v>275</v>
      </c>
      <c r="E69" s="59">
        <v>5.4600000000000002E-6</v>
      </c>
    </row>
    <row r="70" spans="1:5" ht="16.5" thickBot="1" x14ac:dyDescent="0.3">
      <c r="B70" s="11">
        <v>350</v>
      </c>
      <c r="C70" s="11">
        <v>600</v>
      </c>
      <c r="D70" s="63">
        <v>250</v>
      </c>
      <c r="E70" s="59">
        <v>5.0200000000000002E-6</v>
      </c>
    </row>
    <row r="71" spans="1:5" ht="16.5" thickBot="1" x14ac:dyDescent="0.3">
      <c r="B71" s="11">
        <v>350</v>
      </c>
      <c r="C71" s="11">
        <v>600</v>
      </c>
      <c r="D71" s="63">
        <v>225</v>
      </c>
      <c r="E71" s="59">
        <v>4.4299999999999999E-6</v>
      </c>
    </row>
    <row r="72" spans="1:5" ht="16.5" thickBot="1" x14ac:dyDescent="0.3">
      <c r="B72" s="11">
        <v>350</v>
      </c>
      <c r="C72" s="11">
        <v>600</v>
      </c>
      <c r="D72" s="63">
        <v>210</v>
      </c>
      <c r="E72" s="59">
        <v>4.0199999999999996E-6</v>
      </c>
    </row>
    <row r="73" spans="1:5" ht="16.5" thickBot="1" x14ac:dyDescent="0.3">
      <c r="B73" s="11">
        <v>350</v>
      </c>
      <c r="C73" s="11">
        <v>600</v>
      </c>
      <c r="D73" s="63">
        <v>200</v>
      </c>
      <c r="E73" s="59">
        <v>3.7900000000000001E-6</v>
      </c>
    </row>
    <row r="74" spans="1:5" ht="16.5" thickBot="1" x14ac:dyDescent="0.3">
      <c r="B74" s="11">
        <v>350</v>
      </c>
      <c r="C74" s="11">
        <v>600</v>
      </c>
      <c r="D74" s="63">
        <v>175</v>
      </c>
      <c r="E74" s="59">
        <v>3.1300000000000001E-6</v>
      </c>
    </row>
    <row r="75" spans="1:5" ht="16.5" thickBot="1" x14ac:dyDescent="0.3">
      <c r="B75" s="11">
        <v>350</v>
      </c>
      <c r="C75" s="11">
        <v>600</v>
      </c>
      <c r="D75" s="63">
        <v>150</v>
      </c>
      <c r="E75" s="59">
        <v>2.4700000000000001E-6</v>
      </c>
    </row>
    <row r="76" spans="1:5" ht="16.5" thickBot="1" x14ac:dyDescent="0.3">
      <c r="B76" s="11">
        <v>350</v>
      </c>
      <c r="C76" s="11">
        <v>600</v>
      </c>
      <c r="D76" s="63">
        <v>135</v>
      </c>
      <c r="E76" s="59">
        <v>2.0700000000000001E-6</v>
      </c>
    </row>
    <row r="77" spans="1:5" ht="16.5" thickBot="1" x14ac:dyDescent="0.3">
      <c r="B77" s="11">
        <v>350</v>
      </c>
      <c r="C77" s="11">
        <v>600</v>
      </c>
      <c r="D77" s="63">
        <v>125</v>
      </c>
      <c r="E77" s="59">
        <v>1.7799999999999999E-6</v>
      </c>
    </row>
    <row r="78" spans="1:5" ht="16.5" thickBot="1" x14ac:dyDescent="0.3">
      <c r="B78" s="11">
        <v>350</v>
      </c>
      <c r="C78" s="11">
        <v>600</v>
      </c>
      <c r="D78" s="63">
        <v>100</v>
      </c>
      <c r="E78" s="59">
        <v>1.22E-6</v>
      </c>
    </row>
    <row r="79" spans="1:5" ht="16.5" thickBot="1" x14ac:dyDescent="0.3">
      <c r="B79" s="11">
        <v>350</v>
      </c>
      <c r="C79" s="11">
        <v>600</v>
      </c>
      <c r="D79" s="63">
        <v>75</v>
      </c>
      <c r="E79" s="59">
        <v>6.1999999999999999E-7</v>
      </c>
    </row>
    <row r="80" spans="1:5" ht="16.5" thickBot="1" x14ac:dyDescent="0.3">
      <c r="B80" s="11">
        <v>350</v>
      </c>
      <c r="C80" s="11">
        <v>600</v>
      </c>
      <c r="D80" s="63">
        <v>50</v>
      </c>
      <c r="E80" s="59">
        <v>39000000</v>
      </c>
    </row>
    <row r="81" spans="1:5" ht="16.5" thickBot="1" x14ac:dyDescent="0.3">
      <c r="A81" s="33">
        <v>43362</v>
      </c>
      <c r="B81" s="11">
        <v>350</v>
      </c>
      <c r="C81" s="11">
        <v>600</v>
      </c>
      <c r="D81" s="64">
        <v>300</v>
      </c>
      <c r="E81" s="60">
        <v>5.6099999999999997E-6</v>
      </c>
    </row>
    <row r="82" spans="1:5" ht="16.5" thickBot="1" x14ac:dyDescent="0.3">
      <c r="B82" s="11">
        <v>350</v>
      </c>
      <c r="C82" s="11">
        <v>600</v>
      </c>
      <c r="D82" s="64">
        <v>275</v>
      </c>
      <c r="E82" s="60">
        <v>5.3000000000000001E-6</v>
      </c>
    </row>
    <row r="83" spans="1:5" ht="16.5" thickBot="1" x14ac:dyDescent="0.3">
      <c r="B83" s="11">
        <v>350</v>
      </c>
      <c r="C83" s="11">
        <v>600</v>
      </c>
      <c r="D83" s="64">
        <v>250</v>
      </c>
      <c r="E83" s="60">
        <v>4.8500000000000002E-6</v>
      </c>
    </row>
    <row r="84" spans="1:5" ht="16.5" thickBot="1" x14ac:dyDescent="0.3">
      <c r="B84" s="11">
        <v>350</v>
      </c>
      <c r="C84" s="11">
        <v>600</v>
      </c>
      <c r="D84" s="64">
        <v>225</v>
      </c>
      <c r="E84" s="60">
        <v>4.3100000000000002E-6</v>
      </c>
    </row>
    <row r="85" spans="1:5" ht="16.5" thickBot="1" x14ac:dyDescent="0.3">
      <c r="B85" s="11">
        <v>350</v>
      </c>
      <c r="C85" s="11">
        <v>600</v>
      </c>
      <c r="D85" s="64">
        <v>200</v>
      </c>
      <c r="E85" s="60">
        <v>3.7000000000000002E-6</v>
      </c>
    </row>
    <row r="86" spans="1:5" ht="16.5" thickBot="1" x14ac:dyDescent="0.3">
      <c r="B86" s="11">
        <v>350</v>
      </c>
      <c r="C86" s="11">
        <v>600</v>
      </c>
      <c r="D86" s="64">
        <v>175</v>
      </c>
      <c r="E86" s="60">
        <v>3.0699999999999998E-6</v>
      </c>
    </row>
    <row r="87" spans="1:5" ht="16.5" thickBot="1" x14ac:dyDescent="0.3">
      <c r="B87" s="11">
        <v>350</v>
      </c>
      <c r="C87" s="11">
        <v>600</v>
      </c>
      <c r="D87" s="64">
        <v>150</v>
      </c>
      <c r="E87" s="60">
        <v>2.3999999999999999E-6</v>
      </c>
    </row>
    <row r="88" spans="1:5" ht="16.5" thickBot="1" x14ac:dyDescent="0.3">
      <c r="B88" s="11">
        <v>350</v>
      </c>
      <c r="C88" s="11">
        <v>600</v>
      </c>
      <c r="D88" s="64">
        <v>135</v>
      </c>
      <c r="E88" s="60">
        <v>1.95E-6</v>
      </c>
    </row>
    <row r="89" spans="1:5" ht="16.5" thickBot="1" x14ac:dyDescent="0.3">
      <c r="B89" s="11">
        <v>350</v>
      </c>
      <c r="C89" s="11">
        <v>600</v>
      </c>
      <c r="D89" s="64">
        <v>125</v>
      </c>
      <c r="E89" s="60">
        <v>1.75E-6</v>
      </c>
    </row>
    <row r="90" spans="1:5" ht="16.5" thickBot="1" x14ac:dyDescent="0.3">
      <c r="B90" s="11">
        <v>350</v>
      </c>
      <c r="C90" s="11">
        <v>600</v>
      </c>
      <c r="D90" s="64">
        <v>100</v>
      </c>
      <c r="E90" s="60">
        <v>1.1400000000000001E-6</v>
      </c>
    </row>
    <row r="91" spans="1:5" ht="16.5" thickBot="1" x14ac:dyDescent="0.3">
      <c r="B91" s="11">
        <v>350</v>
      </c>
      <c r="C91" s="11">
        <v>600</v>
      </c>
      <c r="D91" s="64">
        <v>75</v>
      </c>
      <c r="E91" s="60">
        <v>6.1699999999999998E-7</v>
      </c>
    </row>
    <row r="92" spans="1:5" ht="16.5" thickBot="1" x14ac:dyDescent="0.3">
      <c r="B92" s="11">
        <v>350</v>
      </c>
      <c r="C92" s="11">
        <v>600</v>
      </c>
      <c r="D92" s="64">
        <v>50</v>
      </c>
      <c r="E92" s="59">
        <v>3.84E-7</v>
      </c>
    </row>
    <row r="93" spans="1:5" ht="16.5" thickBot="1" x14ac:dyDescent="0.3">
      <c r="A93" s="33">
        <v>43363</v>
      </c>
      <c r="B93" s="11">
        <v>350</v>
      </c>
      <c r="C93" s="11">
        <v>600</v>
      </c>
      <c r="D93" s="64">
        <v>300</v>
      </c>
      <c r="E93" s="60">
        <v>5.4399999999999996E-6</v>
      </c>
    </row>
    <row r="94" spans="1:5" ht="16.5" thickBot="1" x14ac:dyDescent="0.3">
      <c r="B94" s="11">
        <v>350</v>
      </c>
      <c r="C94" s="11">
        <v>600</v>
      </c>
      <c r="D94" s="64">
        <v>250</v>
      </c>
      <c r="E94" s="60">
        <v>4.6399999999999996E-6</v>
      </c>
    </row>
    <row r="95" spans="1:5" ht="16.5" thickBot="1" x14ac:dyDescent="0.3">
      <c r="B95" s="11">
        <v>350</v>
      </c>
      <c r="C95" s="11">
        <v>600</v>
      </c>
      <c r="D95" s="64">
        <v>200</v>
      </c>
      <c r="E95" s="60">
        <v>3.54E-6</v>
      </c>
    </row>
    <row r="96" spans="1:5" ht="16.5" thickBot="1" x14ac:dyDescent="0.3">
      <c r="B96" s="11">
        <v>350</v>
      </c>
      <c r="C96" s="11">
        <v>600</v>
      </c>
      <c r="D96" s="64">
        <v>150</v>
      </c>
      <c r="E96" s="60">
        <v>2.3E-6</v>
      </c>
    </row>
    <row r="97" spans="1:8" ht="16.5" thickBot="1" x14ac:dyDescent="0.3">
      <c r="B97" s="11">
        <v>350</v>
      </c>
      <c r="C97" s="11">
        <v>600</v>
      </c>
      <c r="D97" s="64">
        <v>140</v>
      </c>
      <c r="E97" s="60">
        <v>1.99E-6</v>
      </c>
    </row>
    <row r="98" spans="1:8" ht="16.5" thickBot="1" x14ac:dyDescent="0.3">
      <c r="B98" s="11">
        <v>350</v>
      </c>
      <c r="C98" s="11">
        <v>600</v>
      </c>
      <c r="D98" s="64">
        <v>135</v>
      </c>
      <c r="E98" s="60">
        <v>1.9199999999999998E-6</v>
      </c>
    </row>
    <row r="99" spans="1:8" ht="16.5" thickBot="1" x14ac:dyDescent="0.3">
      <c r="B99" s="11">
        <v>350</v>
      </c>
      <c r="C99" s="11">
        <v>600</v>
      </c>
      <c r="D99" s="64">
        <v>100</v>
      </c>
      <c r="E99" s="60">
        <v>1.11E-6</v>
      </c>
    </row>
    <row r="100" spans="1:8" ht="16.5" thickBot="1" x14ac:dyDescent="0.3">
      <c r="B100" s="11">
        <v>350</v>
      </c>
      <c r="C100" s="11">
        <v>600</v>
      </c>
      <c r="D100" s="64">
        <v>50</v>
      </c>
      <c r="E100" s="60">
        <v>3.4700000000000002E-7</v>
      </c>
    </row>
    <row r="101" spans="1:8" x14ac:dyDescent="0.25">
      <c r="A101" s="33">
        <v>43493</v>
      </c>
      <c r="B101" s="11">
        <v>350</v>
      </c>
      <c r="C101" s="11">
        <v>600</v>
      </c>
      <c r="D101" s="65">
        <v>300</v>
      </c>
      <c r="E101" s="3">
        <v>4.4800000000000003E-6</v>
      </c>
      <c r="H101" t="s">
        <v>63</v>
      </c>
    </row>
    <row r="102" spans="1:8" x14ac:dyDescent="0.25">
      <c r="B102" s="11">
        <v>350</v>
      </c>
      <c r="C102" s="11">
        <v>600</v>
      </c>
      <c r="D102" s="65">
        <v>250</v>
      </c>
      <c r="E102" s="3">
        <v>3.8999999999999999E-6</v>
      </c>
    </row>
    <row r="103" spans="1:8" x14ac:dyDescent="0.25">
      <c r="B103" s="11">
        <v>350</v>
      </c>
      <c r="C103" s="11">
        <v>600</v>
      </c>
      <c r="D103" s="65">
        <v>200</v>
      </c>
      <c r="E103" s="3">
        <v>2.9799999999999998E-6</v>
      </c>
    </row>
    <row r="104" spans="1:8" x14ac:dyDescent="0.25">
      <c r="B104" s="11">
        <v>350</v>
      </c>
      <c r="C104" s="11">
        <v>600</v>
      </c>
      <c r="D104" s="65">
        <v>150</v>
      </c>
      <c r="E104" s="3">
        <v>1.9300000000000002E-6</v>
      </c>
    </row>
    <row r="105" spans="1:8" x14ac:dyDescent="0.25">
      <c r="B105" s="11">
        <v>350</v>
      </c>
      <c r="C105" s="11">
        <v>600</v>
      </c>
      <c r="D105" s="65">
        <v>140</v>
      </c>
      <c r="E105" s="3">
        <v>1.7400000000000001E-6</v>
      </c>
    </row>
    <row r="106" spans="1:8" x14ac:dyDescent="0.25">
      <c r="B106" s="11">
        <v>350</v>
      </c>
      <c r="C106" s="11">
        <v>600</v>
      </c>
      <c r="D106" s="65">
        <v>125</v>
      </c>
      <c r="E106" s="3">
        <v>1.4500000000000001E-6</v>
      </c>
    </row>
    <row r="107" spans="1:8" x14ac:dyDescent="0.25">
      <c r="B107" s="11">
        <v>350</v>
      </c>
      <c r="C107" s="11">
        <v>600</v>
      </c>
      <c r="D107" s="65">
        <v>100</v>
      </c>
      <c r="E107" s="3">
        <v>9.5199999999999995E-7</v>
      </c>
    </row>
    <row r="108" spans="1:8" x14ac:dyDescent="0.25">
      <c r="B108" s="11">
        <v>350</v>
      </c>
      <c r="C108" s="11">
        <v>600</v>
      </c>
      <c r="D108" s="65">
        <v>50</v>
      </c>
      <c r="E108" s="3">
        <v>3.3200000000000001E-7</v>
      </c>
    </row>
    <row r="109" spans="1:8" x14ac:dyDescent="0.25">
      <c r="A109" s="33">
        <v>43507</v>
      </c>
      <c r="B109" s="11">
        <v>350</v>
      </c>
      <c r="C109" s="11">
        <v>600</v>
      </c>
      <c r="D109" s="65">
        <v>300</v>
      </c>
      <c r="E109" s="3">
        <v>3.8999999999999999E-6</v>
      </c>
    </row>
    <row r="110" spans="1:8" x14ac:dyDescent="0.25">
      <c r="B110" s="11">
        <v>350</v>
      </c>
      <c r="C110" s="11">
        <v>600</v>
      </c>
      <c r="D110" s="65">
        <v>250</v>
      </c>
      <c r="E110" s="3">
        <v>3.19E-6</v>
      </c>
    </row>
    <row r="111" spans="1:8" x14ac:dyDescent="0.25">
      <c r="B111" s="11">
        <v>350</v>
      </c>
      <c r="C111" s="11">
        <v>600</v>
      </c>
      <c r="D111" s="65">
        <v>200</v>
      </c>
      <c r="E111" s="3">
        <v>2.4600000000000002E-6</v>
      </c>
    </row>
    <row r="112" spans="1:8" x14ac:dyDescent="0.25">
      <c r="B112" s="11">
        <v>350</v>
      </c>
      <c r="C112" s="11">
        <v>600</v>
      </c>
      <c r="D112" s="65">
        <v>150</v>
      </c>
      <c r="E112" s="3">
        <v>1.64E-6</v>
      </c>
    </row>
    <row r="113" spans="1:5" x14ac:dyDescent="0.25">
      <c r="B113" s="11">
        <v>350</v>
      </c>
      <c r="C113" s="11">
        <v>600</v>
      </c>
      <c r="D113" s="65">
        <v>100</v>
      </c>
      <c r="E113" s="3">
        <v>8.1900000000000001E-7</v>
      </c>
    </row>
    <row r="114" spans="1:5" x14ac:dyDescent="0.25">
      <c r="B114" s="11">
        <v>350</v>
      </c>
      <c r="C114" s="11">
        <v>600</v>
      </c>
      <c r="D114" s="65">
        <v>50</v>
      </c>
      <c r="E114" s="3">
        <v>2.8700000000000002E-7</v>
      </c>
    </row>
    <row r="115" spans="1:5" x14ac:dyDescent="0.25">
      <c r="A115" s="33">
        <v>43517</v>
      </c>
      <c r="B115" s="11">
        <v>350</v>
      </c>
      <c r="C115" s="11">
        <v>600</v>
      </c>
      <c r="D115" s="65">
        <v>300</v>
      </c>
      <c r="E115" s="3">
        <v>4.5399999999999997E-6</v>
      </c>
    </row>
    <row r="116" spans="1:5" x14ac:dyDescent="0.25">
      <c r="B116" s="11">
        <v>350</v>
      </c>
      <c r="C116" s="11">
        <v>600</v>
      </c>
      <c r="D116" s="65">
        <v>250</v>
      </c>
      <c r="E116" s="3">
        <v>3.8999999999999999E-6</v>
      </c>
    </row>
    <row r="117" spans="1:5" x14ac:dyDescent="0.25">
      <c r="B117" s="11">
        <v>350</v>
      </c>
      <c r="C117" s="11">
        <v>600</v>
      </c>
      <c r="D117" s="65">
        <v>200</v>
      </c>
      <c r="E117" s="3">
        <v>2.9399999999999998E-6</v>
      </c>
    </row>
    <row r="118" spans="1:5" x14ac:dyDescent="0.25">
      <c r="B118" s="11">
        <v>350</v>
      </c>
      <c r="C118" s="11">
        <v>600</v>
      </c>
      <c r="D118" s="65">
        <v>150</v>
      </c>
      <c r="E118" s="3">
        <v>1.8500000000000001E-6</v>
      </c>
    </row>
    <row r="119" spans="1:5" x14ac:dyDescent="0.25">
      <c r="B119" s="11">
        <v>350</v>
      </c>
      <c r="C119" s="11">
        <v>600</v>
      </c>
      <c r="D119" s="65">
        <v>140</v>
      </c>
      <c r="E119" s="3">
        <v>1.7099999999999999E-6</v>
      </c>
    </row>
    <row r="120" spans="1:5" x14ac:dyDescent="0.25">
      <c r="B120" s="11">
        <v>350</v>
      </c>
      <c r="C120" s="11">
        <v>600</v>
      </c>
      <c r="D120" s="65">
        <v>100</v>
      </c>
      <c r="E120" s="3">
        <v>9.2399999999999996E-7</v>
      </c>
    </row>
    <row r="121" spans="1:5" x14ac:dyDescent="0.25">
      <c r="B121" s="11">
        <v>350</v>
      </c>
      <c r="C121" s="11">
        <v>600</v>
      </c>
      <c r="D121" s="65">
        <v>50</v>
      </c>
      <c r="E121" s="3">
        <v>3.2300000000000002E-7</v>
      </c>
    </row>
    <row r="122" spans="1:5" x14ac:dyDescent="0.25">
      <c r="B122" s="11">
        <v>350</v>
      </c>
      <c r="C122" s="11">
        <v>600</v>
      </c>
      <c r="D122" s="65">
        <v>152</v>
      </c>
      <c r="E122" s="3">
        <v>1.9400000000000001E-6</v>
      </c>
    </row>
    <row r="123" spans="1:5" x14ac:dyDescent="0.25">
      <c r="A123" s="33">
        <v>43601</v>
      </c>
      <c r="B123" s="11">
        <v>350</v>
      </c>
      <c r="C123" s="11">
        <v>600</v>
      </c>
      <c r="D123" s="65">
        <v>300</v>
      </c>
      <c r="E123" s="3">
        <v>4.2799999999999997E-6</v>
      </c>
    </row>
    <row r="124" spans="1:5" x14ac:dyDescent="0.25">
      <c r="B124" s="11">
        <v>350</v>
      </c>
      <c r="C124" s="11">
        <v>600</v>
      </c>
      <c r="D124" s="65">
        <v>275</v>
      </c>
      <c r="E124" s="3">
        <v>3.8999999999999999E-6</v>
      </c>
    </row>
    <row r="125" spans="1:5" x14ac:dyDescent="0.25">
      <c r="B125" s="11">
        <v>350</v>
      </c>
      <c r="C125" s="11">
        <v>600</v>
      </c>
      <c r="D125" s="65">
        <v>250</v>
      </c>
      <c r="E125" s="3">
        <v>3.5899999999999999E-6</v>
      </c>
    </row>
    <row r="126" spans="1:5" x14ac:dyDescent="0.25">
      <c r="B126" s="11">
        <v>350</v>
      </c>
      <c r="C126" s="11">
        <v>600</v>
      </c>
      <c r="D126" s="65">
        <v>225</v>
      </c>
      <c r="E126" s="3">
        <v>3.18E-6</v>
      </c>
    </row>
    <row r="127" spans="1:5" x14ac:dyDescent="0.25">
      <c r="B127" s="11">
        <v>350</v>
      </c>
      <c r="C127" s="11">
        <v>600</v>
      </c>
      <c r="D127" s="65">
        <v>200</v>
      </c>
      <c r="E127" s="3">
        <v>2.83E-6</v>
      </c>
    </row>
    <row r="128" spans="1:5" x14ac:dyDescent="0.25">
      <c r="B128" s="11">
        <v>350</v>
      </c>
      <c r="C128" s="11">
        <v>600</v>
      </c>
      <c r="D128" s="65">
        <v>175</v>
      </c>
      <c r="E128" s="3">
        <v>2.3099999999999999E-6</v>
      </c>
    </row>
    <row r="129" spans="1:5" x14ac:dyDescent="0.25">
      <c r="B129" s="11">
        <v>350</v>
      </c>
      <c r="C129" s="11">
        <v>600</v>
      </c>
      <c r="D129" s="65">
        <v>150</v>
      </c>
      <c r="E129" s="3">
        <v>1.88E-6</v>
      </c>
    </row>
    <row r="130" spans="1:5" x14ac:dyDescent="0.25">
      <c r="B130" s="11">
        <v>350</v>
      </c>
      <c r="C130" s="11">
        <v>600</v>
      </c>
      <c r="D130" s="65">
        <v>125</v>
      </c>
      <c r="E130" s="3">
        <v>1.3400000000000001E-6</v>
      </c>
    </row>
    <row r="131" spans="1:5" x14ac:dyDescent="0.25">
      <c r="B131" s="11">
        <v>350</v>
      </c>
      <c r="C131" s="11">
        <v>600</v>
      </c>
      <c r="D131" s="65">
        <v>100</v>
      </c>
      <c r="E131" s="3">
        <v>9.0999999999999997E-7</v>
      </c>
    </row>
    <row r="132" spans="1:5" x14ac:dyDescent="0.25">
      <c r="B132" s="11">
        <v>350</v>
      </c>
      <c r="C132" s="11">
        <v>600</v>
      </c>
      <c r="D132" s="65">
        <v>75</v>
      </c>
      <c r="E132" s="3">
        <v>4.9500000000000003E-7</v>
      </c>
    </row>
    <row r="133" spans="1:5" x14ac:dyDescent="0.25">
      <c r="B133" s="11">
        <v>350</v>
      </c>
      <c r="C133" s="11">
        <v>600</v>
      </c>
      <c r="D133" s="65">
        <v>50</v>
      </c>
      <c r="E133" s="3">
        <v>3.2599999999999998E-7</v>
      </c>
    </row>
    <row r="134" spans="1:5" x14ac:dyDescent="0.25">
      <c r="A134" s="33">
        <v>43605</v>
      </c>
      <c r="B134" s="11">
        <v>350</v>
      </c>
      <c r="C134" s="11">
        <v>600</v>
      </c>
      <c r="D134" s="65">
        <v>300</v>
      </c>
      <c r="E134" s="3">
        <v>4.7600000000000002E-6</v>
      </c>
    </row>
    <row r="135" spans="1:5" x14ac:dyDescent="0.25">
      <c r="B135" s="11">
        <v>350</v>
      </c>
      <c r="C135" s="11">
        <v>600</v>
      </c>
      <c r="D135" s="65">
        <v>275</v>
      </c>
      <c r="E135" s="3">
        <v>4.4000000000000002E-6</v>
      </c>
    </row>
    <row r="136" spans="1:5" x14ac:dyDescent="0.25">
      <c r="B136" s="11">
        <v>350</v>
      </c>
      <c r="C136" s="11">
        <v>600</v>
      </c>
      <c r="D136" s="65">
        <v>250</v>
      </c>
      <c r="E136" s="3">
        <v>4.0500000000000002E-6</v>
      </c>
    </row>
    <row r="137" spans="1:5" x14ac:dyDescent="0.25">
      <c r="B137" s="11">
        <v>350</v>
      </c>
      <c r="C137" s="11">
        <v>600</v>
      </c>
      <c r="D137" s="65">
        <v>225</v>
      </c>
      <c r="E137" s="3">
        <v>3.5899999999999999E-6</v>
      </c>
    </row>
    <row r="138" spans="1:5" x14ac:dyDescent="0.25">
      <c r="B138" s="11">
        <v>350</v>
      </c>
      <c r="C138" s="11">
        <v>600</v>
      </c>
      <c r="D138" s="65">
        <v>175</v>
      </c>
      <c r="E138" s="3">
        <v>3.1300000000000001E-6</v>
      </c>
    </row>
    <row r="139" spans="1:5" x14ac:dyDescent="0.25">
      <c r="B139" s="11">
        <v>350</v>
      </c>
      <c r="C139" s="11">
        <v>600</v>
      </c>
      <c r="D139" s="65">
        <v>150</v>
      </c>
      <c r="E139" s="3">
        <v>2.04E-6</v>
      </c>
    </row>
    <row r="140" spans="1:5" x14ac:dyDescent="0.25">
      <c r="B140" s="11">
        <v>350</v>
      </c>
      <c r="C140" s="11">
        <v>600</v>
      </c>
      <c r="D140" s="65">
        <v>125</v>
      </c>
      <c r="E140" s="3">
        <v>1.15E-6</v>
      </c>
    </row>
    <row r="141" spans="1:5" x14ac:dyDescent="0.25">
      <c r="B141" s="11">
        <v>350</v>
      </c>
      <c r="C141" s="11">
        <v>600</v>
      </c>
      <c r="D141" s="65">
        <v>100</v>
      </c>
      <c r="E141" s="3">
        <v>1.0100000000000001E-6</v>
      </c>
    </row>
    <row r="142" spans="1:5" x14ac:dyDescent="0.25">
      <c r="B142" s="11">
        <v>350</v>
      </c>
      <c r="C142" s="11">
        <v>600</v>
      </c>
      <c r="D142" s="65">
        <v>75</v>
      </c>
      <c r="E142" s="3">
        <v>5.4000000000000002E-7</v>
      </c>
    </row>
    <row r="143" spans="1:5" x14ac:dyDescent="0.25">
      <c r="B143" s="11">
        <v>350</v>
      </c>
      <c r="C143" s="11">
        <v>600</v>
      </c>
      <c r="D143" s="65">
        <v>50</v>
      </c>
      <c r="E143" s="3">
        <v>3.41E-7</v>
      </c>
    </row>
    <row r="144" spans="1:5" x14ac:dyDescent="0.25">
      <c r="A144" s="33">
        <v>43621</v>
      </c>
      <c r="B144" s="11">
        <v>350</v>
      </c>
      <c r="C144" s="11">
        <v>600</v>
      </c>
      <c r="D144" s="65">
        <v>300</v>
      </c>
      <c r="E144" s="3">
        <v>4.78E-6</v>
      </c>
    </row>
    <row r="145" spans="1:5" x14ac:dyDescent="0.25">
      <c r="B145" s="11">
        <v>350</v>
      </c>
      <c r="C145" s="11">
        <v>600</v>
      </c>
      <c r="D145" s="65">
        <v>275</v>
      </c>
      <c r="E145" s="3">
        <v>3.8700000000000002E-6</v>
      </c>
    </row>
    <row r="146" spans="1:5" x14ac:dyDescent="0.25">
      <c r="B146" s="11">
        <v>350</v>
      </c>
      <c r="C146" s="11">
        <v>600</v>
      </c>
      <c r="D146" s="65">
        <v>250</v>
      </c>
      <c r="E146" s="3">
        <v>3.58E-6</v>
      </c>
    </row>
    <row r="147" spans="1:5" x14ac:dyDescent="0.25">
      <c r="B147" s="11">
        <v>350</v>
      </c>
      <c r="C147" s="11">
        <v>600</v>
      </c>
      <c r="D147" s="65">
        <v>225</v>
      </c>
      <c r="E147" s="3">
        <v>3.18E-6</v>
      </c>
    </row>
    <row r="148" spans="1:5" x14ac:dyDescent="0.25">
      <c r="B148" s="11">
        <v>350</v>
      </c>
      <c r="C148" s="11">
        <v>600</v>
      </c>
      <c r="D148" s="65">
        <v>200</v>
      </c>
      <c r="E148" s="3">
        <v>2.7499999999999999E-6</v>
      </c>
    </row>
    <row r="149" spans="1:5" x14ac:dyDescent="0.25">
      <c r="B149" s="11">
        <v>350</v>
      </c>
      <c r="C149" s="11">
        <v>600</v>
      </c>
      <c r="D149" s="65">
        <v>175</v>
      </c>
      <c r="E149" s="3">
        <v>2.3E-6</v>
      </c>
    </row>
    <row r="150" spans="1:5" x14ac:dyDescent="0.25">
      <c r="B150" s="11">
        <v>350</v>
      </c>
      <c r="C150" s="11">
        <v>600</v>
      </c>
      <c r="D150" s="65">
        <v>150</v>
      </c>
      <c r="E150" s="3">
        <v>1.8300000000000001E-6</v>
      </c>
    </row>
    <row r="151" spans="1:5" x14ac:dyDescent="0.25">
      <c r="B151" s="11">
        <v>350</v>
      </c>
      <c r="C151" s="11">
        <v>600</v>
      </c>
      <c r="D151" s="65">
        <v>125</v>
      </c>
      <c r="E151" s="3">
        <v>1.3599999999999999E-6</v>
      </c>
    </row>
    <row r="152" spans="1:5" x14ac:dyDescent="0.25">
      <c r="B152" s="11">
        <v>350</v>
      </c>
      <c r="C152" s="11">
        <v>600</v>
      </c>
      <c r="D152" s="65">
        <v>100</v>
      </c>
      <c r="E152" s="3">
        <v>9.02E-7</v>
      </c>
    </row>
    <row r="153" spans="1:5" x14ac:dyDescent="0.25">
      <c r="B153" s="11">
        <v>350</v>
      </c>
      <c r="C153" s="11">
        <v>600</v>
      </c>
      <c r="D153" s="65">
        <v>50</v>
      </c>
      <c r="E153" s="3">
        <v>3.2399999999999999E-7</v>
      </c>
    </row>
    <row r="154" spans="1:5" x14ac:dyDescent="0.25">
      <c r="A154" s="33">
        <v>43633</v>
      </c>
      <c r="B154" s="11">
        <v>350</v>
      </c>
      <c r="C154" s="11">
        <v>600</v>
      </c>
      <c r="D154" s="65">
        <v>300</v>
      </c>
      <c r="E154" s="3">
        <v>5.04E-6</v>
      </c>
    </row>
    <row r="155" spans="1:5" x14ac:dyDescent="0.25">
      <c r="B155" s="11">
        <v>350</v>
      </c>
      <c r="C155" s="11">
        <v>600</v>
      </c>
      <c r="D155" s="65">
        <v>275</v>
      </c>
      <c r="E155" s="3">
        <v>4.7500000000000003E-6</v>
      </c>
    </row>
    <row r="156" spans="1:5" x14ac:dyDescent="0.25">
      <c r="B156" s="11">
        <v>350</v>
      </c>
      <c r="C156" s="11">
        <v>600</v>
      </c>
      <c r="D156" s="65">
        <v>250</v>
      </c>
      <c r="E156" s="3">
        <v>4.3699999999999997E-6</v>
      </c>
    </row>
    <row r="157" spans="1:5" x14ac:dyDescent="0.25">
      <c r="B157" s="11">
        <v>350</v>
      </c>
      <c r="C157" s="11">
        <v>600</v>
      </c>
      <c r="D157" s="65">
        <v>225</v>
      </c>
      <c r="E157" s="3">
        <v>3.8700000000000002E-6</v>
      </c>
    </row>
    <row r="158" spans="1:5" x14ac:dyDescent="0.25">
      <c r="B158" s="11">
        <v>350</v>
      </c>
      <c r="C158" s="11">
        <v>600</v>
      </c>
      <c r="D158" s="65">
        <v>200</v>
      </c>
      <c r="E158" s="3">
        <v>3.32E-6</v>
      </c>
    </row>
    <row r="159" spans="1:5" x14ac:dyDescent="0.25">
      <c r="B159" s="11">
        <v>350</v>
      </c>
      <c r="C159" s="11">
        <v>600</v>
      </c>
      <c r="D159" s="65">
        <v>175</v>
      </c>
      <c r="E159" s="3">
        <v>2.7599999999999998E-6</v>
      </c>
    </row>
    <row r="160" spans="1:5" x14ac:dyDescent="0.25">
      <c r="B160" s="11">
        <v>350</v>
      </c>
      <c r="C160" s="11">
        <v>600</v>
      </c>
      <c r="D160" s="65">
        <v>150</v>
      </c>
      <c r="E160" s="3">
        <v>2.17E-6</v>
      </c>
    </row>
    <row r="161" spans="1:8" x14ac:dyDescent="0.25">
      <c r="B161" s="11">
        <v>350</v>
      </c>
      <c r="C161" s="11">
        <v>600</v>
      </c>
      <c r="D161" s="65">
        <v>125</v>
      </c>
      <c r="E161" s="3">
        <v>1.61E-7</v>
      </c>
    </row>
    <row r="162" spans="1:8" x14ac:dyDescent="0.25">
      <c r="B162" s="11">
        <v>350</v>
      </c>
      <c r="C162" s="11">
        <v>600</v>
      </c>
      <c r="D162" s="65">
        <v>100</v>
      </c>
      <c r="E162" s="3">
        <v>1.0499999999999999E-6</v>
      </c>
    </row>
    <row r="163" spans="1:8" x14ac:dyDescent="0.25">
      <c r="B163" s="11">
        <v>350</v>
      </c>
      <c r="C163" s="11">
        <v>600</v>
      </c>
      <c r="D163" s="65">
        <v>50</v>
      </c>
      <c r="E163" s="3">
        <v>3.8599999999999999E-7</v>
      </c>
    </row>
    <row r="164" spans="1:8" x14ac:dyDescent="0.25">
      <c r="A164" s="33">
        <v>43640</v>
      </c>
      <c r="B164" s="11">
        <v>350</v>
      </c>
      <c r="C164" s="11">
        <v>600</v>
      </c>
      <c r="D164" s="65">
        <v>300</v>
      </c>
      <c r="E164" s="3">
        <v>5.4500000000000003E-6</v>
      </c>
    </row>
    <row r="165" spans="1:8" x14ac:dyDescent="0.25">
      <c r="B165" s="11">
        <v>350</v>
      </c>
      <c r="C165" s="11">
        <v>600</v>
      </c>
      <c r="D165" s="65">
        <v>275</v>
      </c>
      <c r="E165" s="3">
        <v>5.1100000000000002E-6</v>
      </c>
    </row>
    <row r="166" spans="1:8" x14ac:dyDescent="0.25">
      <c r="B166" s="11">
        <v>350</v>
      </c>
      <c r="C166" s="11">
        <v>600</v>
      </c>
      <c r="D166" s="65">
        <v>250</v>
      </c>
      <c r="E166" s="3">
        <v>4.69E-6</v>
      </c>
    </row>
    <row r="167" spans="1:8" x14ac:dyDescent="0.25">
      <c r="B167" s="11">
        <v>350</v>
      </c>
      <c r="C167" s="11">
        <v>600</v>
      </c>
      <c r="D167" s="65">
        <v>225</v>
      </c>
      <c r="E167" s="3">
        <v>4.16E-6</v>
      </c>
    </row>
    <row r="168" spans="1:8" x14ac:dyDescent="0.25">
      <c r="B168" s="11">
        <v>350</v>
      </c>
      <c r="C168" s="11">
        <v>600</v>
      </c>
      <c r="D168" s="65">
        <v>200</v>
      </c>
      <c r="E168" s="3">
        <v>3.58E-6</v>
      </c>
    </row>
    <row r="169" spans="1:8" x14ac:dyDescent="0.25">
      <c r="B169" s="11">
        <v>350</v>
      </c>
      <c r="C169" s="11">
        <v>600</v>
      </c>
      <c r="D169" s="65">
        <v>150</v>
      </c>
      <c r="E169" s="3">
        <v>2.34E-6</v>
      </c>
    </row>
    <row r="170" spans="1:8" x14ac:dyDescent="0.25">
      <c r="B170" s="11">
        <v>350</v>
      </c>
      <c r="C170" s="11">
        <v>600</v>
      </c>
      <c r="D170" s="65">
        <v>135</v>
      </c>
      <c r="E170" s="3">
        <v>1.95E-6</v>
      </c>
    </row>
    <row r="171" spans="1:8" x14ac:dyDescent="0.25">
      <c r="B171" s="11">
        <v>350</v>
      </c>
      <c r="C171" s="11">
        <v>600</v>
      </c>
      <c r="D171" s="65">
        <v>125</v>
      </c>
      <c r="E171" s="3">
        <v>1.7099999999999999E-6</v>
      </c>
    </row>
    <row r="172" spans="1:8" x14ac:dyDescent="0.25">
      <c r="B172" s="11">
        <v>350</v>
      </c>
      <c r="C172" s="11">
        <v>600</v>
      </c>
      <c r="D172" s="65">
        <v>100</v>
      </c>
      <c r="E172" s="3">
        <v>1.1400000000000001E-6</v>
      </c>
    </row>
    <row r="173" spans="1:8" x14ac:dyDescent="0.25">
      <c r="B173" s="11">
        <v>350</v>
      </c>
      <c r="C173" s="11">
        <v>600</v>
      </c>
      <c r="D173" s="65">
        <v>50</v>
      </c>
      <c r="E173" s="3">
        <v>3.9499999999999998E-7</v>
      </c>
    </row>
    <row r="174" spans="1:8" x14ac:dyDescent="0.25">
      <c r="A174" s="33">
        <v>43655</v>
      </c>
      <c r="B174" s="11">
        <v>365</v>
      </c>
      <c r="C174" s="11">
        <v>600</v>
      </c>
      <c r="D174" s="65">
        <v>300</v>
      </c>
      <c r="E174" s="3">
        <v>1.36E-5</v>
      </c>
      <c r="H174" t="s">
        <v>86</v>
      </c>
    </row>
    <row r="175" spans="1:8" x14ac:dyDescent="0.25">
      <c r="B175" s="11">
        <v>365</v>
      </c>
      <c r="C175" s="11">
        <v>600</v>
      </c>
      <c r="D175" s="65">
        <v>275</v>
      </c>
      <c r="E175" s="3">
        <v>1.27E-5</v>
      </c>
    </row>
    <row r="176" spans="1:8" x14ac:dyDescent="0.25">
      <c r="B176" s="11">
        <v>365</v>
      </c>
      <c r="C176" s="11">
        <v>600</v>
      </c>
      <c r="D176" s="65">
        <v>250</v>
      </c>
      <c r="E176" s="3">
        <v>1.17E-5</v>
      </c>
    </row>
    <row r="177" spans="1:5" x14ac:dyDescent="0.25">
      <c r="B177" s="11">
        <v>365</v>
      </c>
      <c r="C177" s="11">
        <v>600</v>
      </c>
      <c r="D177" s="65">
        <v>225</v>
      </c>
      <c r="E177" s="3">
        <v>1.03E-5</v>
      </c>
    </row>
    <row r="178" spans="1:5" x14ac:dyDescent="0.25">
      <c r="B178" s="11">
        <v>365</v>
      </c>
      <c r="C178" s="11">
        <v>600</v>
      </c>
      <c r="D178" s="65">
        <v>200</v>
      </c>
      <c r="E178" s="3">
        <v>8.8699999999999998E-6</v>
      </c>
    </row>
    <row r="179" spans="1:5" x14ac:dyDescent="0.25">
      <c r="B179" s="11">
        <v>365</v>
      </c>
      <c r="C179" s="11">
        <v>600</v>
      </c>
      <c r="D179" s="65">
        <v>150</v>
      </c>
      <c r="E179" s="3">
        <v>5.8000000000000004E-6</v>
      </c>
    </row>
    <row r="180" spans="1:5" x14ac:dyDescent="0.25">
      <c r="B180" s="11">
        <v>365</v>
      </c>
      <c r="C180" s="11">
        <v>600</v>
      </c>
      <c r="D180" s="65">
        <v>125</v>
      </c>
      <c r="E180" s="3">
        <v>4.2799999999999997E-6</v>
      </c>
    </row>
    <row r="181" spans="1:5" x14ac:dyDescent="0.25">
      <c r="B181" s="11">
        <v>365</v>
      </c>
      <c r="C181" s="11">
        <v>600</v>
      </c>
      <c r="D181" s="65">
        <v>100</v>
      </c>
      <c r="E181" s="3">
        <v>2.7499999999999999E-6</v>
      </c>
    </row>
    <row r="182" spans="1:5" x14ac:dyDescent="0.25">
      <c r="B182" s="11">
        <v>365</v>
      </c>
      <c r="C182" s="11">
        <v>600</v>
      </c>
      <c r="D182" s="65">
        <v>90</v>
      </c>
      <c r="E182" s="3">
        <v>2.1500000000000002E-6</v>
      </c>
    </row>
    <row r="183" spans="1:5" x14ac:dyDescent="0.25">
      <c r="B183" s="11">
        <v>365</v>
      </c>
      <c r="C183" s="11">
        <v>600</v>
      </c>
      <c r="D183" s="65">
        <v>75</v>
      </c>
      <c r="E183" s="3">
        <v>1.4100000000000001E-6</v>
      </c>
    </row>
    <row r="184" spans="1:5" x14ac:dyDescent="0.25">
      <c r="B184" s="11">
        <v>365</v>
      </c>
      <c r="C184" s="11">
        <v>600</v>
      </c>
      <c r="D184" s="65">
        <v>50</v>
      </c>
      <c r="E184" s="3">
        <v>8.5899999999999995E-7</v>
      </c>
    </row>
    <row r="185" spans="1:5" x14ac:dyDescent="0.25">
      <c r="A185" s="33">
        <v>43662</v>
      </c>
      <c r="B185" s="11">
        <v>365</v>
      </c>
      <c r="C185" s="11">
        <v>600</v>
      </c>
      <c r="D185" s="65">
        <v>300</v>
      </c>
      <c r="E185" s="3">
        <v>1.33E-5</v>
      </c>
    </row>
    <row r="186" spans="1:5" x14ac:dyDescent="0.25">
      <c r="B186" s="11">
        <v>365</v>
      </c>
      <c r="C186" s="11">
        <v>600</v>
      </c>
      <c r="D186" s="65">
        <v>275</v>
      </c>
      <c r="E186" s="3">
        <v>1.24E-5</v>
      </c>
    </row>
    <row r="187" spans="1:5" x14ac:dyDescent="0.25">
      <c r="B187" s="11">
        <v>365</v>
      </c>
      <c r="C187" s="11">
        <v>600</v>
      </c>
      <c r="D187" s="65">
        <v>250</v>
      </c>
      <c r="E187" s="3">
        <v>1.13E-5</v>
      </c>
    </row>
    <row r="188" spans="1:5" x14ac:dyDescent="0.25">
      <c r="B188" s="11">
        <v>365</v>
      </c>
      <c r="C188" s="11">
        <v>600</v>
      </c>
      <c r="D188" s="65">
        <v>225</v>
      </c>
      <c r="E188" s="3">
        <v>1.0200000000000001E-5</v>
      </c>
    </row>
    <row r="189" spans="1:5" x14ac:dyDescent="0.25">
      <c r="B189" s="11">
        <v>365</v>
      </c>
      <c r="C189" s="11">
        <v>600</v>
      </c>
      <c r="D189" s="65">
        <v>200</v>
      </c>
      <c r="E189" s="3">
        <v>8.67E-6</v>
      </c>
    </row>
    <row r="190" spans="1:5" x14ac:dyDescent="0.25">
      <c r="B190" s="11">
        <v>365</v>
      </c>
      <c r="C190" s="11">
        <v>600</v>
      </c>
      <c r="D190" s="65">
        <v>175</v>
      </c>
      <c r="E190" s="3">
        <v>7.2599999999999999E-6</v>
      </c>
    </row>
    <row r="191" spans="1:5" x14ac:dyDescent="0.25">
      <c r="B191" s="11">
        <v>365</v>
      </c>
      <c r="C191" s="11">
        <v>600</v>
      </c>
      <c r="D191" s="65">
        <v>150</v>
      </c>
      <c r="E191" s="3">
        <v>5.6799999999999998E-6</v>
      </c>
    </row>
    <row r="192" spans="1:5" x14ac:dyDescent="0.25">
      <c r="B192" s="11">
        <v>365</v>
      </c>
      <c r="C192" s="11">
        <v>600</v>
      </c>
      <c r="D192" s="65">
        <v>125</v>
      </c>
      <c r="E192" s="3">
        <v>4.1899999999999997E-6</v>
      </c>
    </row>
    <row r="193" spans="1:5" x14ac:dyDescent="0.25">
      <c r="B193" s="11">
        <v>365</v>
      </c>
      <c r="C193" s="11">
        <v>600</v>
      </c>
      <c r="D193" s="65">
        <v>100</v>
      </c>
      <c r="E193" s="3">
        <v>2.6800000000000002E-6</v>
      </c>
    </row>
    <row r="194" spans="1:5" x14ac:dyDescent="0.25">
      <c r="B194" s="11">
        <v>365</v>
      </c>
      <c r="C194" s="11">
        <v>600</v>
      </c>
      <c r="D194" s="65">
        <v>90</v>
      </c>
      <c r="E194" s="3">
        <v>2.0700000000000001E-6</v>
      </c>
    </row>
    <row r="195" spans="1:5" x14ac:dyDescent="0.25">
      <c r="B195" s="11">
        <v>365</v>
      </c>
      <c r="C195" s="11">
        <v>600</v>
      </c>
      <c r="D195" s="65">
        <v>88</v>
      </c>
      <c r="E195" s="3">
        <v>1.9599999999999999E-6</v>
      </c>
    </row>
    <row r="196" spans="1:5" x14ac:dyDescent="0.25">
      <c r="B196" s="11">
        <v>365</v>
      </c>
      <c r="C196" s="11">
        <v>600</v>
      </c>
      <c r="D196" s="65">
        <v>85</v>
      </c>
      <c r="E196" s="3">
        <v>1.8199999999999999E-6</v>
      </c>
    </row>
    <row r="197" spans="1:5" x14ac:dyDescent="0.25">
      <c r="B197" s="11">
        <v>365</v>
      </c>
      <c r="C197" s="11">
        <v>600</v>
      </c>
      <c r="D197" s="65">
        <v>75</v>
      </c>
      <c r="E197" s="3">
        <v>1.3799999999999999E-6</v>
      </c>
    </row>
    <row r="198" spans="1:5" x14ac:dyDescent="0.25">
      <c r="B198" s="11">
        <v>365</v>
      </c>
      <c r="C198" s="11">
        <v>600</v>
      </c>
      <c r="D198" s="65">
        <v>50</v>
      </c>
      <c r="E198" s="3">
        <v>8.6000000000000002E-7</v>
      </c>
    </row>
    <row r="199" spans="1:5" x14ac:dyDescent="0.25">
      <c r="A199" s="33">
        <v>43675</v>
      </c>
      <c r="B199" s="11">
        <v>365</v>
      </c>
      <c r="C199" s="11">
        <v>600</v>
      </c>
      <c r="D199" s="65">
        <v>300</v>
      </c>
      <c r="E199" s="3">
        <v>1.2580000000000001E-6</v>
      </c>
    </row>
    <row r="200" spans="1:5" x14ac:dyDescent="0.25">
      <c r="B200" s="11">
        <v>365</v>
      </c>
      <c r="C200" s="11">
        <v>600</v>
      </c>
      <c r="D200" s="65">
        <v>275</v>
      </c>
      <c r="E200" s="3">
        <v>1.2E-5</v>
      </c>
    </row>
    <row r="201" spans="1:5" x14ac:dyDescent="0.25">
      <c r="B201" s="11">
        <v>365</v>
      </c>
      <c r="C201" s="11">
        <v>600</v>
      </c>
      <c r="D201" s="65">
        <v>250</v>
      </c>
      <c r="E201" s="3">
        <v>1.1E-5</v>
      </c>
    </row>
    <row r="202" spans="1:5" x14ac:dyDescent="0.25">
      <c r="B202" s="11">
        <v>365</v>
      </c>
      <c r="C202" s="11">
        <v>600</v>
      </c>
      <c r="D202" s="65">
        <v>225</v>
      </c>
      <c r="E202" s="3">
        <v>9.8300000000000008E-6</v>
      </c>
    </row>
    <row r="203" spans="1:5" x14ac:dyDescent="0.25">
      <c r="B203" s="11">
        <v>365</v>
      </c>
      <c r="C203" s="11">
        <v>600</v>
      </c>
      <c r="D203" s="65">
        <v>200</v>
      </c>
      <c r="E203" s="3">
        <v>8.7600000000000008E-6</v>
      </c>
    </row>
    <row r="204" spans="1:5" x14ac:dyDescent="0.25">
      <c r="B204" s="11">
        <v>365</v>
      </c>
      <c r="C204" s="11">
        <v>600</v>
      </c>
      <c r="D204" s="65">
        <v>175</v>
      </c>
      <c r="E204" s="3">
        <v>6.9399999999999996E-6</v>
      </c>
    </row>
    <row r="205" spans="1:5" x14ac:dyDescent="0.25">
      <c r="B205" s="11">
        <v>365</v>
      </c>
      <c r="C205" s="11">
        <v>600</v>
      </c>
      <c r="D205" s="65">
        <v>150</v>
      </c>
      <c r="E205" s="3">
        <v>5.6099999999999997E-6</v>
      </c>
    </row>
    <row r="206" spans="1:5" x14ac:dyDescent="0.25">
      <c r="B206" s="11">
        <v>365</v>
      </c>
      <c r="C206" s="11">
        <v>600</v>
      </c>
      <c r="D206" s="65">
        <v>140</v>
      </c>
      <c r="E206" s="3">
        <v>5.2499999999999997E-6</v>
      </c>
    </row>
    <row r="207" spans="1:5" x14ac:dyDescent="0.25">
      <c r="B207" s="11">
        <v>365</v>
      </c>
      <c r="C207" s="11">
        <v>600</v>
      </c>
      <c r="D207" s="65">
        <v>125</v>
      </c>
      <c r="E207" s="3">
        <v>4.0899999999999998E-6</v>
      </c>
    </row>
    <row r="208" spans="1:5" x14ac:dyDescent="0.25">
      <c r="B208" s="11">
        <v>365</v>
      </c>
      <c r="C208" s="11">
        <v>600</v>
      </c>
      <c r="D208" s="65">
        <v>105</v>
      </c>
      <c r="E208" s="3">
        <v>2.9100000000000001E-6</v>
      </c>
    </row>
    <row r="209" spans="1:5" x14ac:dyDescent="0.25">
      <c r="B209" s="11">
        <v>365</v>
      </c>
      <c r="C209" s="11">
        <v>600</v>
      </c>
      <c r="D209" s="65">
        <v>100</v>
      </c>
      <c r="E209" s="3">
        <v>2.65E-6</v>
      </c>
    </row>
    <row r="210" spans="1:5" x14ac:dyDescent="0.25">
      <c r="B210" s="11">
        <v>365</v>
      </c>
      <c r="C210" s="11">
        <v>600</v>
      </c>
      <c r="D210" s="65">
        <v>92</v>
      </c>
      <c r="E210" s="3">
        <v>2.1900000000000002E-6</v>
      </c>
    </row>
    <row r="211" spans="1:5" x14ac:dyDescent="0.25">
      <c r="B211" s="11">
        <v>365</v>
      </c>
      <c r="C211" s="11">
        <v>600</v>
      </c>
      <c r="D211" s="65">
        <v>75</v>
      </c>
      <c r="E211" s="3">
        <v>1.37E-6</v>
      </c>
    </row>
    <row r="212" spans="1:5" x14ac:dyDescent="0.25">
      <c r="B212" s="11">
        <v>365</v>
      </c>
      <c r="C212" s="11">
        <v>600</v>
      </c>
      <c r="D212" s="65">
        <v>50</v>
      </c>
      <c r="E212" s="3">
        <v>8.5000000000000001E-7</v>
      </c>
    </row>
    <row r="213" spans="1:5" x14ac:dyDescent="0.25">
      <c r="A213" s="33">
        <v>43682</v>
      </c>
      <c r="B213" s="11">
        <v>365</v>
      </c>
      <c r="C213" s="11">
        <v>600</v>
      </c>
      <c r="D213" s="65">
        <v>300</v>
      </c>
      <c r="E213" s="3">
        <v>1.1600000000000001E-5</v>
      </c>
    </row>
    <row r="214" spans="1:5" x14ac:dyDescent="0.25">
      <c r="B214" s="11">
        <v>365</v>
      </c>
      <c r="C214" s="11">
        <v>600</v>
      </c>
      <c r="D214" s="65">
        <v>250</v>
      </c>
      <c r="E214" s="3">
        <v>1.0200000000000001E-5</v>
      </c>
    </row>
    <row r="215" spans="1:5" x14ac:dyDescent="0.25">
      <c r="B215" s="11">
        <v>365</v>
      </c>
      <c r="C215" s="11">
        <v>600</v>
      </c>
      <c r="D215" s="65">
        <v>200</v>
      </c>
      <c r="E215" s="3">
        <v>7.9100000000000005E-6</v>
      </c>
    </row>
    <row r="216" spans="1:5" x14ac:dyDescent="0.25">
      <c r="B216" s="11">
        <v>365</v>
      </c>
      <c r="C216" s="11">
        <v>600</v>
      </c>
      <c r="D216" s="65">
        <v>175</v>
      </c>
      <c r="E216" s="3">
        <v>6.6000000000000003E-6</v>
      </c>
    </row>
    <row r="217" spans="1:5" x14ac:dyDescent="0.25">
      <c r="B217" s="11">
        <v>365</v>
      </c>
      <c r="C217" s="11">
        <v>600</v>
      </c>
      <c r="D217" s="65">
        <v>160</v>
      </c>
      <c r="E217" s="3">
        <v>5.7200000000000003E-6</v>
      </c>
    </row>
    <row r="218" spans="1:5" x14ac:dyDescent="0.25">
      <c r="B218" s="11">
        <v>365</v>
      </c>
      <c r="C218" s="11">
        <v>600</v>
      </c>
      <c r="D218" s="65">
        <v>150</v>
      </c>
      <c r="E218" s="3">
        <v>5.2000000000000002E-6</v>
      </c>
    </row>
    <row r="219" spans="1:5" x14ac:dyDescent="0.25">
      <c r="B219" s="11">
        <v>365</v>
      </c>
      <c r="C219" s="11">
        <v>600</v>
      </c>
      <c r="D219" s="65">
        <v>125</v>
      </c>
      <c r="E219" s="3">
        <v>3.8099999999999999E-6</v>
      </c>
    </row>
    <row r="220" spans="1:5" x14ac:dyDescent="0.25">
      <c r="B220" s="11">
        <v>365</v>
      </c>
      <c r="C220" s="11">
        <v>600</v>
      </c>
      <c r="D220" s="65">
        <v>100</v>
      </c>
      <c r="E220" s="3">
        <v>2.48E-6</v>
      </c>
    </row>
    <row r="221" spans="1:5" x14ac:dyDescent="0.25">
      <c r="B221" s="11">
        <v>365</v>
      </c>
      <c r="C221" s="11">
        <v>600</v>
      </c>
      <c r="D221" s="65">
        <v>95</v>
      </c>
      <c r="E221" s="3">
        <v>2.2000000000000001E-6</v>
      </c>
    </row>
    <row r="222" spans="1:5" x14ac:dyDescent="0.25">
      <c r="B222" s="11">
        <v>365</v>
      </c>
      <c r="C222" s="11">
        <v>600</v>
      </c>
      <c r="D222" s="65">
        <v>75</v>
      </c>
      <c r="E222" s="3">
        <v>1.3200000000000001E-6</v>
      </c>
    </row>
    <row r="223" spans="1:5" x14ac:dyDescent="0.25">
      <c r="B223" s="11">
        <v>365</v>
      </c>
      <c r="C223" s="11">
        <v>600</v>
      </c>
      <c r="D223" s="65">
        <v>50</v>
      </c>
      <c r="E223" s="3">
        <v>8.0699999999999996E-7</v>
      </c>
    </row>
    <row r="224" spans="1:5" x14ac:dyDescent="0.25">
      <c r="A224" s="58"/>
      <c r="B224" s="48"/>
      <c r="C224" s="48"/>
      <c r="D224" s="66"/>
      <c r="E224" s="48"/>
    </row>
    <row r="225" spans="1:5" x14ac:dyDescent="0.25">
      <c r="A225" s="58"/>
      <c r="B225" s="48" t="s">
        <v>92</v>
      </c>
      <c r="C225" s="48"/>
      <c r="D225" s="66"/>
      <c r="E225" s="48"/>
    </row>
    <row r="226" spans="1:5" x14ac:dyDescent="0.25">
      <c r="A226" s="33">
        <v>45139</v>
      </c>
      <c r="B226" s="11">
        <v>360</v>
      </c>
      <c r="C226" s="11">
        <v>600</v>
      </c>
      <c r="D226" s="65">
        <v>300</v>
      </c>
      <c r="E226" s="3">
        <v>7.9500000000000001E-6</v>
      </c>
    </row>
    <row r="227" spans="1:5" x14ac:dyDescent="0.25">
      <c r="B227" s="11"/>
      <c r="C227" s="11"/>
      <c r="D227" s="65">
        <v>250</v>
      </c>
      <c r="E227" s="3">
        <v>6.81E-6</v>
      </c>
    </row>
    <row r="228" spans="1:5" x14ac:dyDescent="0.25">
      <c r="B228" s="11"/>
      <c r="C228" s="11"/>
      <c r="D228" s="65">
        <v>200</v>
      </c>
      <c r="E228" s="3">
        <v>5.2499999999999997E-6</v>
      </c>
    </row>
    <row r="229" spans="1:5" x14ac:dyDescent="0.25">
      <c r="B229" s="11"/>
      <c r="C229" s="11"/>
      <c r="D229" s="65">
        <v>150</v>
      </c>
      <c r="E229" s="3">
        <v>3.4400000000000001E-6</v>
      </c>
    </row>
    <row r="230" spans="1:5" x14ac:dyDescent="0.25">
      <c r="B230" s="11"/>
      <c r="C230" s="11"/>
      <c r="D230" s="65">
        <v>100</v>
      </c>
      <c r="E230" s="3">
        <v>1.68E-6</v>
      </c>
    </row>
    <row r="231" spans="1:5" x14ac:dyDescent="0.25">
      <c r="B231" s="11"/>
      <c r="C231" s="11"/>
      <c r="D231" s="65">
        <v>50</v>
      </c>
      <c r="E231" s="3">
        <v>5.5000000000000003E-7</v>
      </c>
    </row>
    <row r="232" spans="1:5" x14ac:dyDescent="0.25">
      <c r="B232" s="11"/>
      <c r="C232" s="11"/>
      <c r="D232" s="65">
        <v>0</v>
      </c>
      <c r="E232" s="3">
        <v>6.5E-8</v>
      </c>
    </row>
    <row r="233" spans="1:5" x14ac:dyDescent="0.25">
      <c r="A233" s="33">
        <v>45145</v>
      </c>
      <c r="B233" s="11">
        <v>360</v>
      </c>
      <c r="C233" s="11">
        <v>600</v>
      </c>
      <c r="D233" s="65">
        <v>300</v>
      </c>
      <c r="E233" s="3">
        <v>7.9699999999999999E-6</v>
      </c>
    </row>
    <row r="234" spans="1:5" x14ac:dyDescent="0.25">
      <c r="B234" s="11"/>
      <c r="C234" s="11"/>
      <c r="D234" s="65">
        <v>200</v>
      </c>
      <c r="E234" s="3">
        <v>5.2499999999999997E-6</v>
      </c>
    </row>
    <row r="235" spans="1:5" x14ac:dyDescent="0.25">
      <c r="B235" s="11"/>
      <c r="C235" s="11"/>
      <c r="D235" s="65">
        <v>100</v>
      </c>
      <c r="E235" s="3">
        <v>1.6899999999999999E-6</v>
      </c>
    </row>
    <row r="236" spans="1:5" x14ac:dyDescent="0.25">
      <c r="B236" s="11"/>
      <c r="C236" s="11"/>
      <c r="D236" s="65">
        <v>0</v>
      </c>
      <c r="E236" s="3">
        <v>7.17E-8</v>
      </c>
    </row>
    <row r="237" spans="1:5" x14ac:dyDescent="0.25">
      <c r="A237" s="33">
        <v>45148</v>
      </c>
      <c r="B237" s="11">
        <v>360</v>
      </c>
      <c r="C237" s="11">
        <v>600</v>
      </c>
      <c r="D237" s="65">
        <v>300</v>
      </c>
      <c r="E237" s="3">
        <v>8.0800000000000006E-6</v>
      </c>
    </row>
    <row r="238" spans="1:5" x14ac:dyDescent="0.25">
      <c r="B238" s="11"/>
      <c r="C238" s="11"/>
      <c r="D238" s="65">
        <v>200</v>
      </c>
      <c r="E238" s="3">
        <v>5.3000000000000001E-6</v>
      </c>
    </row>
    <row r="239" spans="1:5" x14ac:dyDescent="0.25">
      <c r="B239" s="11"/>
      <c r="C239" s="11"/>
      <c r="D239" s="65">
        <v>100</v>
      </c>
      <c r="E239" s="3">
        <v>1.73E-6</v>
      </c>
    </row>
    <row r="240" spans="1:5" x14ac:dyDescent="0.25">
      <c r="B240" s="11"/>
      <c r="C240" s="11"/>
      <c r="D240" s="65">
        <v>0</v>
      </c>
      <c r="E240" s="3">
        <v>8.7299999999999994E-8</v>
      </c>
    </row>
    <row r="241" spans="1:14" x14ac:dyDescent="0.25">
      <c r="A241" s="33">
        <v>45150</v>
      </c>
      <c r="B241" s="11">
        <v>360</v>
      </c>
      <c r="C241" s="11">
        <v>600</v>
      </c>
      <c r="D241" s="65">
        <v>300</v>
      </c>
      <c r="E241" s="3">
        <v>8.2099999999999993E-6</v>
      </c>
    </row>
    <row r="242" spans="1:14" x14ac:dyDescent="0.25">
      <c r="B242" s="11"/>
      <c r="C242" s="11"/>
      <c r="D242" s="65">
        <v>200</v>
      </c>
      <c r="E242" s="3">
        <v>5.4099999999999999E-6</v>
      </c>
    </row>
    <row r="243" spans="1:14" x14ac:dyDescent="0.25">
      <c r="B243" s="11"/>
      <c r="C243" s="11"/>
      <c r="D243" s="65">
        <v>100</v>
      </c>
      <c r="E243" s="3">
        <v>1.77E-6</v>
      </c>
    </row>
    <row r="244" spans="1:14" x14ac:dyDescent="0.25">
      <c r="B244" s="11"/>
      <c r="C244" s="11"/>
      <c r="D244" s="65">
        <v>0</v>
      </c>
      <c r="E244" s="3">
        <v>9.3999999999999995E-8</v>
      </c>
    </row>
    <row r="245" spans="1:14" x14ac:dyDescent="0.25">
      <c r="A245" s="33">
        <v>45156</v>
      </c>
      <c r="B245">
        <v>360</v>
      </c>
      <c r="C245">
        <v>600</v>
      </c>
      <c r="D245" s="65">
        <v>300</v>
      </c>
      <c r="E245" s="3">
        <v>8.0299999999999994E-6</v>
      </c>
    </row>
    <row r="246" spans="1:14" x14ac:dyDescent="0.25">
      <c r="D246" s="65">
        <v>200</v>
      </c>
      <c r="E246" s="3">
        <v>5.2599999999999996E-6</v>
      </c>
      <c r="I246" t="s">
        <v>93</v>
      </c>
      <c r="J246" t="s">
        <v>62</v>
      </c>
      <c r="K246" t="s">
        <v>94</v>
      </c>
      <c r="L246" t="s">
        <v>95</v>
      </c>
      <c r="M246" t="s">
        <v>96</v>
      </c>
      <c r="N246" t="s">
        <v>10</v>
      </c>
    </row>
    <row r="247" spans="1:14" x14ac:dyDescent="0.25">
      <c r="D247" s="65">
        <v>100</v>
      </c>
      <c r="E247" s="3">
        <v>1.6700000000000001E-6</v>
      </c>
      <c r="I247" s="3">
        <v>-4.4600000000000002E-13</v>
      </c>
      <c r="J247" s="3">
        <v>2.2699999999999999E-10</v>
      </c>
      <c r="K247" s="3">
        <v>-2.2200000000000002E-9</v>
      </c>
      <c r="L247" s="3">
        <v>8.3999999999999998E-8</v>
      </c>
      <c r="M247" s="3">
        <v>103</v>
      </c>
      <c r="N247" s="3">
        <f>I247*M247^3+J247*M247^2+K247*M247+L247</f>
        <v>1.7762267579999997E-6</v>
      </c>
    </row>
    <row r="248" spans="1:14" x14ac:dyDescent="0.25">
      <c r="D248" s="65">
        <v>0</v>
      </c>
      <c r="E248" s="3">
        <v>8.6000000000000002E-8</v>
      </c>
    </row>
    <row r="249" spans="1:14" x14ac:dyDescent="0.25">
      <c r="A249" s="33">
        <v>45163</v>
      </c>
      <c r="B249">
        <v>360</v>
      </c>
      <c r="C249">
        <v>600</v>
      </c>
      <c r="D249" s="65">
        <v>300</v>
      </c>
      <c r="E249" s="3">
        <v>8.0199999999999994E-6</v>
      </c>
    </row>
    <row r="250" spans="1:14" x14ac:dyDescent="0.25">
      <c r="D250" s="65">
        <v>200</v>
      </c>
      <c r="E250" s="3">
        <v>5.2499999999999997E-6</v>
      </c>
    </row>
    <row r="251" spans="1:14" x14ac:dyDescent="0.25">
      <c r="D251" s="65">
        <v>100</v>
      </c>
      <c r="E251" s="3">
        <v>1.7099999999999999E-6</v>
      </c>
    </row>
    <row r="252" spans="1:14" x14ac:dyDescent="0.25">
      <c r="D252" s="65">
        <v>0</v>
      </c>
      <c r="E252" s="3">
        <v>9.0499999999999996E-8</v>
      </c>
    </row>
    <row r="253" spans="1:14" x14ac:dyDescent="0.25">
      <c r="A253" s="33">
        <v>45167</v>
      </c>
      <c r="B253">
        <v>360</v>
      </c>
      <c r="C253">
        <v>600</v>
      </c>
      <c r="D253" s="65">
        <v>300</v>
      </c>
      <c r="E253" s="3">
        <v>7.8499999999999994E-6</v>
      </c>
    </row>
    <row r="254" spans="1:14" x14ac:dyDescent="0.25">
      <c r="D254" s="65">
        <v>200</v>
      </c>
      <c r="E254" s="3">
        <v>5.1200000000000001E-6</v>
      </c>
    </row>
    <row r="255" spans="1:14" x14ac:dyDescent="0.25">
      <c r="D255" s="65">
        <v>100</v>
      </c>
      <c r="E255" s="3">
        <v>1.5999999999999999E-6</v>
      </c>
    </row>
    <row r="256" spans="1:14" x14ac:dyDescent="0.25">
      <c r="D256" s="65">
        <v>0</v>
      </c>
      <c r="E256" s="3">
        <v>6.8499999999999998E-8</v>
      </c>
    </row>
    <row r="257" spans="1:5" x14ac:dyDescent="0.25">
      <c r="A257" s="33">
        <v>45191</v>
      </c>
      <c r="B257">
        <v>360</v>
      </c>
      <c r="C257">
        <v>600</v>
      </c>
      <c r="D257" s="65">
        <v>300</v>
      </c>
      <c r="E257" s="3">
        <v>7.7200000000000006E-6</v>
      </c>
    </row>
    <row r="258" spans="1:5" x14ac:dyDescent="0.25">
      <c r="D258" s="65">
        <v>200</v>
      </c>
      <c r="E258" s="3">
        <v>5.1000000000000003E-6</v>
      </c>
    </row>
    <row r="259" spans="1:5" x14ac:dyDescent="0.25">
      <c r="D259" s="65">
        <v>100</v>
      </c>
      <c r="E259" s="3">
        <v>1.6500000000000001E-6</v>
      </c>
    </row>
    <row r="260" spans="1:5" x14ac:dyDescent="0.25">
      <c r="D260" s="65">
        <v>0</v>
      </c>
      <c r="E260" s="3">
        <v>8.8500000000000005E-8</v>
      </c>
    </row>
    <row r="261" spans="1:5" x14ac:dyDescent="0.25">
      <c r="A261" s="33">
        <v>45195</v>
      </c>
      <c r="B261">
        <v>360</v>
      </c>
      <c r="C261">
        <v>600</v>
      </c>
      <c r="D261" s="65">
        <v>300</v>
      </c>
      <c r="E261" s="3">
        <v>7.8499999999999994E-6</v>
      </c>
    </row>
    <row r="262" spans="1:5" x14ac:dyDescent="0.25">
      <c r="D262" s="65">
        <v>200</v>
      </c>
      <c r="E262" s="3">
        <v>5.1699999999999996E-6</v>
      </c>
    </row>
    <row r="263" spans="1:5" x14ac:dyDescent="0.25">
      <c r="D263" s="65">
        <v>100</v>
      </c>
      <c r="E263" s="3">
        <v>1.6899999999999999E-6</v>
      </c>
    </row>
    <row r="264" spans="1:5" x14ac:dyDescent="0.25">
      <c r="D264" s="65">
        <v>0</v>
      </c>
      <c r="E264" s="3">
        <v>8.3999999999999998E-8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zoomScale="115" zoomScaleNormal="115" workbookViewId="0">
      <pane ySplit="1" topLeftCell="A82" activePane="bottomLeft" state="frozen"/>
      <selection pane="bottomLeft" activeCell="Q100" sqref="Q100"/>
    </sheetView>
  </sheetViews>
  <sheetFormatPr defaultRowHeight="15.75" x14ac:dyDescent="0.25"/>
  <cols>
    <col min="1" max="1" width="12.125" customWidth="1"/>
    <col min="6" max="6" width="11.875" bestFit="1" customWidth="1"/>
    <col min="7" max="7" width="12.75" customWidth="1"/>
    <col min="8" max="8" width="13.125" customWidth="1"/>
    <col min="11" max="11" width="11" bestFit="1" customWidth="1"/>
    <col min="12" max="12" width="19.25" customWidth="1"/>
    <col min="13" max="13" width="14.75" customWidth="1"/>
    <col min="14" max="14" width="20.125" customWidth="1"/>
    <col min="15" max="15" width="12.25" customWidth="1"/>
    <col min="16" max="16" width="11.875" bestFit="1" customWidth="1"/>
    <col min="17" max="17" width="9" customWidth="1"/>
    <col min="22" max="22" width="11.25" customWidth="1"/>
    <col min="23" max="23" width="11" customWidth="1"/>
  </cols>
  <sheetData>
    <row r="1" spans="1:10" x14ac:dyDescent="0.25">
      <c r="A1" s="4" t="s">
        <v>13</v>
      </c>
      <c r="B1" s="4" t="s">
        <v>21</v>
      </c>
      <c r="C1" s="4" t="s">
        <v>22</v>
      </c>
      <c r="D1" s="4" t="s">
        <v>3</v>
      </c>
      <c r="E1" s="4" t="s">
        <v>4</v>
      </c>
      <c r="F1" s="4" t="s">
        <v>6</v>
      </c>
      <c r="G1" s="4" t="s">
        <v>7</v>
      </c>
      <c r="H1" s="4" t="s">
        <v>5</v>
      </c>
      <c r="I1" s="4" t="s">
        <v>19</v>
      </c>
      <c r="J1" s="4" t="s">
        <v>18</v>
      </c>
    </row>
    <row r="2" spans="1:10" x14ac:dyDescent="0.25">
      <c r="A2" s="6">
        <v>43074</v>
      </c>
      <c r="B2">
        <v>910</v>
      </c>
      <c r="C2">
        <v>1010</v>
      </c>
      <c r="D2">
        <f>B2+273</f>
        <v>1183</v>
      </c>
      <c r="E2">
        <f>10000/D2</f>
        <v>8.4530853761622993</v>
      </c>
      <c r="F2" s="3">
        <v>5.8299999999999997E-7</v>
      </c>
      <c r="G2">
        <f t="shared" ref="G2:G18" si="0">LN(F2)</f>
        <v>-14.355078650595919</v>
      </c>
      <c r="H2">
        <v>0.84</v>
      </c>
      <c r="I2">
        <v>4</v>
      </c>
      <c r="J2" t="s">
        <v>34</v>
      </c>
    </row>
    <row r="3" spans="1:10" x14ac:dyDescent="0.25">
      <c r="B3">
        <v>900</v>
      </c>
      <c r="C3">
        <v>1000</v>
      </c>
      <c r="D3">
        <f>B3+273</f>
        <v>1173</v>
      </c>
      <c r="E3">
        <f>10000/D3</f>
        <v>8.5251491901108274</v>
      </c>
      <c r="F3" s="3">
        <v>4.7700000000000005E-7</v>
      </c>
      <c r="G3">
        <f t="shared" si="0"/>
        <v>-14.55574934605807</v>
      </c>
      <c r="H3">
        <v>0.68</v>
      </c>
      <c r="I3">
        <v>4</v>
      </c>
      <c r="J3" t="s">
        <v>34</v>
      </c>
    </row>
    <row r="4" spans="1:10" x14ac:dyDescent="0.25">
      <c r="B4">
        <v>890</v>
      </c>
      <c r="C4">
        <v>990</v>
      </c>
      <c r="D4">
        <f t="shared" ref="D4:D103" si="1">B4+273</f>
        <v>1163</v>
      </c>
      <c r="E4">
        <f t="shared" ref="E4:E103" si="2">10000/D4</f>
        <v>8.5984522785898534</v>
      </c>
      <c r="F4" s="3">
        <v>3.8700000000000001E-7</v>
      </c>
      <c r="G4">
        <f t="shared" si="0"/>
        <v>-14.764841143916628</v>
      </c>
      <c r="H4">
        <v>0.495</v>
      </c>
      <c r="I4">
        <v>4</v>
      </c>
      <c r="J4" t="s">
        <v>34</v>
      </c>
    </row>
    <row r="5" spans="1:10" x14ac:dyDescent="0.25">
      <c r="A5" s="5">
        <v>43152</v>
      </c>
      <c r="B5">
        <v>900</v>
      </c>
      <c r="C5">
        <v>1000</v>
      </c>
      <c r="D5">
        <f t="shared" si="1"/>
        <v>1173</v>
      </c>
      <c r="E5">
        <f t="shared" si="2"/>
        <v>8.5251491901108274</v>
      </c>
      <c r="F5" s="3">
        <v>4.9699999999999996E-7</v>
      </c>
      <c r="G5">
        <f t="shared" si="0"/>
        <v>-14.514675810849782</v>
      </c>
      <c r="I5">
        <v>4</v>
      </c>
    </row>
    <row r="6" spans="1:10" x14ac:dyDescent="0.25">
      <c r="B6">
        <v>890</v>
      </c>
      <c r="C6">
        <v>990</v>
      </c>
      <c r="D6">
        <f t="shared" si="1"/>
        <v>1163</v>
      </c>
      <c r="E6">
        <f t="shared" si="2"/>
        <v>8.5984522785898534</v>
      </c>
      <c r="F6" s="3">
        <v>3.9449999999999999E-7</v>
      </c>
      <c r="G6">
        <f t="shared" si="0"/>
        <v>-14.745646696660483</v>
      </c>
      <c r="I6">
        <v>4</v>
      </c>
    </row>
    <row r="7" spans="1:10" x14ac:dyDescent="0.25">
      <c r="A7" s="5">
        <v>43195</v>
      </c>
      <c r="B7">
        <v>900</v>
      </c>
      <c r="C7">
        <v>1000</v>
      </c>
      <c r="D7">
        <f t="shared" si="1"/>
        <v>1173</v>
      </c>
      <c r="E7">
        <f t="shared" si="2"/>
        <v>8.5251491901108274</v>
      </c>
      <c r="F7" s="3">
        <v>4.7700000000000005E-7</v>
      </c>
      <c r="G7">
        <f t="shared" si="0"/>
        <v>-14.55574934605807</v>
      </c>
      <c r="H7">
        <v>0.7</v>
      </c>
      <c r="I7">
        <v>4</v>
      </c>
    </row>
    <row r="8" spans="1:10" x14ac:dyDescent="0.25">
      <c r="A8" s="6"/>
      <c r="B8">
        <v>890</v>
      </c>
      <c r="C8">
        <v>990</v>
      </c>
      <c r="D8">
        <f t="shared" si="1"/>
        <v>1163</v>
      </c>
      <c r="E8">
        <f t="shared" si="2"/>
        <v>8.5984522785898534</v>
      </c>
      <c r="F8" s="3">
        <v>3.9000000000000002E-7</v>
      </c>
      <c r="G8">
        <f t="shared" si="0"/>
        <v>-14.757119097822718</v>
      </c>
      <c r="H8">
        <v>0.56000000000000005</v>
      </c>
      <c r="I8">
        <v>4</v>
      </c>
    </row>
    <row r="9" spans="1:10" x14ac:dyDescent="0.25">
      <c r="B9">
        <v>915</v>
      </c>
      <c r="C9">
        <v>1015</v>
      </c>
      <c r="D9">
        <f t="shared" si="1"/>
        <v>1188</v>
      </c>
      <c r="E9">
        <f t="shared" si="2"/>
        <v>8.4175084175084169</v>
      </c>
      <c r="F9" s="3">
        <v>6.5400000000000001E-7</v>
      </c>
      <c r="G9">
        <f t="shared" si="0"/>
        <v>-14.240158485489212</v>
      </c>
      <c r="I9">
        <v>4</v>
      </c>
    </row>
    <row r="10" spans="1:10" x14ac:dyDescent="0.25">
      <c r="B10">
        <v>880</v>
      </c>
      <c r="C10">
        <v>980</v>
      </c>
      <c r="D10">
        <f t="shared" si="1"/>
        <v>1153</v>
      </c>
      <c r="E10">
        <f t="shared" si="2"/>
        <v>8.6730268863833473</v>
      </c>
      <c r="F10" s="3">
        <v>3.1300000000000001E-7</v>
      </c>
      <c r="G10">
        <f t="shared" si="0"/>
        <v>-14.977062646406258</v>
      </c>
      <c r="I10">
        <v>4</v>
      </c>
    </row>
    <row r="11" spans="1:10" x14ac:dyDescent="0.25">
      <c r="A11" s="5">
        <v>43200</v>
      </c>
      <c r="B11">
        <v>910</v>
      </c>
      <c r="C11">
        <v>1010</v>
      </c>
      <c r="D11">
        <f t="shared" si="1"/>
        <v>1183</v>
      </c>
      <c r="E11">
        <f t="shared" si="2"/>
        <v>8.4530853761622993</v>
      </c>
      <c r="F11" s="3">
        <v>5.8100000000000003E-7</v>
      </c>
      <c r="G11">
        <f t="shared" si="0"/>
        <v>-14.358515080094501</v>
      </c>
      <c r="I11">
        <v>4</v>
      </c>
    </row>
    <row r="12" spans="1:10" x14ac:dyDescent="0.25">
      <c r="A12" s="6"/>
      <c r="B12">
        <v>890</v>
      </c>
      <c r="C12">
        <v>990</v>
      </c>
      <c r="D12">
        <f t="shared" si="1"/>
        <v>1163</v>
      </c>
      <c r="E12">
        <f t="shared" si="2"/>
        <v>8.5984522785898534</v>
      </c>
      <c r="F12" s="3">
        <v>3.7899999999999999E-7</v>
      </c>
      <c r="G12">
        <f t="shared" si="0"/>
        <v>-14.785729631863985</v>
      </c>
      <c r="H12">
        <v>0.58499999999999996</v>
      </c>
      <c r="I12">
        <v>4</v>
      </c>
    </row>
    <row r="13" spans="1:10" x14ac:dyDescent="0.25">
      <c r="A13" s="5">
        <v>43216</v>
      </c>
      <c r="B13">
        <v>910</v>
      </c>
      <c r="C13">
        <v>1010</v>
      </c>
      <c r="D13">
        <f t="shared" si="1"/>
        <v>1183</v>
      </c>
      <c r="E13">
        <f t="shared" si="2"/>
        <v>8.4530853761622993</v>
      </c>
      <c r="F13" s="3">
        <v>5.9500000000000002E-7</v>
      </c>
      <c r="G13">
        <f t="shared" si="0"/>
        <v>-14.334704431400782</v>
      </c>
      <c r="H13">
        <v>0.89</v>
      </c>
      <c r="I13">
        <v>4</v>
      </c>
    </row>
    <row r="14" spans="1:10" x14ac:dyDescent="0.25">
      <c r="B14">
        <v>890</v>
      </c>
      <c r="C14">
        <v>990</v>
      </c>
      <c r="D14">
        <f t="shared" si="1"/>
        <v>1163</v>
      </c>
      <c r="E14">
        <f t="shared" si="2"/>
        <v>8.5984522785898534</v>
      </c>
      <c r="F14" s="3">
        <v>3.9400000000000001E-7</v>
      </c>
      <c r="G14">
        <f t="shared" si="0"/>
        <v>-14.746914927648477</v>
      </c>
      <c r="H14">
        <v>0.56000000000000005</v>
      </c>
      <c r="I14">
        <v>4</v>
      </c>
    </row>
    <row r="15" spans="1:10" x14ac:dyDescent="0.25">
      <c r="A15" s="6">
        <v>43221</v>
      </c>
      <c r="B15">
        <v>910</v>
      </c>
      <c r="C15">
        <v>1010</v>
      </c>
      <c r="D15">
        <f t="shared" si="1"/>
        <v>1183</v>
      </c>
      <c r="E15">
        <f t="shared" si="2"/>
        <v>8.4530853761622993</v>
      </c>
      <c r="F15" s="3">
        <v>5.8800000000000002E-7</v>
      </c>
      <c r="G15">
        <f t="shared" si="0"/>
        <v>-14.346538889047784</v>
      </c>
      <c r="H15">
        <v>0.86499999999999999</v>
      </c>
      <c r="I15">
        <v>4</v>
      </c>
    </row>
    <row r="16" spans="1:10" x14ac:dyDescent="0.25">
      <c r="B16">
        <v>890</v>
      </c>
      <c r="C16">
        <v>990</v>
      </c>
      <c r="D16">
        <f t="shared" si="1"/>
        <v>1163</v>
      </c>
      <c r="E16">
        <f t="shared" si="2"/>
        <v>8.5984522785898534</v>
      </c>
      <c r="F16" s="3">
        <v>3.8599999999999999E-7</v>
      </c>
      <c r="G16">
        <f t="shared" si="0"/>
        <v>-14.767428467481579</v>
      </c>
      <c r="H16">
        <v>0.56000000000000005</v>
      </c>
      <c r="I16">
        <v>4</v>
      </c>
    </row>
    <row r="17" spans="1:17" x14ac:dyDescent="0.25">
      <c r="A17" s="5">
        <v>43224</v>
      </c>
      <c r="B17">
        <v>910</v>
      </c>
      <c r="C17">
        <v>1010</v>
      </c>
      <c r="D17">
        <f t="shared" si="1"/>
        <v>1183</v>
      </c>
      <c r="E17">
        <f t="shared" si="2"/>
        <v>8.4530853761622993</v>
      </c>
      <c r="F17" s="3">
        <v>6.0500000000000003E-7</v>
      </c>
      <c r="G17">
        <f t="shared" si="0"/>
        <v>-14.318037378915569</v>
      </c>
      <c r="H17">
        <v>0.84</v>
      </c>
      <c r="I17">
        <v>4</v>
      </c>
    </row>
    <row r="18" spans="1:17" x14ac:dyDescent="0.25">
      <c r="B18">
        <v>890</v>
      </c>
      <c r="C18">
        <v>990</v>
      </c>
      <c r="D18">
        <f t="shared" si="1"/>
        <v>1163</v>
      </c>
      <c r="E18">
        <f t="shared" si="2"/>
        <v>8.5984522785898534</v>
      </c>
      <c r="F18" s="3">
        <v>3.9799999999999999E-7</v>
      </c>
      <c r="G18">
        <f t="shared" si="0"/>
        <v>-14.736813831661973</v>
      </c>
      <c r="H18">
        <v>0.55000000000000004</v>
      </c>
      <c r="I18">
        <v>4</v>
      </c>
    </row>
    <row r="19" spans="1:17" x14ac:dyDescent="0.25">
      <c r="A19" s="5">
        <v>43276</v>
      </c>
      <c r="B19">
        <v>910</v>
      </c>
      <c r="C19">
        <v>1010</v>
      </c>
      <c r="D19">
        <f t="shared" si="1"/>
        <v>1183</v>
      </c>
      <c r="E19">
        <f t="shared" si="2"/>
        <v>8.4530853761622993</v>
      </c>
      <c r="F19" s="3">
        <v>5.7800000000000001E-7</v>
      </c>
      <c r="G19">
        <f t="shared" ref="G19:G102" si="3">LN(F19)</f>
        <v>-14.363691968274034</v>
      </c>
      <c r="H19">
        <v>0.81</v>
      </c>
      <c r="I19">
        <v>4</v>
      </c>
    </row>
    <row r="20" spans="1:17" x14ac:dyDescent="0.25">
      <c r="A20" s="6"/>
      <c r="B20">
        <v>890</v>
      </c>
      <c r="C20">
        <v>990</v>
      </c>
      <c r="D20">
        <f t="shared" si="1"/>
        <v>1163</v>
      </c>
      <c r="E20">
        <f t="shared" si="2"/>
        <v>8.5984522785898534</v>
      </c>
      <c r="F20" s="3">
        <v>3.84E-7</v>
      </c>
      <c r="G20">
        <f t="shared" si="3"/>
        <v>-14.772623284358684</v>
      </c>
      <c r="H20">
        <v>0.54</v>
      </c>
      <c r="I20">
        <v>4</v>
      </c>
    </row>
    <row r="21" spans="1:17" x14ac:dyDescent="0.25">
      <c r="A21" s="6">
        <v>43293</v>
      </c>
      <c r="B21">
        <v>920</v>
      </c>
      <c r="C21">
        <v>1020</v>
      </c>
      <c r="D21">
        <f t="shared" si="1"/>
        <v>1193</v>
      </c>
      <c r="E21">
        <f t="shared" si="2"/>
        <v>8.3822296730930432</v>
      </c>
      <c r="F21" s="3">
        <v>7.0299999999999998E-7</v>
      </c>
      <c r="G21">
        <f t="shared" si="3"/>
        <v>-14.167908945135746</v>
      </c>
      <c r="H21">
        <v>1.08</v>
      </c>
      <c r="I21">
        <v>4</v>
      </c>
      <c r="J21" s="8"/>
    </row>
    <row r="22" spans="1:17" ht="15.75" customHeight="1" x14ac:dyDescent="0.25">
      <c r="A22" s="5">
        <v>43294</v>
      </c>
      <c r="B22">
        <v>920</v>
      </c>
      <c r="C22">
        <v>1020</v>
      </c>
      <c r="D22">
        <f t="shared" si="1"/>
        <v>1193</v>
      </c>
      <c r="E22">
        <f t="shared" si="2"/>
        <v>8.3822296730930432</v>
      </c>
      <c r="F22" s="3">
        <v>7.1399999999999996E-7</v>
      </c>
      <c r="G22">
        <f t="shared" si="3"/>
        <v>-14.152382874606827</v>
      </c>
      <c r="H22">
        <v>1.08</v>
      </c>
      <c r="I22">
        <v>4</v>
      </c>
      <c r="J22" s="8"/>
      <c r="M22" s="7"/>
      <c r="N22" s="7"/>
      <c r="O22" s="7"/>
      <c r="P22" s="7"/>
      <c r="Q22" s="7"/>
    </row>
    <row r="23" spans="1:17" x14ac:dyDescent="0.25">
      <c r="A23" s="6">
        <v>43297</v>
      </c>
      <c r="B23">
        <v>890</v>
      </c>
      <c r="C23">
        <v>990</v>
      </c>
      <c r="D23">
        <f t="shared" si="1"/>
        <v>1163</v>
      </c>
      <c r="E23">
        <f t="shared" si="2"/>
        <v>8.5984522785898534</v>
      </c>
      <c r="F23" s="3">
        <v>4.0699999999999998E-7</v>
      </c>
      <c r="G23">
        <f t="shared" si="3"/>
        <v>-14.714452651503816</v>
      </c>
      <c r="H23">
        <v>0.55900000000000005</v>
      </c>
      <c r="I23">
        <v>4</v>
      </c>
      <c r="J23" s="8"/>
    </row>
    <row r="24" spans="1:17" x14ac:dyDescent="0.25">
      <c r="A24" s="6">
        <v>43299</v>
      </c>
      <c r="B24">
        <v>890</v>
      </c>
      <c r="C24">
        <v>990</v>
      </c>
      <c r="D24">
        <f t="shared" si="1"/>
        <v>1163</v>
      </c>
      <c r="E24">
        <f t="shared" si="2"/>
        <v>8.5984522785898534</v>
      </c>
      <c r="F24" s="3">
        <v>3.9900000000000001E-7</v>
      </c>
      <c r="G24">
        <f t="shared" si="3"/>
        <v>-14.734304420056548</v>
      </c>
      <c r="H24">
        <v>0.55100000000000005</v>
      </c>
      <c r="I24">
        <v>4</v>
      </c>
    </row>
    <row r="25" spans="1:17" x14ac:dyDescent="0.25">
      <c r="A25" s="6">
        <v>43300</v>
      </c>
      <c r="B25">
        <v>890</v>
      </c>
      <c r="C25">
        <v>990</v>
      </c>
      <c r="D25">
        <f t="shared" si="1"/>
        <v>1163</v>
      </c>
      <c r="E25">
        <f t="shared" si="2"/>
        <v>8.5984522785898534</v>
      </c>
      <c r="F25" s="3">
        <v>3.9799999999999999E-7</v>
      </c>
      <c r="G25">
        <f t="shared" si="3"/>
        <v>-14.736813831661973</v>
      </c>
      <c r="H25">
        <v>0.58799999999999997</v>
      </c>
      <c r="I25">
        <v>4</v>
      </c>
    </row>
    <row r="26" spans="1:17" ht="31.5" x14ac:dyDescent="0.25">
      <c r="A26" s="5">
        <v>43301</v>
      </c>
      <c r="B26">
        <v>890</v>
      </c>
      <c r="C26">
        <v>990</v>
      </c>
      <c r="D26">
        <f t="shared" si="1"/>
        <v>1163</v>
      </c>
      <c r="E26">
        <f t="shared" si="2"/>
        <v>8.5984522785898534</v>
      </c>
      <c r="F26" s="3">
        <v>4.08E-7</v>
      </c>
      <c r="G26">
        <f t="shared" si="3"/>
        <v>-14.71199866254225</v>
      </c>
      <c r="I26">
        <v>4</v>
      </c>
      <c r="L26" s="20" t="s">
        <v>42</v>
      </c>
      <c r="M26" s="20" t="s">
        <v>1</v>
      </c>
      <c r="N26" s="21" t="s">
        <v>43</v>
      </c>
      <c r="O26" s="22" t="s">
        <v>44</v>
      </c>
    </row>
    <row r="27" spans="1:17" x14ac:dyDescent="0.25">
      <c r="A27" s="6">
        <v>43304</v>
      </c>
      <c r="B27">
        <v>910</v>
      </c>
      <c r="C27">
        <v>1010</v>
      </c>
      <c r="D27">
        <f t="shared" si="1"/>
        <v>1183</v>
      </c>
      <c r="E27">
        <f t="shared" si="2"/>
        <v>8.4530853761622993</v>
      </c>
      <c r="F27" s="3">
        <v>6.0399999999999996E-7</v>
      </c>
      <c r="G27">
        <f t="shared" si="3"/>
        <v>-14.319691639011596</v>
      </c>
      <c r="H27">
        <v>0.86599999999999999</v>
      </c>
      <c r="I27">
        <v>4</v>
      </c>
      <c r="L27" s="23">
        <v>0.54</v>
      </c>
      <c r="M27" s="24">
        <f>L27*(5.65325/2)/10000*60*60</f>
        <v>0.54949590000000004</v>
      </c>
      <c r="N27" s="23">
        <v>0.25</v>
      </c>
      <c r="O27" s="25">
        <f>(N27/M27)*60</f>
        <v>27.297746898566484</v>
      </c>
    </row>
    <row r="28" spans="1:17" ht="31.5" x14ac:dyDescent="0.25">
      <c r="B28">
        <v>890</v>
      </c>
      <c r="C28">
        <v>990</v>
      </c>
      <c r="D28">
        <f t="shared" si="1"/>
        <v>1163</v>
      </c>
      <c r="E28">
        <f t="shared" si="2"/>
        <v>8.5984522785898534</v>
      </c>
      <c r="F28" s="3">
        <v>3.89E-7</v>
      </c>
      <c r="G28">
        <f t="shared" si="3"/>
        <v>-14.759686493327965</v>
      </c>
      <c r="H28">
        <v>0.56000000000000005</v>
      </c>
      <c r="I28">
        <v>4</v>
      </c>
      <c r="L28" s="44" t="s">
        <v>42</v>
      </c>
      <c r="M28" s="44" t="s">
        <v>72</v>
      </c>
      <c r="N28" s="45" t="s">
        <v>73</v>
      </c>
      <c r="O28" s="46" t="s">
        <v>74</v>
      </c>
    </row>
    <row r="29" spans="1:17" x14ac:dyDescent="0.25">
      <c r="A29" s="5">
        <v>43353</v>
      </c>
      <c r="B29">
        <v>910</v>
      </c>
      <c r="C29">
        <v>1010</v>
      </c>
      <c r="D29">
        <f t="shared" si="1"/>
        <v>1183</v>
      </c>
      <c r="E29">
        <f t="shared" si="2"/>
        <v>8.4530853761622993</v>
      </c>
      <c r="F29" s="3">
        <v>6.0100000000000005E-7</v>
      </c>
      <c r="G29">
        <f t="shared" si="3"/>
        <v>-14.324670902411203</v>
      </c>
      <c r="H29">
        <v>0.84599999999999997</v>
      </c>
      <c r="I29">
        <v>4</v>
      </c>
      <c r="L29" s="23">
        <v>0.54</v>
      </c>
      <c r="M29" s="24">
        <f>L29*(5.65325/2)/10</f>
        <v>0.15263775000000002</v>
      </c>
      <c r="N29" s="28">
        <v>250</v>
      </c>
      <c r="O29" s="25">
        <f>(N29/M29)</f>
        <v>1637.8648139139889</v>
      </c>
    </row>
    <row r="30" spans="1:17" x14ac:dyDescent="0.25">
      <c r="A30" s="6"/>
      <c r="B30">
        <v>890</v>
      </c>
      <c r="C30">
        <v>990</v>
      </c>
      <c r="D30">
        <f t="shared" si="1"/>
        <v>1163</v>
      </c>
      <c r="E30">
        <f t="shared" si="2"/>
        <v>8.5984522785898534</v>
      </c>
      <c r="F30" s="3">
        <v>3.9999999999999998E-7</v>
      </c>
      <c r="G30">
        <f t="shared" si="3"/>
        <v>-14.73180128983843</v>
      </c>
      <c r="H30">
        <v>0.55400000000000005</v>
      </c>
      <c r="I30">
        <v>4</v>
      </c>
    </row>
    <row r="31" spans="1:17" x14ac:dyDescent="0.25">
      <c r="A31" s="6">
        <v>43362</v>
      </c>
      <c r="B31">
        <v>910</v>
      </c>
      <c r="C31">
        <v>1010</v>
      </c>
      <c r="D31">
        <f t="shared" si="1"/>
        <v>1183</v>
      </c>
      <c r="E31">
        <f t="shared" si="2"/>
        <v>8.4530853761622993</v>
      </c>
      <c r="F31" s="3">
        <v>5.9400000000000005E-7</v>
      </c>
      <c r="G31">
        <f t="shared" si="3"/>
        <v>-14.336386517583765</v>
      </c>
      <c r="I31">
        <v>4</v>
      </c>
    </row>
    <row r="32" spans="1:17" x14ac:dyDescent="0.25">
      <c r="B32">
        <v>900</v>
      </c>
      <c r="C32">
        <v>1000</v>
      </c>
      <c r="D32">
        <f t="shared" si="1"/>
        <v>1173</v>
      </c>
      <c r="E32">
        <f t="shared" si="2"/>
        <v>8.5251491901108274</v>
      </c>
      <c r="F32" s="3">
        <v>4.7700000000000005E-7</v>
      </c>
      <c r="G32" s="3">
        <f t="shared" si="3"/>
        <v>-14.55574934605807</v>
      </c>
      <c r="H32" s="3"/>
      <c r="I32" s="12">
        <v>4</v>
      </c>
    </row>
    <row r="33" spans="1:24" x14ac:dyDescent="0.25">
      <c r="B33">
        <v>890</v>
      </c>
      <c r="C33">
        <v>990</v>
      </c>
      <c r="D33">
        <f t="shared" si="1"/>
        <v>1163</v>
      </c>
      <c r="E33">
        <f t="shared" si="2"/>
        <v>8.5984522785898534</v>
      </c>
      <c r="F33" s="3">
        <v>3.9400000000000001E-7</v>
      </c>
      <c r="G33" s="3">
        <f t="shared" si="3"/>
        <v>-14.746914927648477</v>
      </c>
      <c r="H33" s="3"/>
      <c r="I33" s="12">
        <v>4</v>
      </c>
    </row>
    <row r="34" spans="1:24" x14ac:dyDescent="0.25">
      <c r="A34" s="5">
        <v>43363</v>
      </c>
      <c r="B34">
        <v>910</v>
      </c>
      <c r="C34">
        <v>1010</v>
      </c>
      <c r="D34">
        <f t="shared" si="1"/>
        <v>1183</v>
      </c>
      <c r="E34">
        <f t="shared" si="2"/>
        <v>8.4530853761622993</v>
      </c>
      <c r="F34" s="3">
        <v>5.9800000000000003E-7</v>
      </c>
      <c r="G34">
        <f t="shared" si="3"/>
        <v>-14.329675082995779</v>
      </c>
      <c r="H34">
        <v>0.84</v>
      </c>
      <c r="I34">
        <v>4</v>
      </c>
    </row>
    <row r="35" spans="1:24" x14ac:dyDescent="0.25">
      <c r="B35">
        <v>890</v>
      </c>
      <c r="C35">
        <v>990</v>
      </c>
      <c r="D35">
        <f t="shared" si="1"/>
        <v>1163</v>
      </c>
      <c r="E35">
        <f t="shared" si="2"/>
        <v>8.5984522785898534</v>
      </c>
      <c r="F35" s="3">
        <v>3.9299999999999999E-7</v>
      </c>
      <c r="G35">
        <f t="shared" si="3"/>
        <v>-14.74945622507715</v>
      </c>
      <c r="H35">
        <v>0.56000000000000005</v>
      </c>
      <c r="I35">
        <v>4</v>
      </c>
    </row>
    <row r="36" spans="1:24" x14ac:dyDescent="0.25">
      <c r="A36" s="6">
        <v>43493</v>
      </c>
      <c r="B36">
        <v>910</v>
      </c>
      <c r="C36">
        <v>1010</v>
      </c>
      <c r="D36">
        <f t="shared" si="1"/>
        <v>1183</v>
      </c>
      <c r="E36">
        <f t="shared" si="2"/>
        <v>8.4530853761622993</v>
      </c>
      <c r="F36" s="3">
        <v>5.7400000000000003E-7</v>
      </c>
      <c r="G36">
        <f t="shared" si="3"/>
        <v>-14.370636440626845</v>
      </c>
      <c r="H36">
        <v>0.84599999999999997</v>
      </c>
      <c r="I36">
        <v>4</v>
      </c>
      <c r="J36" t="s">
        <v>63</v>
      </c>
      <c r="M36" t="s">
        <v>80</v>
      </c>
    </row>
    <row r="37" spans="1:24" x14ac:dyDescent="0.25">
      <c r="B37">
        <v>890</v>
      </c>
      <c r="C37">
        <v>990</v>
      </c>
      <c r="D37">
        <f t="shared" si="1"/>
        <v>1163</v>
      </c>
      <c r="E37">
        <f t="shared" si="2"/>
        <v>8.5984522785898534</v>
      </c>
      <c r="F37" s="3">
        <v>3.8500000000000002E-7</v>
      </c>
      <c r="G37" s="3">
        <f t="shared" si="3"/>
        <v>-14.770022502658627</v>
      </c>
      <c r="H37">
        <v>0.55100000000000005</v>
      </c>
      <c r="I37">
        <v>4</v>
      </c>
      <c r="M37" s="4" t="s">
        <v>81</v>
      </c>
      <c r="N37" s="4" t="s">
        <v>82</v>
      </c>
      <c r="O37" s="4" t="s">
        <v>7</v>
      </c>
      <c r="P37" s="4" t="s">
        <v>10</v>
      </c>
      <c r="R37" s="42" t="s">
        <v>0</v>
      </c>
      <c r="S37" s="42" t="s">
        <v>1</v>
      </c>
      <c r="T37" s="43" t="s">
        <v>20</v>
      </c>
      <c r="V37" s="4" t="s">
        <v>26</v>
      </c>
      <c r="W37" s="4" t="s">
        <v>27</v>
      </c>
      <c r="X37" s="4" t="s">
        <v>28</v>
      </c>
    </row>
    <row r="38" spans="1:24" x14ac:dyDescent="0.25">
      <c r="A38" s="5">
        <v>43507</v>
      </c>
      <c r="B38">
        <v>910</v>
      </c>
      <c r="C38">
        <v>1010</v>
      </c>
      <c r="D38">
        <f t="shared" si="1"/>
        <v>1183</v>
      </c>
      <c r="E38">
        <f t="shared" si="2"/>
        <v>8.4530853761622993</v>
      </c>
      <c r="F38" s="3">
        <v>5.75E-7</v>
      </c>
      <c r="G38" s="3">
        <f t="shared" si="3"/>
        <v>-14.368895796149062</v>
      </c>
      <c r="H38">
        <v>0.84</v>
      </c>
      <c r="I38">
        <v>4</v>
      </c>
      <c r="L38" t="s">
        <v>51</v>
      </c>
      <c r="M38">
        <v>830</v>
      </c>
      <c r="N38">
        <f>M38+273</f>
        <v>1103</v>
      </c>
      <c r="O38">
        <f>(0.0212*M38)-33.711</f>
        <v>-16.114999999999998</v>
      </c>
      <c r="P38" s="14">
        <f>EXP(O38)</f>
        <v>1.0031004474338768E-7</v>
      </c>
      <c r="R38" s="28">
        <v>0.56000000000000005</v>
      </c>
      <c r="S38" s="28">
        <f>R38*(5.65325/2)/10000*60*60</f>
        <v>0.5698475999999999</v>
      </c>
      <c r="T38" s="28">
        <f>(1/S38)*60</f>
        <v>105.29130946589932</v>
      </c>
      <c r="V38">
        <v>0.20499999999999999</v>
      </c>
      <c r="W38">
        <f>V38*(5.867^2)/(5.653^2)</f>
        <v>0.22081474313963129</v>
      </c>
      <c r="X38">
        <f>W38*(5.867)/2/10000*60*60</f>
        <v>0.23319361764003901</v>
      </c>
    </row>
    <row r="39" spans="1:24" x14ac:dyDescent="0.25">
      <c r="A39" s="6"/>
      <c r="B39">
        <v>930</v>
      </c>
      <c r="C39">
        <v>1030</v>
      </c>
      <c r="D39">
        <f t="shared" si="1"/>
        <v>1203</v>
      </c>
      <c r="E39">
        <f t="shared" si="2"/>
        <v>8.3125519534497094</v>
      </c>
      <c r="F39" s="3">
        <v>8.7000000000000003E-7</v>
      </c>
      <c r="G39">
        <f t="shared" si="3"/>
        <v>-13.954772625297782</v>
      </c>
      <c r="I39">
        <v>4</v>
      </c>
      <c r="O39" s="3"/>
      <c r="P39" s="14"/>
      <c r="V39">
        <v>0.22500000000000001</v>
      </c>
      <c r="W39">
        <f>V39*(5.867^2)/(5.653^2)</f>
        <v>0.24235764490935141</v>
      </c>
      <c r="X39">
        <f>W39*(5.867)/2/10000*60*60</f>
        <v>0.25594421448296972</v>
      </c>
    </row>
    <row r="40" spans="1:24" x14ac:dyDescent="0.25">
      <c r="A40" s="5">
        <v>43517</v>
      </c>
      <c r="B40">
        <v>910</v>
      </c>
      <c r="C40">
        <v>1010</v>
      </c>
      <c r="D40">
        <f t="shared" si="1"/>
        <v>1183</v>
      </c>
      <c r="E40">
        <f t="shared" si="2"/>
        <v>8.4530853761622993</v>
      </c>
      <c r="F40" s="3">
        <v>5.8599999999999998E-7</v>
      </c>
      <c r="G40">
        <f t="shared" si="3"/>
        <v>-14.349946047369398</v>
      </c>
      <c r="H40">
        <v>0.86699999999999999</v>
      </c>
      <c r="I40">
        <v>4</v>
      </c>
      <c r="L40" t="s">
        <v>79</v>
      </c>
      <c r="M40" s="4" t="s">
        <v>5</v>
      </c>
      <c r="N40" s="4" t="s">
        <v>7</v>
      </c>
      <c r="O40" s="4" t="s">
        <v>10</v>
      </c>
      <c r="R40" s="42"/>
      <c r="S40" s="42"/>
      <c r="T40" s="42"/>
      <c r="U40" s="42"/>
      <c r="V40" s="4" t="s">
        <v>30</v>
      </c>
      <c r="W40" s="4" t="s">
        <v>10</v>
      </c>
    </row>
    <row r="41" spans="1:24" x14ac:dyDescent="0.25">
      <c r="A41" s="6"/>
      <c r="B41">
        <v>890</v>
      </c>
      <c r="C41">
        <v>990</v>
      </c>
      <c r="D41">
        <f t="shared" si="1"/>
        <v>1163</v>
      </c>
      <c r="E41">
        <f t="shared" si="2"/>
        <v>8.5984522785898534</v>
      </c>
      <c r="F41" s="3">
        <v>3.84E-7</v>
      </c>
      <c r="G41">
        <f t="shared" si="3"/>
        <v>-14.772623284358684</v>
      </c>
      <c r="H41">
        <v>0.56999999999999995</v>
      </c>
      <c r="I41">
        <v>4</v>
      </c>
      <c r="L41" t="s">
        <v>83</v>
      </c>
      <c r="M41" s="2">
        <v>0.4</v>
      </c>
      <c r="N41" s="10">
        <f>(1.4791*M41)-15.594</f>
        <v>-15.002359999999999</v>
      </c>
      <c r="O41" s="3">
        <f>EXP(N41)</f>
        <v>3.0518124223247591E-7</v>
      </c>
      <c r="R41" s="28"/>
      <c r="S41" s="28"/>
      <c r="T41" s="28"/>
      <c r="U41" s="28"/>
      <c r="V41" s="2">
        <v>0.25</v>
      </c>
      <c r="W41" s="13">
        <f>0.00000042363*V41</f>
        <v>1.059075E-7</v>
      </c>
    </row>
    <row r="42" spans="1:24" x14ac:dyDescent="0.25">
      <c r="A42" s="5">
        <v>43601</v>
      </c>
      <c r="B42">
        <v>890</v>
      </c>
      <c r="C42">
        <v>990</v>
      </c>
      <c r="D42">
        <f t="shared" si="1"/>
        <v>1163</v>
      </c>
      <c r="E42">
        <f t="shared" si="2"/>
        <v>8.5984522785898534</v>
      </c>
      <c r="F42" s="3">
        <v>3.89E-7</v>
      </c>
      <c r="G42">
        <f t="shared" si="3"/>
        <v>-14.759686493327965</v>
      </c>
      <c r="I42">
        <v>4</v>
      </c>
      <c r="J42" t="s">
        <v>69</v>
      </c>
      <c r="L42" t="s">
        <v>84</v>
      </c>
      <c r="M42">
        <v>0.4</v>
      </c>
      <c r="O42" s="3">
        <f>(M42-0.008)/(1000000)</f>
        <v>3.9200000000000002E-7</v>
      </c>
      <c r="P42" s="3"/>
      <c r="Q42" s="3"/>
      <c r="R42" s="3"/>
    </row>
    <row r="43" spans="1:24" x14ac:dyDescent="0.25">
      <c r="A43" s="6"/>
      <c r="B43">
        <v>880</v>
      </c>
      <c r="C43">
        <v>980</v>
      </c>
      <c r="D43">
        <f t="shared" si="1"/>
        <v>1153</v>
      </c>
      <c r="E43">
        <f t="shared" si="2"/>
        <v>8.6730268863833473</v>
      </c>
      <c r="F43" s="3">
        <v>3.1600000000000002E-7</v>
      </c>
      <c r="G43">
        <f t="shared" si="3"/>
        <v>-14.967523623359499</v>
      </c>
      <c r="H43">
        <v>0.55000000000000004</v>
      </c>
      <c r="I43">
        <v>4</v>
      </c>
      <c r="L43" t="s">
        <v>85</v>
      </c>
      <c r="M43">
        <f>(O43*1000000)+0.0293</f>
        <v>0.45529999999999998</v>
      </c>
      <c r="O43" s="3">
        <v>4.2599999999999998E-7</v>
      </c>
    </row>
    <row r="44" spans="1:24" x14ac:dyDescent="0.25">
      <c r="A44" s="6"/>
      <c r="B44">
        <v>895</v>
      </c>
      <c r="C44">
        <v>995</v>
      </c>
      <c r="D44">
        <f t="shared" si="1"/>
        <v>1168</v>
      </c>
      <c r="E44">
        <f t="shared" si="2"/>
        <v>8.5616438356164384</v>
      </c>
      <c r="F44" s="3">
        <v>4.27E-7</v>
      </c>
      <c r="G44">
        <f t="shared" si="3"/>
        <v>-14.666481823717787</v>
      </c>
      <c r="H44">
        <v>0.60099999999999998</v>
      </c>
      <c r="I44">
        <v>4</v>
      </c>
      <c r="W44" s="3"/>
    </row>
    <row r="45" spans="1:24" x14ac:dyDescent="0.25">
      <c r="A45" s="6">
        <v>43605</v>
      </c>
      <c r="B45">
        <v>895</v>
      </c>
      <c r="C45">
        <v>995</v>
      </c>
      <c r="D45">
        <f t="shared" si="1"/>
        <v>1168</v>
      </c>
      <c r="E45">
        <f t="shared" si="2"/>
        <v>8.5616438356164384</v>
      </c>
      <c r="F45" s="3">
        <v>4.2500000000000001E-7</v>
      </c>
      <c r="G45">
        <f t="shared" si="3"/>
        <v>-14.671176668021994</v>
      </c>
      <c r="I45">
        <v>4</v>
      </c>
    </row>
    <row r="46" spans="1:24" x14ac:dyDescent="0.25">
      <c r="A46" s="6">
        <v>43621</v>
      </c>
      <c r="B46">
        <v>895</v>
      </c>
      <c r="C46">
        <v>995</v>
      </c>
      <c r="D46">
        <f t="shared" si="1"/>
        <v>1168</v>
      </c>
      <c r="E46">
        <f t="shared" si="2"/>
        <v>8.5616438356164384</v>
      </c>
      <c r="F46" s="3">
        <v>4.3300000000000003E-7</v>
      </c>
      <c r="G46">
        <f t="shared" si="3"/>
        <v>-14.652528108943921</v>
      </c>
      <c r="I46">
        <v>4</v>
      </c>
      <c r="M46" s="3"/>
      <c r="N46" s="3"/>
      <c r="O46" s="3"/>
      <c r="W46" s="2"/>
      <c r="X46" s="13"/>
    </row>
    <row r="47" spans="1:24" x14ac:dyDescent="0.25">
      <c r="A47" s="6">
        <v>43627</v>
      </c>
      <c r="B47">
        <v>895</v>
      </c>
      <c r="C47">
        <v>995</v>
      </c>
      <c r="D47">
        <f t="shared" si="1"/>
        <v>1168</v>
      </c>
      <c r="E47">
        <f t="shared" si="2"/>
        <v>8.5616438356164384</v>
      </c>
      <c r="F47" s="3">
        <v>4.3500000000000002E-7</v>
      </c>
      <c r="G47">
        <f t="shared" si="3"/>
        <v>-14.647919805857727</v>
      </c>
      <c r="I47">
        <v>4</v>
      </c>
      <c r="M47" s="3"/>
      <c r="N47" s="3"/>
    </row>
    <row r="48" spans="1:24" x14ac:dyDescent="0.25">
      <c r="A48" s="6">
        <v>43633</v>
      </c>
      <c r="B48">
        <v>910</v>
      </c>
      <c r="C48">
        <v>1010</v>
      </c>
      <c r="D48">
        <f t="shared" si="1"/>
        <v>1183</v>
      </c>
      <c r="E48">
        <f t="shared" si="2"/>
        <v>8.4530853761622993</v>
      </c>
      <c r="F48" s="3">
        <v>5.6599999999999996E-7</v>
      </c>
      <c r="G48">
        <f t="shared" si="3"/>
        <v>-14.384671758743229</v>
      </c>
      <c r="H48">
        <v>0.82499999999999996</v>
      </c>
      <c r="I48">
        <v>4</v>
      </c>
    </row>
    <row r="49" spans="1:14" x14ac:dyDescent="0.25">
      <c r="A49" s="6"/>
      <c r="B49">
        <v>895</v>
      </c>
      <c r="C49">
        <v>995</v>
      </c>
      <c r="D49">
        <f t="shared" si="1"/>
        <v>1168</v>
      </c>
      <c r="E49">
        <f t="shared" si="2"/>
        <v>8.5616438356164384</v>
      </c>
      <c r="F49" s="3">
        <v>4.2199999999999999E-7</v>
      </c>
      <c r="G49">
        <f t="shared" si="3"/>
        <v>-14.678260522910399</v>
      </c>
      <c r="H49">
        <v>0.62</v>
      </c>
      <c r="I49">
        <v>4</v>
      </c>
    </row>
    <row r="50" spans="1:14" x14ac:dyDescent="0.25">
      <c r="B50">
        <v>890</v>
      </c>
      <c r="C50">
        <v>990</v>
      </c>
      <c r="D50">
        <f t="shared" si="1"/>
        <v>1163</v>
      </c>
      <c r="E50">
        <f t="shared" si="2"/>
        <v>8.5984522785898534</v>
      </c>
      <c r="F50" s="3">
        <v>3.8099999999999998E-7</v>
      </c>
      <c r="G50">
        <f t="shared" si="3"/>
        <v>-14.78046646181971</v>
      </c>
      <c r="H50">
        <v>0.55200000000000005</v>
      </c>
      <c r="I50">
        <v>4</v>
      </c>
    </row>
    <row r="51" spans="1:14" x14ac:dyDescent="0.25">
      <c r="A51" s="6">
        <v>43640</v>
      </c>
      <c r="B51">
        <v>910</v>
      </c>
      <c r="C51">
        <v>1010</v>
      </c>
      <c r="D51">
        <f t="shared" si="1"/>
        <v>1183</v>
      </c>
      <c r="E51">
        <f t="shared" si="2"/>
        <v>8.4530853761622993</v>
      </c>
      <c r="F51" s="3">
        <v>5.75E-7</v>
      </c>
      <c r="G51">
        <f t="shared" si="3"/>
        <v>-14.368895796149062</v>
      </c>
      <c r="H51">
        <v>0.82</v>
      </c>
      <c r="I51">
        <v>4</v>
      </c>
      <c r="J51" t="s">
        <v>77</v>
      </c>
    </row>
    <row r="52" spans="1:14" x14ac:dyDescent="0.25">
      <c r="B52">
        <v>890</v>
      </c>
      <c r="C52">
        <v>990</v>
      </c>
      <c r="D52">
        <f t="shared" si="1"/>
        <v>1163</v>
      </c>
      <c r="E52">
        <f t="shared" si="2"/>
        <v>8.5984522785898534</v>
      </c>
      <c r="F52" s="3">
        <v>3.77E-7</v>
      </c>
      <c r="G52">
        <f t="shared" si="3"/>
        <v>-14.7910206494984</v>
      </c>
      <c r="H52">
        <v>0.54</v>
      </c>
      <c r="I52">
        <v>4</v>
      </c>
    </row>
    <row r="53" spans="1:14" x14ac:dyDescent="0.25">
      <c r="A53" s="6">
        <v>43644</v>
      </c>
      <c r="B53">
        <v>895</v>
      </c>
      <c r="C53">
        <v>995</v>
      </c>
      <c r="D53">
        <f t="shared" si="1"/>
        <v>1168</v>
      </c>
      <c r="E53">
        <f t="shared" si="2"/>
        <v>8.5616438356164384</v>
      </c>
      <c r="F53" s="3">
        <v>4.2399999999999999E-7</v>
      </c>
      <c r="G53">
        <f t="shared" si="3"/>
        <v>-14.673532381714454</v>
      </c>
      <c r="I53">
        <v>4</v>
      </c>
    </row>
    <row r="54" spans="1:14" x14ac:dyDescent="0.25">
      <c r="A54" t="s">
        <v>78</v>
      </c>
      <c r="B54">
        <v>895</v>
      </c>
      <c r="C54">
        <v>995</v>
      </c>
      <c r="D54">
        <f t="shared" si="1"/>
        <v>1168</v>
      </c>
      <c r="E54">
        <f t="shared" si="2"/>
        <v>8.5616438356164384</v>
      </c>
      <c r="F54" s="3">
        <v>4.2300000000000002E-7</v>
      </c>
      <c r="G54">
        <f t="shared" si="3"/>
        <v>-14.675893657900133</v>
      </c>
      <c r="I54">
        <v>4</v>
      </c>
    </row>
    <row r="55" spans="1:14" x14ac:dyDescent="0.25">
      <c r="A55" s="6"/>
      <c r="B55">
        <v>940</v>
      </c>
      <c r="C55">
        <v>1040</v>
      </c>
      <c r="D55">
        <f t="shared" si="1"/>
        <v>1213</v>
      </c>
      <c r="E55">
        <f t="shared" si="2"/>
        <v>8.2440230832646328</v>
      </c>
      <c r="F55" s="3">
        <v>1.0300000000000001E-6</v>
      </c>
      <c r="G55">
        <f t="shared" si="3"/>
        <v>-13.78595175572273</v>
      </c>
      <c r="I55">
        <v>4</v>
      </c>
    </row>
    <row r="56" spans="1:14" x14ac:dyDescent="0.25">
      <c r="B56">
        <v>931</v>
      </c>
      <c r="C56">
        <v>1031</v>
      </c>
      <c r="D56">
        <f t="shared" si="1"/>
        <v>1204</v>
      </c>
      <c r="E56">
        <f t="shared" si="2"/>
        <v>8.3056478405315612</v>
      </c>
      <c r="F56" s="3">
        <v>8.5700000000000001E-7</v>
      </c>
      <c r="G56">
        <f t="shared" si="3"/>
        <v>-13.969827918348631</v>
      </c>
      <c r="I56">
        <v>4</v>
      </c>
    </row>
    <row r="57" spans="1:14" x14ac:dyDescent="0.25">
      <c r="A57" s="6">
        <v>43658</v>
      </c>
      <c r="B57">
        <v>895</v>
      </c>
      <c r="C57">
        <v>995</v>
      </c>
      <c r="D57">
        <f t="shared" si="1"/>
        <v>1168</v>
      </c>
      <c r="E57">
        <f t="shared" si="2"/>
        <v>8.5616438356164384</v>
      </c>
      <c r="F57" s="3">
        <v>4.2599999999999998E-7</v>
      </c>
      <c r="G57">
        <f t="shared" si="3"/>
        <v>-14.668826490677041</v>
      </c>
      <c r="I57">
        <v>4</v>
      </c>
    </row>
    <row r="58" spans="1:14" x14ac:dyDescent="0.25">
      <c r="B58">
        <v>910</v>
      </c>
      <c r="C58">
        <v>1010</v>
      </c>
      <c r="D58">
        <f t="shared" si="1"/>
        <v>1183</v>
      </c>
      <c r="E58">
        <f t="shared" si="2"/>
        <v>8.4530853761622993</v>
      </c>
      <c r="F58" s="3">
        <v>5.7000000000000005E-7</v>
      </c>
      <c r="G58">
        <f t="shared" si="3"/>
        <v>-14.377629476117816</v>
      </c>
      <c r="I58">
        <v>4</v>
      </c>
    </row>
    <row r="59" spans="1:14" x14ac:dyDescent="0.25">
      <c r="A59" s="6"/>
      <c r="B59">
        <v>875</v>
      </c>
      <c r="C59">
        <v>975</v>
      </c>
      <c r="D59">
        <f t="shared" si="1"/>
        <v>1148</v>
      </c>
      <c r="E59">
        <f t="shared" si="2"/>
        <v>8.7108013937282234</v>
      </c>
      <c r="F59" s="3">
        <v>2.79E-7</v>
      </c>
      <c r="G59">
        <f t="shared" si="3"/>
        <v>-15.092054055125045</v>
      </c>
      <c r="I59">
        <v>4</v>
      </c>
    </row>
    <row r="60" spans="1:14" x14ac:dyDescent="0.25">
      <c r="A60" s="5">
        <v>43662</v>
      </c>
      <c r="B60">
        <v>910</v>
      </c>
      <c r="C60">
        <v>1010</v>
      </c>
      <c r="D60">
        <f t="shared" si="1"/>
        <v>1183</v>
      </c>
      <c r="E60">
        <f t="shared" si="2"/>
        <v>8.4530853761622993</v>
      </c>
      <c r="F60" s="3">
        <v>5.7000000000000005E-7</v>
      </c>
      <c r="G60" s="3">
        <f t="shared" si="3"/>
        <v>-14.377629476117816</v>
      </c>
      <c r="H60">
        <v>0.83</v>
      </c>
      <c r="I60">
        <v>4</v>
      </c>
    </row>
    <row r="61" spans="1:14" x14ac:dyDescent="0.25">
      <c r="A61" s="6"/>
      <c r="B61">
        <v>890</v>
      </c>
      <c r="C61">
        <v>990</v>
      </c>
      <c r="D61">
        <f t="shared" si="1"/>
        <v>1163</v>
      </c>
      <c r="E61">
        <f t="shared" si="2"/>
        <v>8.5984522785898534</v>
      </c>
      <c r="F61" s="3">
        <v>3.7300000000000002E-7</v>
      </c>
      <c r="G61">
        <f t="shared" si="3"/>
        <v>-14.801687417302595</v>
      </c>
      <c r="H61">
        <v>0.56000000000000005</v>
      </c>
      <c r="I61">
        <v>4</v>
      </c>
    </row>
    <row r="62" spans="1:14" x14ac:dyDescent="0.25">
      <c r="B62">
        <v>875</v>
      </c>
      <c r="C62">
        <v>975</v>
      </c>
      <c r="D62">
        <f t="shared" si="1"/>
        <v>1148</v>
      </c>
      <c r="E62">
        <f t="shared" si="2"/>
        <v>8.7108013937282234</v>
      </c>
      <c r="F62" s="3">
        <v>2.7300000000000002E-7</v>
      </c>
      <c r="G62">
        <f t="shared" si="3"/>
        <v>-15.113794041761452</v>
      </c>
      <c r="H62">
        <v>0.41</v>
      </c>
      <c r="I62">
        <v>4</v>
      </c>
      <c r="N62" t="s">
        <v>87</v>
      </c>
    </row>
    <row r="63" spans="1:14" x14ac:dyDescent="0.25">
      <c r="A63" s="6">
        <v>43664</v>
      </c>
      <c r="B63">
        <v>895</v>
      </c>
      <c r="C63">
        <v>895</v>
      </c>
      <c r="D63">
        <f t="shared" si="1"/>
        <v>1168</v>
      </c>
      <c r="E63">
        <f t="shared" si="2"/>
        <v>8.5616438356164384</v>
      </c>
      <c r="F63" s="3">
        <v>4.2300000000000002E-7</v>
      </c>
      <c r="G63">
        <f t="shared" si="3"/>
        <v>-14.675893657900133</v>
      </c>
      <c r="I63">
        <v>4</v>
      </c>
    </row>
    <row r="64" spans="1:14" x14ac:dyDescent="0.25">
      <c r="B64">
        <v>910</v>
      </c>
      <c r="C64">
        <v>1010</v>
      </c>
      <c r="D64">
        <f t="shared" si="1"/>
        <v>1183</v>
      </c>
      <c r="E64">
        <f t="shared" si="2"/>
        <v>8.4530853761622993</v>
      </c>
      <c r="F64" s="3">
        <v>5.68E-7</v>
      </c>
      <c r="G64">
        <f t="shared" si="3"/>
        <v>-14.38114441822526</v>
      </c>
      <c r="I64">
        <v>4</v>
      </c>
    </row>
    <row r="65" spans="1:13" x14ac:dyDescent="0.25">
      <c r="A65" s="6">
        <v>43675</v>
      </c>
      <c r="B65">
        <v>895</v>
      </c>
      <c r="C65">
        <v>995</v>
      </c>
      <c r="D65">
        <f t="shared" si="1"/>
        <v>1168</v>
      </c>
      <c r="E65">
        <f t="shared" si="2"/>
        <v>8.5616438356164384</v>
      </c>
      <c r="F65" s="3">
        <v>4.2599999999999998E-7</v>
      </c>
      <c r="G65">
        <f t="shared" si="3"/>
        <v>-14.668826490677041</v>
      </c>
      <c r="I65">
        <v>4</v>
      </c>
    </row>
    <row r="66" spans="1:13" x14ac:dyDescent="0.25">
      <c r="B66">
        <v>875</v>
      </c>
      <c r="C66">
        <v>975</v>
      </c>
      <c r="D66">
        <f t="shared" si="1"/>
        <v>1148</v>
      </c>
      <c r="E66">
        <f t="shared" si="2"/>
        <v>8.7108013937282234</v>
      </c>
      <c r="F66" s="3">
        <v>2.8200000000000001E-7</v>
      </c>
      <c r="G66">
        <f t="shared" si="3"/>
        <v>-15.081358766008298</v>
      </c>
      <c r="I66">
        <v>4</v>
      </c>
    </row>
    <row r="67" spans="1:13" x14ac:dyDescent="0.25">
      <c r="B67">
        <v>850</v>
      </c>
      <c r="C67">
        <v>950</v>
      </c>
      <c r="D67">
        <f t="shared" si="1"/>
        <v>1123</v>
      </c>
      <c r="E67">
        <f t="shared" si="2"/>
        <v>8.9047195013357072</v>
      </c>
      <c r="F67" s="3">
        <v>1.6299999999999999E-7</v>
      </c>
      <c r="G67">
        <f t="shared" si="3"/>
        <v>-15.629515636139649</v>
      </c>
      <c r="I67">
        <v>4</v>
      </c>
    </row>
    <row r="68" spans="1:13" x14ac:dyDescent="0.25">
      <c r="A68" s="6">
        <v>43682</v>
      </c>
      <c r="B68">
        <v>895</v>
      </c>
      <c r="C68">
        <v>995</v>
      </c>
      <c r="D68">
        <f t="shared" si="1"/>
        <v>1168</v>
      </c>
      <c r="E68">
        <f t="shared" si="2"/>
        <v>8.5616438356164384</v>
      </c>
      <c r="F68" s="3">
        <v>4.2599999999999998E-7</v>
      </c>
      <c r="G68">
        <f t="shared" si="3"/>
        <v>-14.668826490677041</v>
      </c>
      <c r="I68">
        <v>4</v>
      </c>
    </row>
    <row r="69" spans="1:13" x14ac:dyDescent="0.25">
      <c r="B69">
        <v>918</v>
      </c>
      <c r="C69">
        <v>1018</v>
      </c>
      <c r="D69">
        <f t="shared" si="1"/>
        <v>1191</v>
      </c>
      <c r="E69">
        <f t="shared" si="2"/>
        <v>8.3963056255247697</v>
      </c>
      <c r="F69" s="3">
        <v>6.61E-7</v>
      </c>
      <c r="G69">
        <f t="shared" si="3"/>
        <v>-14.229511997094725</v>
      </c>
      <c r="I69">
        <v>4</v>
      </c>
    </row>
    <row r="70" spans="1:13" x14ac:dyDescent="0.25">
      <c r="A70" s="6">
        <v>43685</v>
      </c>
      <c r="B70">
        <v>895</v>
      </c>
      <c r="C70">
        <v>995</v>
      </c>
      <c r="D70">
        <f t="shared" si="1"/>
        <v>1168</v>
      </c>
      <c r="E70">
        <f t="shared" si="2"/>
        <v>8.5616438356164384</v>
      </c>
      <c r="F70" s="3">
        <v>4.2300000000000002E-7</v>
      </c>
      <c r="G70">
        <f t="shared" si="3"/>
        <v>-14.675893657900133</v>
      </c>
      <c r="I70">
        <v>4</v>
      </c>
    </row>
    <row r="71" spans="1:13" x14ac:dyDescent="0.25">
      <c r="A71" s="6"/>
      <c r="B71">
        <v>910</v>
      </c>
      <c r="C71">
        <v>1010</v>
      </c>
      <c r="D71">
        <f t="shared" si="1"/>
        <v>1183</v>
      </c>
      <c r="E71">
        <f t="shared" si="2"/>
        <v>8.4530853761622993</v>
      </c>
      <c r="F71" s="3">
        <v>5.68E-7</v>
      </c>
      <c r="G71">
        <f t="shared" si="3"/>
        <v>-14.38114441822526</v>
      </c>
      <c r="I71">
        <v>4</v>
      </c>
    </row>
    <row r="72" spans="1:13" x14ac:dyDescent="0.25">
      <c r="B72">
        <v>875</v>
      </c>
      <c r="C72">
        <v>975</v>
      </c>
      <c r="D72">
        <f t="shared" si="1"/>
        <v>1148</v>
      </c>
      <c r="E72">
        <f t="shared" si="2"/>
        <v>8.7108013937282234</v>
      </c>
      <c r="F72" s="3">
        <v>2.7300000000000002E-7</v>
      </c>
      <c r="G72">
        <f t="shared" si="3"/>
        <v>-15.113794041761452</v>
      </c>
      <c r="I72">
        <v>4</v>
      </c>
    </row>
    <row r="73" spans="1:13" x14ac:dyDescent="0.25">
      <c r="A73" s="5">
        <v>43692</v>
      </c>
      <c r="B73">
        <v>910</v>
      </c>
      <c r="C73">
        <v>1010</v>
      </c>
      <c r="D73">
        <f t="shared" si="1"/>
        <v>1183</v>
      </c>
      <c r="E73">
        <f t="shared" si="2"/>
        <v>8.4530853761622993</v>
      </c>
      <c r="F73" s="3">
        <v>5.6199999999999998E-7</v>
      </c>
      <c r="G73" s="3">
        <f t="shared" si="3"/>
        <v>-14.39176398705272</v>
      </c>
      <c r="H73" s="3"/>
      <c r="I73">
        <v>4</v>
      </c>
      <c r="K73" s="10"/>
      <c r="L73" s="10"/>
      <c r="M73" s="10"/>
    </row>
    <row r="74" spans="1:13" x14ac:dyDescent="0.25">
      <c r="A74" s="6"/>
      <c r="B74">
        <v>825</v>
      </c>
      <c r="C74">
        <v>925</v>
      </c>
      <c r="D74">
        <f t="shared" si="1"/>
        <v>1098</v>
      </c>
      <c r="E74">
        <f t="shared" si="2"/>
        <v>9.1074681238615671</v>
      </c>
      <c r="F74" s="3">
        <v>9.2700000000000003E-8</v>
      </c>
      <c r="G74">
        <f t="shared" si="3"/>
        <v>-16.193897364374603</v>
      </c>
      <c r="I74">
        <v>4</v>
      </c>
    </row>
    <row r="75" spans="1:13" x14ac:dyDescent="0.25">
      <c r="B75">
        <v>795</v>
      </c>
      <c r="C75">
        <v>895</v>
      </c>
      <c r="D75">
        <f t="shared" si="1"/>
        <v>1068</v>
      </c>
      <c r="E75">
        <f t="shared" si="2"/>
        <v>9.3632958801498134</v>
      </c>
      <c r="F75" s="3">
        <v>4.6199999999999997E-8</v>
      </c>
      <c r="G75">
        <f t="shared" si="3"/>
        <v>-16.890286038858719</v>
      </c>
      <c r="I75">
        <v>4</v>
      </c>
    </row>
    <row r="76" spans="1:13" x14ac:dyDescent="0.25">
      <c r="A76" s="6">
        <v>43698</v>
      </c>
      <c r="B76">
        <v>910</v>
      </c>
      <c r="C76">
        <v>1010</v>
      </c>
      <c r="D76">
        <f t="shared" si="1"/>
        <v>1183</v>
      </c>
      <c r="E76">
        <f t="shared" si="2"/>
        <v>8.4530853761622993</v>
      </c>
      <c r="F76" s="3">
        <v>5.5700000000000002E-7</v>
      </c>
      <c r="G76">
        <f t="shared" si="3"/>
        <v>-14.400700597019128</v>
      </c>
      <c r="I76">
        <v>4</v>
      </c>
    </row>
    <row r="77" spans="1:13" x14ac:dyDescent="0.25">
      <c r="B77">
        <v>810</v>
      </c>
      <c r="C77">
        <v>910</v>
      </c>
      <c r="D77">
        <f t="shared" si="1"/>
        <v>1083</v>
      </c>
      <c r="E77">
        <f t="shared" si="2"/>
        <v>9.2336103416435833</v>
      </c>
      <c r="F77" s="3">
        <v>6.6800000000000003E-8</v>
      </c>
      <c r="G77">
        <f t="shared" si="3"/>
        <v>-16.52156275640381</v>
      </c>
      <c r="I77">
        <v>4</v>
      </c>
    </row>
    <row r="78" spans="1:13" x14ac:dyDescent="0.25">
      <c r="A78" s="5">
        <v>43700</v>
      </c>
      <c r="B78">
        <v>910</v>
      </c>
      <c r="C78">
        <v>1010</v>
      </c>
      <c r="D78">
        <f t="shared" si="1"/>
        <v>1183</v>
      </c>
      <c r="E78">
        <f t="shared" si="2"/>
        <v>8.4530853761622993</v>
      </c>
      <c r="F78" s="3">
        <v>5.6400000000000002E-7</v>
      </c>
      <c r="G78">
        <f t="shared" si="3"/>
        <v>-14.388211585448353</v>
      </c>
      <c r="I78">
        <v>4</v>
      </c>
    </row>
    <row r="79" spans="1:13" x14ac:dyDescent="0.25">
      <c r="A79" s="6"/>
      <c r="B79">
        <v>875</v>
      </c>
      <c r="C79">
        <v>975</v>
      </c>
      <c r="D79">
        <f t="shared" si="1"/>
        <v>1148</v>
      </c>
      <c r="E79">
        <f t="shared" si="2"/>
        <v>8.7108013937282234</v>
      </c>
      <c r="F79" s="3">
        <v>2.7500000000000001E-7</v>
      </c>
      <c r="G79">
        <f t="shared" si="3"/>
        <v>-15.106494739279841</v>
      </c>
      <c r="I79">
        <v>4</v>
      </c>
    </row>
    <row r="80" spans="1:13" x14ac:dyDescent="0.25">
      <c r="B80">
        <v>810</v>
      </c>
      <c r="C80">
        <v>910</v>
      </c>
      <c r="D80">
        <f t="shared" si="1"/>
        <v>1083</v>
      </c>
      <c r="E80">
        <f t="shared" si="2"/>
        <v>9.2336103416435833</v>
      </c>
      <c r="F80" s="3">
        <v>6.5999999999999995E-8</v>
      </c>
      <c r="G80">
        <f t="shared" si="3"/>
        <v>-16.533611094919987</v>
      </c>
      <c r="I80">
        <v>4</v>
      </c>
    </row>
    <row r="81" spans="1:9" x14ac:dyDescent="0.25">
      <c r="A81" s="5">
        <v>43710</v>
      </c>
      <c r="B81">
        <v>910</v>
      </c>
      <c r="C81">
        <v>1010</v>
      </c>
      <c r="D81">
        <f t="shared" si="1"/>
        <v>1183</v>
      </c>
      <c r="E81">
        <f t="shared" si="2"/>
        <v>8.4530853761622993</v>
      </c>
      <c r="F81" s="3">
        <v>5.6499999999999999E-7</v>
      </c>
      <c r="G81">
        <f t="shared" si="3"/>
        <v>-14.38644010579997</v>
      </c>
      <c r="I81">
        <v>4</v>
      </c>
    </row>
    <row r="82" spans="1:9" x14ac:dyDescent="0.25">
      <c r="B82">
        <v>865</v>
      </c>
      <c r="C82">
        <v>965</v>
      </c>
      <c r="D82">
        <f t="shared" si="1"/>
        <v>1138</v>
      </c>
      <c r="E82">
        <f t="shared" si="2"/>
        <v>8.7873462214411244</v>
      </c>
      <c r="F82" s="3">
        <v>2.2700000000000001E-7</v>
      </c>
      <c r="G82">
        <f t="shared" si="3"/>
        <v>-15.298315819465008</v>
      </c>
      <c r="I82">
        <v>4</v>
      </c>
    </row>
    <row r="83" spans="1:9" x14ac:dyDescent="0.25">
      <c r="A83" s="6"/>
      <c r="B83">
        <v>820</v>
      </c>
      <c r="C83">
        <v>920</v>
      </c>
      <c r="D83">
        <f t="shared" si="1"/>
        <v>1093</v>
      </c>
      <c r="E83">
        <f t="shared" si="2"/>
        <v>9.149130832570906</v>
      </c>
      <c r="F83" s="3">
        <v>8.6200000000000004E-8</v>
      </c>
      <c r="G83">
        <f t="shared" si="3"/>
        <v>-16.266595659276764</v>
      </c>
      <c r="I83">
        <v>4</v>
      </c>
    </row>
    <row r="84" spans="1:9" x14ac:dyDescent="0.25">
      <c r="A84" s="5">
        <v>43713</v>
      </c>
      <c r="B84">
        <v>910</v>
      </c>
      <c r="C84">
        <v>1010</v>
      </c>
      <c r="D84">
        <f t="shared" si="1"/>
        <v>1183</v>
      </c>
      <c r="E84">
        <f t="shared" si="2"/>
        <v>8.4530853761622993</v>
      </c>
      <c r="F84" s="3">
        <v>5.6499999999999999E-7</v>
      </c>
      <c r="G84" s="3">
        <f t="shared" si="3"/>
        <v>-14.38644010579997</v>
      </c>
      <c r="I84">
        <v>4</v>
      </c>
    </row>
    <row r="85" spans="1:9" x14ac:dyDescent="0.25">
      <c r="A85" s="6"/>
      <c r="B85">
        <v>820</v>
      </c>
      <c r="C85">
        <v>920</v>
      </c>
      <c r="D85">
        <f t="shared" si="1"/>
        <v>1093</v>
      </c>
      <c r="E85">
        <f t="shared" si="2"/>
        <v>9.149130832570906</v>
      </c>
      <c r="F85" s="3">
        <v>8.65E-8</v>
      </c>
      <c r="G85">
        <f t="shared" si="3"/>
        <v>-16.263121423008577</v>
      </c>
      <c r="I85">
        <v>4</v>
      </c>
    </row>
    <row r="86" spans="1:9" x14ac:dyDescent="0.25">
      <c r="A86" s="5">
        <v>43719</v>
      </c>
      <c r="B86">
        <v>910</v>
      </c>
      <c r="C86">
        <v>1010</v>
      </c>
      <c r="D86">
        <f t="shared" si="1"/>
        <v>1183</v>
      </c>
      <c r="E86">
        <f t="shared" si="2"/>
        <v>8.4530853761622993</v>
      </c>
      <c r="F86" s="3">
        <v>5.6199999999999998E-7</v>
      </c>
      <c r="G86">
        <f t="shared" si="3"/>
        <v>-14.39176398705272</v>
      </c>
      <c r="H86">
        <v>0.82699999999999996</v>
      </c>
      <c r="I86">
        <v>4</v>
      </c>
    </row>
    <row r="87" spans="1:9" x14ac:dyDescent="0.25">
      <c r="A87" s="6"/>
      <c r="B87">
        <v>890</v>
      </c>
      <c r="C87">
        <v>990</v>
      </c>
      <c r="D87">
        <f t="shared" si="1"/>
        <v>1163</v>
      </c>
      <c r="E87">
        <f t="shared" si="2"/>
        <v>8.5984522785898534</v>
      </c>
      <c r="F87" s="3">
        <v>3.7300000000000002E-7</v>
      </c>
      <c r="G87">
        <f t="shared" si="3"/>
        <v>-14.801687417302595</v>
      </c>
      <c r="H87">
        <v>0.54400000000000004</v>
      </c>
      <c r="I87">
        <v>4</v>
      </c>
    </row>
    <row r="88" spans="1:9" x14ac:dyDescent="0.25">
      <c r="A88" s="5">
        <v>43739</v>
      </c>
      <c r="B88">
        <v>910</v>
      </c>
      <c r="C88">
        <v>1010</v>
      </c>
      <c r="D88">
        <f t="shared" si="1"/>
        <v>1183</v>
      </c>
      <c r="E88">
        <f t="shared" si="2"/>
        <v>8.4530853761622993</v>
      </c>
      <c r="F88" s="3">
        <v>5.68E-7</v>
      </c>
      <c r="G88">
        <f t="shared" si="3"/>
        <v>-14.38114441822526</v>
      </c>
      <c r="H88">
        <v>0.82</v>
      </c>
      <c r="I88">
        <v>4</v>
      </c>
    </row>
    <row r="89" spans="1:9" x14ac:dyDescent="0.25">
      <c r="A89" s="6"/>
      <c r="B89">
        <v>890</v>
      </c>
      <c r="C89">
        <v>990</v>
      </c>
      <c r="D89">
        <f t="shared" si="1"/>
        <v>1163</v>
      </c>
      <c r="E89">
        <f t="shared" si="2"/>
        <v>8.5984522785898534</v>
      </c>
      <c r="F89" s="3">
        <v>3.7300000000000002E-7</v>
      </c>
      <c r="G89">
        <f t="shared" si="3"/>
        <v>-14.801687417302595</v>
      </c>
      <c r="H89">
        <v>0.54</v>
      </c>
      <c r="I89">
        <v>4</v>
      </c>
    </row>
    <row r="90" spans="1:9" x14ac:dyDescent="0.25">
      <c r="B90">
        <v>875</v>
      </c>
      <c r="C90">
        <v>975</v>
      </c>
      <c r="D90">
        <f t="shared" si="1"/>
        <v>1148</v>
      </c>
      <c r="E90">
        <f t="shared" si="2"/>
        <v>8.7108013937282234</v>
      </c>
      <c r="F90" s="3">
        <v>2.7500000000000001E-7</v>
      </c>
      <c r="G90">
        <f t="shared" si="3"/>
        <v>-15.106494739279841</v>
      </c>
      <c r="H90">
        <v>0.4</v>
      </c>
      <c r="I90">
        <v>4</v>
      </c>
    </row>
    <row r="91" spans="1:9" x14ac:dyDescent="0.25">
      <c r="A91" s="52"/>
      <c r="B91" s="53"/>
      <c r="C91" s="53"/>
      <c r="D91" s="53"/>
      <c r="E91" s="54"/>
      <c r="F91" s="55"/>
      <c r="G91" s="56"/>
      <c r="H91" s="48"/>
      <c r="I91" s="48"/>
    </row>
    <row r="92" spans="1:9" x14ac:dyDescent="0.25">
      <c r="A92" s="57"/>
      <c r="B92" s="53"/>
      <c r="C92" s="53" t="s">
        <v>89</v>
      </c>
      <c r="D92" s="53"/>
      <c r="E92" s="54"/>
      <c r="F92" s="55"/>
      <c r="G92" s="56"/>
      <c r="H92" s="48"/>
      <c r="I92" s="48"/>
    </row>
    <row r="93" spans="1:9" x14ac:dyDescent="0.25">
      <c r="A93" s="67">
        <v>45139</v>
      </c>
      <c r="B93">
        <v>875</v>
      </c>
      <c r="C93">
        <v>1025</v>
      </c>
      <c r="D93">
        <f t="shared" si="1"/>
        <v>1148</v>
      </c>
      <c r="E93">
        <f t="shared" si="2"/>
        <v>8.7108013937282234</v>
      </c>
      <c r="F93" s="3">
        <v>3.4200000000000002E-7</v>
      </c>
      <c r="G93">
        <f t="shared" si="3"/>
        <v>-14.888455099883807</v>
      </c>
      <c r="H93">
        <v>0.47</v>
      </c>
    </row>
    <row r="94" spans="1:9" x14ac:dyDescent="0.25">
      <c r="A94" s="6"/>
      <c r="B94">
        <v>890</v>
      </c>
      <c r="C94">
        <v>1040</v>
      </c>
      <c r="D94">
        <f t="shared" si="1"/>
        <v>1163</v>
      </c>
      <c r="E94">
        <f t="shared" si="2"/>
        <v>8.5984522785898534</v>
      </c>
      <c r="F94" s="3">
        <v>4.63E-7</v>
      </c>
      <c r="G94">
        <f t="shared" si="3"/>
        <v>-14.585538782860176</v>
      </c>
      <c r="H94">
        <v>0.64</v>
      </c>
    </row>
    <row r="95" spans="1:9" x14ac:dyDescent="0.25">
      <c r="A95" s="6"/>
      <c r="B95">
        <v>915</v>
      </c>
      <c r="C95">
        <v>1065</v>
      </c>
      <c r="D95">
        <f t="shared" si="1"/>
        <v>1188</v>
      </c>
      <c r="E95">
        <f t="shared" si="2"/>
        <v>8.4175084175084169</v>
      </c>
      <c r="F95" s="3">
        <v>7.6300000000000004E-7</v>
      </c>
      <c r="G95">
        <f t="shared" si="3"/>
        <v>-14.086007805661954</v>
      </c>
      <c r="H95">
        <v>1.05</v>
      </c>
    </row>
    <row r="96" spans="1:9" x14ac:dyDescent="0.25">
      <c r="A96" s="67">
        <v>45145</v>
      </c>
      <c r="B96">
        <v>880</v>
      </c>
      <c r="C96">
        <v>1030</v>
      </c>
      <c r="D96">
        <f t="shared" si="1"/>
        <v>1153</v>
      </c>
      <c r="E96">
        <f t="shared" si="2"/>
        <v>8.6730268863833473</v>
      </c>
      <c r="F96" s="3">
        <v>3.53E-7</v>
      </c>
      <c r="G96">
        <f t="shared" si="3"/>
        <v>-14.856797780013114</v>
      </c>
    </row>
    <row r="97" spans="1:17" x14ac:dyDescent="0.25">
      <c r="A97" s="67">
        <v>45148</v>
      </c>
      <c r="B97">
        <v>880</v>
      </c>
      <c r="C97">
        <v>1030</v>
      </c>
      <c r="D97">
        <f t="shared" si="1"/>
        <v>1153</v>
      </c>
      <c r="E97">
        <f t="shared" si="2"/>
        <v>8.6730268863833473</v>
      </c>
      <c r="F97" s="3">
        <v>3.46E-7</v>
      </c>
      <c r="G97" s="3">
        <f t="shared" si="3"/>
        <v>-14.876827061888687</v>
      </c>
    </row>
    <row r="98" spans="1:17" x14ac:dyDescent="0.25">
      <c r="A98" s="67">
        <v>45150</v>
      </c>
      <c r="B98">
        <v>880</v>
      </c>
      <c r="C98">
        <v>1030</v>
      </c>
      <c r="D98">
        <f t="shared" si="1"/>
        <v>1153</v>
      </c>
      <c r="E98">
        <f t="shared" si="2"/>
        <v>8.6730268863833473</v>
      </c>
      <c r="F98" s="3">
        <v>3.53E-7</v>
      </c>
      <c r="G98">
        <f t="shared" si="3"/>
        <v>-14.856797780013114</v>
      </c>
    </row>
    <row r="99" spans="1:17" x14ac:dyDescent="0.25">
      <c r="A99" s="5">
        <v>45156</v>
      </c>
      <c r="B99">
        <v>880</v>
      </c>
      <c r="C99">
        <v>1030</v>
      </c>
      <c r="D99">
        <f t="shared" si="1"/>
        <v>1153</v>
      </c>
      <c r="E99">
        <f t="shared" si="2"/>
        <v>8.6730268863833473</v>
      </c>
      <c r="F99" s="3">
        <v>3.4999999999999998E-7</v>
      </c>
      <c r="G99">
        <f t="shared" si="3"/>
        <v>-14.865332682462952</v>
      </c>
      <c r="L99" t="s">
        <v>90</v>
      </c>
      <c r="M99">
        <v>880</v>
      </c>
      <c r="P99" t="s">
        <v>10</v>
      </c>
      <c r="Q99" s="3">
        <v>3.5699999999999998E-7</v>
      </c>
    </row>
    <row r="100" spans="1:17" x14ac:dyDescent="0.25">
      <c r="A100" s="5">
        <v>45163</v>
      </c>
      <c r="B100">
        <v>880</v>
      </c>
      <c r="C100">
        <v>1030</v>
      </c>
      <c r="D100">
        <f t="shared" si="1"/>
        <v>1153</v>
      </c>
      <c r="E100">
        <f t="shared" si="2"/>
        <v>8.6730268863833473</v>
      </c>
      <c r="F100" s="3">
        <v>3.4499999999999998E-7</v>
      </c>
      <c r="G100">
        <f t="shared" si="3"/>
        <v>-14.879721419915052</v>
      </c>
      <c r="L100" t="s">
        <v>10</v>
      </c>
      <c r="M100">
        <f>0.000000000000004208*EXP(0.020784*M99)</f>
        <v>3.6922156738974912E-7</v>
      </c>
      <c r="P100" t="s">
        <v>91</v>
      </c>
      <c r="Q100">
        <f>1380000*Q99+0.00103</f>
        <v>0.49368999999999996</v>
      </c>
    </row>
    <row r="101" spans="1:17" x14ac:dyDescent="0.25">
      <c r="A101" s="5">
        <v>45167</v>
      </c>
      <c r="B101">
        <v>880</v>
      </c>
      <c r="C101">
        <v>1030</v>
      </c>
      <c r="D101">
        <f t="shared" si="1"/>
        <v>1153</v>
      </c>
      <c r="E101">
        <f t="shared" si="2"/>
        <v>8.6730268863833473</v>
      </c>
      <c r="F101" s="3">
        <v>3.4900000000000001E-7</v>
      </c>
      <c r="G101">
        <f t="shared" si="3"/>
        <v>-14.868193914743983</v>
      </c>
    </row>
    <row r="102" spans="1:17" x14ac:dyDescent="0.25">
      <c r="A102" s="5">
        <v>45191</v>
      </c>
      <c r="B102">
        <v>880</v>
      </c>
      <c r="C102">
        <v>1030</v>
      </c>
      <c r="D102">
        <f t="shared" si="1"/>
        <v>1153</v>
      </c>
      <c r="E102">
        <f t="shared" si="2"/>
        <v>8.6730268863833473</v>
      </c>
      <c r="F102" s="3">
        <v>3.4700000000000002E-7</v>
      </c>
      <c r="G102">
        <f t="shared" si="3"/>
        <v>-14.873941056999552</v>
      </c>
    </row>
    <row r="103" spans="1:17" x14ac:dyDescent="0.25">
      <c r="A103" s="5">
        <v>45194</v>
      </c>
      <c r="B103">
        <v>880</v>
      </c>
      <c r="C103">
        <v>1030</v>
      </c>
      <c r="D103">
        <f t="shared" si="1"/>
        <v>1153</v>
      </c>
      <c r="E103">
        <f t="shared" si="2"/>
        <v>8.6730268863833473</v>
      </c>
      <c r="F103" s="3">
        <v>3.5699999999999998E-7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115" zoomScaleNormal="115" workbookViewId="0">
      <pane ySplit="1" topLeftCell="A48" activePane="bottomLeft" state="frozen"/>
      <selection pane="bottomLeft" activeCell="E61" sqref="E61"/>
    </sheetView>
  </sheetViews>
  <sheetFormatPr defaultRowHeight="15.75" x14ac:dyDescent="0.25"/>
  <cols>
    <col min="1" max="1" width="10.75" customWidth="1"/>
    <col min="3" max="3" width="11.625" customWidth="1"/>
    <col min="5" max="5" width="11.875" bestFit="1" customWidth="1"/>
    <col min="6" max="6" width="14.375" customWidth="1"/>
    <col min="8" max="8" width="10.375" bestFit="1" customWidth="1"/>
    <col min="9" max="9" width="11.5" customWidth="1"/>
    <col min="12" max="13" width="11.875" bestFit="1" customWidth="1"/>
  </cols>
  <sheetData>
    <row r="1" spans="1:14" x14ac:dyDescent="0.25">
      <c r="A1" t="s">
        <v>13</v>
      </c>
      <c r="B1" t="s">
        <v>24</v>
      </c>
      <c r="C1" t="s">
        <v>25</v>
      </c>
      <c r="D1" t="s">
        <v>4</v>
      </c>
      <c r="E1" t="s">
        <v>37</v>
      </c>
      <c r="F1" t="s">
        <v>7</v>
      </c>
      <c r="G1" t="s">
        <v>18</v>
      </c>
    </row>
    <row r="2" spans="1:14" x14ac:dyDescent="0.25">
      <c r="A2" s="6"/>
      <c r="F2" s="13"/>
    </row>
    <row r="3" spans="1:14" x14ac:dyDescent="0.25">
      <c r="A3" s="6">
        <v>43152</v>
      </c>
      <c r="B3">
        <v>280</v>
      </c>
      <c r="C3">
        <f>Table1[T Cell]+273</f>
        <v>553</v>
      </c>
      <c r="D3">
        <f>10000/Table1[Temp K]</f>
        <v>18.083182640144667</v>
      </c>
      <c r="E3" s="3">
        <v>3E-11</v>
      </c>
      <c r="F3" s="13">
        <f>LN(Table1[[#This Row],[Tl Flux]])</f>
        <v>-24.229823734266393</v>
      </c>
      <c r="G3" t="s">
        <v>39</v>
      </c>
    </row>
    <row r="4" spans="1:14" x14ac:dyDescent="0.25">
      <c r="A4" s="9"/>
      <c r="B4">
        <v>300</v>
      </c>
      <c r="C4">
        <f>Table1[T Cell]+273</f>
        <v>573</v>
      </c>
      <c r="D4">
        <f>10000/Table1[Temp K]</f>
        <v>17.452006980802793</v>
      </c>
      <c r="E4" s="3">
        <v>1.0700000000000001E-10</v>
      </c>
      <c r="F4" s="13">
        <f>LN(Table1[[#This Row],[Tl Flux]])</f>
        <v>-22.958192281466641</v>
      </c>
    </row>
    <row r="5" spans="1:14" x14ac:dyDescent="0.25">
      <c r="A5" s="9"/>
      <c r="B5">
        <v>350</v>
      </c>
      <c r="C5">
        <f>Table1[T Cell]+273</f>
        <v>623</v>
      </c>
      <c r="D5">
        <f>10000/Table1[Temp K]</f>
        <v>16.051364365971107</v>
      </c>
      <c r="E5" s="3">
        <v>2.5399999999999999E-9</v>
      </c>
      <c r="F5" s="13">
        <f>LN(Table1[[#This Row],[Tl Flux]])</f>
        <v>-19.791101755915967</v>
      </c>
      <c r="G5" t="s">
        <v>40</v>
      </c>
    </row>
    <row r="6" spans="1:14" x14ac:dyDescent="0.25">
      <c r="A6" s="9"/>
      <c r="B6">
        <v>375</v>
      </c>
      <c r="C6">
        <f>Table1[T Cell]+273</f>
        <v>648</v>
      </c>
      <c r="D6">
        <f>10000/Table1[Temp K]</f>
        <v>15.432098765432098</v>
      </c>
      <c r="E6" s="3">
        <v>8.6499999999999997E-9</v>
      </c>
      <c r="F6" s="13">
        <f>LN(Table1[[#This Row],[Tl Flux]])</f>
        <v>-18.565706516002624</v>
      </c>
    </row>
    <row r="7" spans="1:14" x14ac:dyDescent="0.25">
      <c r="A7" s="9"/>
      <c r="B7">
        <v>400</v>
      </c>
      <c r="C7">
        <f>Table1[T Cell]+273</f>
        <v>673</v>
      </c>
      <c r="D7">
        <f>10000/Table1[Temp K]</f>
        <v>14.858841010401189</v>
      </c>
      <c r="E7" s="3">
        <v>2.3099999999999998E-8</v>
      </c>
      <c r="F7" s="13">
        <f>LN(Table1[[#This Row],[Tl Flux]])</f>
        <v>-17.583433219418662</v>
      </c>
      <c r="K7" s="9" t="s">
        <v>45</v>
      </c>
    </row>
    <row r="8" spans="1:14" x14ac:dyDescent="0.25">
      <c r="A8" s="6"/>
      <c r="B8">
        <v>425</v>
      </c>
      <c r="C8">
        <f>Table1[T Cell]+273</f>
        <v>698</v>
      </c>
      <c r="D8">
        <f>10000/Table1[Temp K]</f>
        <v>14.326647564469914</v>
      </c>
      <c r="E8" s="3">
        <v>5.5000000000000003E-8</v>
      </c>
      <c r="F8" s="13">
        <f>LN(Table1[[#This Row],[Tl Flux]])</f>
        <v>-16.715932651713942</v>
      </c>
      <c r="K8" s="26" t="s">
        <v>46</v>
      </c>
      <c r="L8" s="26" t="s">
        <v>47</v>
      </c>
      <c r="M8" s="26" t="s">
        <v>48</v>
      </c>
      <c r="N8" s="26" t="s">
        <v>49</v>
      </c>
    </row>
    <row r="9" spans="1:14" x14ac:dyDescent="0.25">
      <c r="A9" s="9"/>
      <c r="B9">
        <v>500</v>
      </c>
      <c r="C9">
        <f>Table1[T Cell]+273</f>
        <v>773</v>
      </c>
      <c r="D9">
        <f>10000/Table1[Temp K]</f>
        <v>12.936610608020699</v>
      </c>
      <c r="E9" s="3">
        <v>1.7E-8</v>
      </c>
      <c r="F9" s="13">
        <f>LN(Table1[[#This Row],[Tl Flux]])</f>
        <v>-17.890052492890195</v>
      </c>
      <c r="G9" t="s">
        <v>38</v>
      </c>
      <c r="K9" s="27">
        <v>5.9999999999999999E-16</v>
      </c>
      <c r="L9" s="28">
        <v>3.4200000000000001E-2</v>
      </c>
      <c r="M9" s="29">
        <v>500</v>
      </c>
      <c r="N9" s="27">
        <f>$K9*EXP($L9*M9)</f>
        <v>1.6017210786445645E-8</v>
      </c>
    </row>
    <row r="10" spans="1:14" x14ac:dyDescent="0.25">
      <c r="A10" s="9"/>
      <c r="B10">
        <v>425</v>
      </c>
      <c r="C10">
        <f>Table1[T Cell]+273</f>
        <v>698</v>
      </c>
      <c r="D10">
        <f>10000/Table1[Temp K]</f>
        <v>14.326647564469914</v>
      </c>
      <c r="E10" s="3">
        <v>1.79E-9</v>
      </c>
      <c r="F10" s="13">
        <f>LN(Table1[[#This Row],[Tl Flux]])</f>
        <v>-20.141050217093749</v>
      </c>
      <c r="G10" t="s">
        <v>41</v>
      </c>
      <c r="K10" s="27">
        <v>5.9999999999999999E-16</v>
      </c>
      <c r="L10" s="28">
        <v>3.4200000000000001E-2</v>
      </c>
      <c r="M10" s="28">
        <v>515</v>
      </c>
      <c r="N10" s="27">
        <f>$K10*EXP($L10*M10)</f>
        <v>2.6753460200591361E-8</v>
      </c>
    </row>
    <row r="11" spans="1:14" x14ac:dyDescent="0.25">
      <c r="A11" s="6">
        <v>43195</v>
      </c>
      <c r="B11">
        <v>375</v>
      </c>
      <c r="C11">
        <f>Table1[T Cell]+273</f>
        <v>648</v>
      </c>
      <c r="D11">
        <f>10000/Table1[Temp K]</f>
        <v>15.432098765432098</v>
      </c>
      <c r="E11" s="3">
        <v>1.8899999999999999E-10</v>
      </c>
      <c r="F11" s="13">
        <f>LN(Table1[[#This Row],[Tl Flux]])</f>
        <v>-22.389274100868906</v>
      </c>
    </row>
    <row r="12" spans="1:14" x14ac:dyDescent="0.25">
      <c r="A12" s="9"/>
      <c r="B12">
        <v>425</v>
      </c>
      <c r="C12">
        <f>Table1[T Cell]+273</f>
        <v>698</v>
      </c>
      <c r="D12">
        <f>10000/Table1[Temp K]</f>
        <v>14.326647564469914</v>
      </c>
      <c r="E12" s="3">
        <v>1.37E-9</v>
      </c>
      <c r="F12" s="13">
        <f>LN(Table1[[#This Row],[Tl Flux]])</f>
        <v>-20.408455097106376</v>
      </c>
    </row>
    <row r="13" spans="1:14" x14ac:dyDescent="0.25">
      <c r="A13" s="9"/>
      <c r="B13">
        <v>475</v>
      </c>
      <c r="C13">
        <f>Table1[T Cell]+273</f>
        <v>748</v>
      </c>
      <c r="D13">
        <f>10000/Table1[Temp K]</f>
        <v>13.368983957219251</v>
      </c>
      <c r="E13" s="3">
        <v>5.69E-9</v>
      </c>
      <c r="F13" s="13">
        <f>LN(Table1[[#This Row],[Tl Flux]])</f>
        <v>-18.984555588808171</v>
      </c>
    </row>
    <row r="14" spans="1:14" x14ac:dyDescent="0.25">
      <c r="A14" s="9"/>
      <c r="B14">
        <v>500</v>
      </c>
      <c r="C14">
        <f>Table1[T Cell]+273</f>
        <v>773</v>
      </c>
      <c r="D14">
        <f>10000/Table1[Temp K]</f>
        <v>12.936610608020699</v>
      </c>
      <c r="E14" s="3">
        <v>1.4999999999999999E-8</v>
      </c>
      <c r="F14" s="13">
        <f>LN(Table1[[#This Row],[Tl Flux]])</f>
        <v>-18.0152156358442</v>
      </c>
    </row>
    <row r="15" spans="1:14" x14ac:dyDescent="0.25">
      <c r="A15" s="6">
        <v>43200</v>
      </c>
      <c r="B15">
        <v>500</v>
      </c>
      <c r="C15">
        <f>Table1[T Cell]+273</f>
        <v>773</v>
      </c>
      <c r="D15">
        <f>10000/Table1[Temp K]</f>
        <v>12.936610608020699</v>
      </c>
      <c r="E15" s="3">
        <v>1.7900000000000001E-8</v>
      </c>
      <c r="F15" s="13">
        <f>LN(Table1[[#This Row],[Tl Flux]])</f>
        <v>-17.838465124099702</v>
      </c>
    </row>
    <row r="16" spans="1:14" x14ac:dyDescent="0.25">
      <c r="A16" s="9"/>
      <c r="B16">
        <v>490</v>
      </c>
      <c r="C16">
        <f>Table1[T Cell]+273</f>
        <v>763</v>
      </c>
      <c r="D16">
        <f>10000/Table1[Temp K]</f>
        <v>13.106159895150721</v>
      </c>
      <c r="E16" s="3">
        <v>1.24E-8</v>
      </c>
      <c r="F16" s="13">
        <f>LN(Table1[[#This Row],[Tl Flux]])</f>
        <v>-18.205569364335421</v>
      </c>
    </row>
    <row r="17" spans="1:6" x14ac:dyDescent="0.25">
      <c r="A17" s="6">
        <v>43221</v>
      </c>
      <c r="B17">
        <v>500</v>
      </c>
      <c r="C17">
        <f>Table1[T Cell]+273</f>
        <v>773</v>
      </c>
      <c r="D17">
        <f>10000/Table1[Temp K]</f>
        <v>12.936610608020699</v>
      </c>
      <c r="E17" s="3">
        <v>1.77E-8</v>
      </c>
      <c r="F17" s="13">
        <f>LN(Table1[[#This Row],[Tl Flux]])</f>
        <v>-17.849701197366628</v>
      </c>
    </row>
    <row r="18" spans="1:6" x14ac:dyDescent="0.25">
      <c r="A18" s="9"/>
      <c r="B18">
        <v>490</v>
      </c>
      <c r="C18">
        <f>Table1[T Cell]+273</f>
        <v>763</v>
      </c>
      <c r="D18">
        <f>10000/Table1[Temp K]</f>
        <v>13.106159895150721</v>
      </c>
      <c r="E18" s="3">
        <v>1.26E-8</v>
      </c>
      <c r="F18" s="13">
        <f>LN(Table1[[#This Row],[Tl Flux]])</f>
        <v>-18.18956902298898</v>
      </c>
    </row>
    <row r="19" spans="1:6" x14ac:dyDescent="0.25">
      <c r="A19" s="6">
        <v>43224</v>
      </c>
      <c r="B19">
        <v>500</v>
      </c>
      <c r="C19">
        <f>Table1[T Cell]+273</f>
        <v>773</v>
      </c>
      <c r="D19">
        <f>10000/Table1[Temp K]</f>
        <v>12.936610608020699</v>
      </c>
      <c r="E19" s="3">
        <v>1.81E-8</v>
      </c>
      <c r="F19" s="13">
        <f>LN(Table1[[#This Row],[Tl Flux]])</f>
        <v>-17.82735389867463</v>
      </c>
    </row>
    <row r="20" spans="1:6" x14ac:dyDescent="0.25">
      <c r="A20" s="6"/>
      <c r="B20">
        <v>515</v>
      </c>
      <c r="C20">
        <f>Table1[T Cell]+273</f>
        <v>788</v>
      </c>
      <c r="D20">
        <f>10000/Table1[Temp K]</f>
        <v>12.690355329949238</v>
      </c>
      <c r="E20" s="3">
        <v>3.0199999999999999E-8</v>
      </c>
      <c r="F20" s="13">
        <f>LN(Table1[[#This Row],[Tl Flux]])</f>
        <v>-17.315423912565588</v>
      </c>
    </row>
    <row r="21" spans="1:6" x14ac:dyDescent="0.25">
      <c r="A21" s="9"/>
      <c r="B21">
        <v>525</v>
      </c>
      <c r="C21">
        <f>Table1[T Cell]+273</f>
        <v>798</v>
      </c>
      <c r="D21">
        <f>10000/Table1[Temp K]</f>
        <v>12.531328320802006</v>
      </c>
      <c r="E21" s="3">
        <v>4.2799999999999999E-8</v>
      </c>
      <c r="F21" s="13">
        <f>LN(Table1[[#This Row],[Tl Flux]])</f>
        <v>-16.96672773435866</v>
      </c>
    </row>
    <row r="22" spans="1:6" x14ac:dyDescent="0.25">
      <c r="A22" s="6">
        <v>43276</v>
      </c>
      <c r="B22">
        <v>500</v>
      </c>
      <c r="C22">
        <f>Table1[T Cell]+273</f>
        <v>773</v>
      </c>
      <c r="D22">
        <f>10000/Table1[Temp K]</f>
        <v>12.936610608020699</v>
      </c>
      <c r="E22" s="3">
        <v>1.85E-8</v>
      </c>
      <c r="F22" s="13">
        <f>LN(Table1[[#This Row],[Tl Flux]])</f>
        <v>-17.805495104862132</v>
      </c>
    </row>
    <row r="23" spans="1:6" x14ac:dyDescent="0.25">
      <c r="A23" s="9"/>
      <c r="B23">
        <v>525</v>
      </c>
      <c r="C23">
        <f>Table1[T Cell]+273</f>
        <v>798</v>
      </c>
      <c r="D23">
        <f>10000/Table1[Temp K]</f>
        <v>12.531328320802006</v>
      </c>
      <c r="E23" s="3">
        <v>4.2599999999999998E-8</v>
      </c>
      <c r="F23" s="13">
        <f>LN(Table1[[#This Row],[Tl Flux]])</f>
        <v>-16.971411583671088</v>
      </c>
    </row>
    <row r="24" spans="1:6" x14ac:dyDescent="0.25">
      <c r="A24" s="6"/>
      <c r="B24">
        <v>540</v>
      </c>
      <c r="C24">
        <f>Table1[T Cell]+273</f>
        <v>813</v>
      </c>
      <c r="D24">
        <f>10000/Table1[Temp K]</f>
        <v>12.300123001230013</v>
      </c>
      <c r="E24" s="3">
        <v>6.87E-8</v>
      </c>
      <c r="F24" s="13">
        <f>LN(Table1[[#This Row],[Tl Flux]])</f>
        <v>-16.493516637718109</v>
      </c>
    </row>
    <row r="25" spans="1:6" x14ac:dyDescent="0.25">
      <c r="A25" s="6">
        <v>43304</v>
      </c>
      <c r="B25">
        <v>515</v>
      </c>
      <c r="C25">
        <f>Table1[T Cell]+273</f>
        <v>788</v>
      </c>
      <c r="D25">
        <f>10000/Table1[Temp K]</f>
        <v>12.690355329949238</v>
      </c>
      <c r="E25" s="3">
        <v>2.6000000000000001E-8</v>
      </c>
      <c r="F25" s="13">
        <f>LN(Table1[[#This Row],[Tl Flux]])</f>
        <v>-17.465169298924931</v>
      </c>
    </row>
    <row r="26" spans="1:6" x14ac:dyDescent="0.25">
      <c r="A26" s="9"/>
      <c r="B26">
        <v>520</v>
      </c>
      <c r="C26">
        <f>Table1[T Cell]+273</f>
        <v>793</v>
      </c>
      <c r="D26">
        <f>10000/Table1[Temp K]</f>
        <v>12.610340479192939</v>
      </c>
      <c r="E26" s="3">
        <v>3.0750000000000001E-8</v>
      </c>
      <c r="F26" s="13">
        <f>LN(Table1[[#This Row],[Tl Flux]])</f>
        <v>-17.297375842693885</v>
      </c>
    </row>
    <row r="27" spans="1:6" x14ac:dyDescent="0.25">
      <c r="A27" s="6"/>
      <c r="B27">
        <v>530</v>
      </c>
      <c r="C27">
        <f>Table1[T Cell]+273</f>
        <v>803</v>
      </c>
      <c r="D27">
        <f>10000/Table1[Temp K]</f>
        <v>12.453300124533001</v>
      </c>
      <c r="E27" s="3">
        <v>4.3200000000000003E-8</v>
      </c>
      <c r="F27" s="13">
        <f>LN(Table1[[#This Row],[Tl Flux]])</f>
        <v>-16.957425341696347</v>
      </c>
    </row>
    <row r="28" spans="1:6" x14ac:dyDescent="0.25">
      <c r="A28" s="6">
        <v>43353</v>
      </c>
      <c r="B28">
        <v>520</v>
      </c>
      <c r="C28">
        <f>Table1[T Cell]+273</f>
        <v>793</v>
      </c>
      <c r="D28">
        <f>10000/Table1[Temp K]</f>
        <v>12.610340479192939</v>
      </c>
      <c r="E28" s="3">
        <v>3.0799999999999998E-8</v>
      </c>
      <c r="F28" s="13">
        <f>LN(Table1[[#This Row],[Tl Flux]])</f>
        <v>-17.295751146966882</v>
      </c>
    </row>
    <row r="29" spans="1:6" x14ac:dyDescent="0.25">
      <c r="A29" s="9"/>
      <c r="B29">
        <v>530</v>
      </c>
      <c r="C29">
        <f>Table1[T Cell]+273</f>
        <v>803</v>
      </c>
      <c r="D29">
        <f>10000/Table1[Temp K]</f>
        <v>12.453300124533001</v>
      </c>
      <c r="E29" s="3">
        <v>4.2400000000000002E-8</v>
      </c>
      <c r="F29" s="13">
        <f>LN(Table1[[#This Row],[Tl Flux]])</f>
        <v>-16.976117474708499</v>
      </c>
    </row>
    <row r="30" spans="1:6" x14ac:dyDescent="0.25">
      <c r="A30" s="6">
        <v>43362</v>
      </c>
      <c r="B30">
        <v>530</v>
      </c>
      <c r="C30">
        <f>Table1[T Cell]+273</f>
        <v>803</v>
      </c>
      <c r="D30">
        <f>10000/Table1[Temp K]</f>
        <v>12.453300124533001</v>
      </c>
      <c r="E30" s="3">
        <v>4.1500000000000001E-8</v>
      </c>
      <c r="F30" s="13">
        <f>LN(Table1[[#This Row],[Tl Flux]])</f>
        <v>-16.997572409709758</v>
      </c>
    </row>
    <row r="31" spans="1:6" x14ac:dyDescent="0.25">
      <c r="A31" s="6"/>
      <c r="B31">
        <v>540</v>
      </c>
      <c r="C31">
        <f>Table1[T Cell]+273</f>
        <v>813</v>
      </c>
      <c r="D31">
        <f>10000/Table1[Temp K]</f>
        <v>12.300123001230013</v>
      </c>
      <c r="E31" s="3">
        <v>5.7800000000000001E-8</v>
      </c>
      <c r="F31" s="13">
        <f>LN(Table1[[#This Row],[Tl Flux]])</f>
        <v>-16.66627706126808</v>
      </c>
    </row>
    <row r="32" spans="1:6" x14ac:dyDescent="0.25">
      <c r="A32" s="6"/>
      <c r="B32">
        <v>550</v>
      </c>
      <c r="C32">
        <f>Table1[T Cell]+273</f>
        <v>823</v>
      </c>
      <c r="D32">
        <f>10000/Table1[Temp K]</f>
        <v>12.150668286755771</v>
      </c>
      <c r="E32" s="3">
        <v>7.7900000000000003E-8</v>
      </c>
      <c r="F32" s="13">
        <f>LN(Table1[[#This Row],[Tl Flux]])</f>
        <v>-16.36783988406971</v>
      </c>
    </row>
    <row r="33" spans="1:7" x14ac:dyDescent="0.25">
      <c r="A33" s="6">
        <v>43363</v>
      </c>
      <c r="B33">
        <v>520</v>
      </c>
      <c r="C33">
        <f>Table1[T Cell]+273</f>
        <v>793</v>
      </c>
      <c r="D33">
        <f>10000/Table1[Temp K]</f>
        <v>12.610340479192939</v>
      </c>
      <c r="E33" s="3">
        <v>3.0400000000000001E-8</v>
      </c>
      <c r="F33" s="13">
        <f>LN(Table1[[#This Row],[Tl Flux]])</f>
        <v>-17.308823228534234</v>
      </c>
    </row>
    <row r="34" spans="1:7" x14ac:dyDescent="0.25">
      <c r="A34" s="6">
        <v>43493</v>
      </c>
      <c r="B34">
        <v>530</v>
      </c>
      <c r="C34">
        <f>Table1[T Cell]+273</f>
        <v>803</v>
      </c>
      <c r="D34">
        <f>10000/Table1[Temp K]</f>
        <v>12.453300124533001</v>
      </c>
      <c r="E34" s="3">
        <v>4.0200000000000003E-8</v>
      </c>
      <c r="F34" s="13">
        <f>LN(Table1[[#This Row],[Tl Flux]])</f>
        <v>-17.029398841321434</v>
      </c>
      <c r="G34" t="s">
        <v>63</v>
      </c>
    </row>
    <row r="35" spans="1:7" x14ac:dyDescent="0.25">
      <c r="A35" s="9"/>
      <c r="B35">
        <v>510</v>
      </c>
      <c r="C35">
        <f>Table1[T Cell]+273</f>
        <v>783</v>
      </c>
      <c r="D35">
        <f>10000/Table1[Temp K]</f>
        <v>12.771392081736909</v>
      </c>
      <c r="E35" s="3">
        <v>2.0500000000000002E-8</v>
      </c>
      <c r="F35" s="13">
        <f>LN(Table1[[#This Row],[Tl Flux]])</f>
        <v>-17.702840950802049</v>
      </c>
    </row>
    <row r="36" spans="1:7" x14ac:dyDescent="0.25">
      <c r="A36" s="6">
        <v>43517</v>
      </c>
      <c r="B36">
        <v>530</v>
      </c>
      <c r="C36">
        <f>Table1[T Cell]+273</f>
        <v>803</v>
      </c>
      <c r="D36">
        <f>10000/Table1[Temp K]</f>
        <v>12.453300124533001</v>
      </c>
      <c r="E36" s="3">
        <v>4.0800000000000001E-8</v>
      </c>
      <c r="F36" s="13">
        <f>LN(Table1[[#This Row],[Tl Flux]])</f>
        <v>-17.014583755536297</v>
      </c>
    </row>
    <row r="37" spans="1:7" x14ac:dyDescent="0.25">
      <c r="A37" s="9"/>
      <c r="B37">
        <v>540</v>
      </c>
      <c r="C37">
        <f>Table1[T Cell]+273</f>
        <v>813</v>
      </c>
      <c r="D37">
        <f>10000/Table1[Temp K]</f>
        <v>12.300123001230013</v>
      </c>
      <c r="E37" s="3">
        <v>5.5500000000000001E-8</v>
      </c>
      <c r="F37" s="13">
        <f>LN(Table1[[#This Row],[Tl Flux]])</f>
        <v>-16.706882816194021</v>
      </c>
    </row>
    <row r="38" spans="1:7" x14ac:dyDescent="0.25">
      <c r="A38" s="6">
        <v>43633</v>
      </c>
      <c r="B38">
        <v>510</v>
      </c>
      <c r="C38">
        <f>Table1[T Cell]+273</f>
        <v>783</v>
      </c>
      <c r="D38">
        <f>10000/Table1[Temp K]</f>
        <v>12.771392081736909</v>
      </c>
      <c r="E38" s="3">
        <v>2.0800000000000001E-8</v>
      </c>
      <c r="F38" s="13">
        <f>LN(Table1[[#This Row],[Tl Flux]])</f>
        <v>-17.688312850239139</v>
      </c>
      <c r="G38" t="s">
        <v>63</v>
      </c>
    </row>
    <row r="39" spans="1:7" x14ac:dyDescent="0.25">
      <c r="A39" s="6"/>
      <c r="B39">
        <v>530</v>
      </c>
      <c r="C39">
        <f>Table1[T Cell]+273</f>
        <v>803</v>
      </c>
      <c r="D39">
        <f>10000/Table1[Temp K]</f>
        <v>12.453300124533001</v>
      </c>
      <c r="E39" s="3">
        <v>4.0299999999999997E-8</v>
      </c>
      <c r="F39" s="13">
        <f>LN(Table1[[#This Row],[Tl Flux]])</f>
        <v>-17.026914367993776</v>
      </c>
    </row>
    <row r="40" spans="1:7" x14ac:dyDescent="0.25">
      <c r="A40" s="6">
        <v>43640</v>
      </c>
      <c r="B40">
        <v>530</v>
      </c>
      <c r="C40">
        <f>Table1[T Cell]+273</f>
        <v>803</v>
      </c>
      <c r="D40">
        <f>10000/Table1[Temp K]</f>
        <v>12.453300124533001</v>
      </c>
      <c r="E40" s="3">
        <v>4.0200000000000003E-8</v>
      </c>
      <c r="F40" s="13">
        <f>LN(Table1[[#This Row],[Tl Flux]])</f>
        <v>-17.029398841321434</v>
      </c>
    </row>
    <row r="41" spans="1:7" x14ac:dyDescent="0.25">
      <c r="A41" s="9"/>
      <c r="B41">
        <v>500</v>
      </c>
      <c r="C41">
        <f>Table1[T Cell]+273</f>
        <v>773</v>
      </c>
      <c r="D41">
        <f>10000/Table1[Temp K]</f>
        <v>12.936610608020699</v>
      </c>
      <c r="E41" s="3">
        <v>1.4899999999999999E-8</v>
      </c>
      <c r="F41" s="13">
        <f>LN(Table1[[#This Row],[Tl Flux]])</f>
        <v>-18.021904623994999</v>
      </c>
    </row>
    <row r="42" spans="1:7" x14ac:dyDescent="0.25">
      <c r="A42" s="6">
        <v>43719</v>
      </c>
      <c r="B42">
        <v>530</v>
      </c>
      <c r="C42">
        <f>Table1[T Cell]+273</f>
        <v>803</v>
      </c>
      <c r="D42">
        <f>10000/Table1[Temp K]</f>
        <v>12.453300124533001</v>
      </c>
      <c r="E42" s="3">
        <v>3.9599999999999997E-8</v>
      </c>
      <c r="F42" s="13">
        <f>LN(Table1[[#This Row],[Tl Flux]])</f>
        <v>-17.044436718685976</v>
      </c>
    </row>
    <row r="43" spans="1:7" x14ac:dyDescent="0.25">
      <c r="A43" s="6"/>
      <c r="B43">
        <v>500</v>
      </c>
      <c r="C43">
        <f>Table1[T Cell]+273</f>
        <v>773</v>
      </c>
      <c r="D43">
        <f>10000/Table1[Temp K]</f>
        <v>12.936610608020699</v>
      </c>
      <c r="E43" s="3">
        <v>1.48E-8</v>
      </c>
      <c r="F43" s="13">
        <f>LN(Table1[[#This Row],[Tl Flux]])</f>
        <v>-18.028638656176341</v>
      </c>
    </row>
    <row r="44" spans="1:7" x14ac:dyDescent="0.25">
      <c r="A44" s="6">
        <v>43739</v>
      </c>
      <c r="B44">
        <v>500</v>
      </c>
      <c r="C44">
        <f>Table1[T Cell]+273</f>
        <v>773</v>
      </c>
      <c r="D44">
        <f>10000/Table1[Temp K]</f>
        <v>12.936610608020699</v>
      </c>
      <c r="E44" s="3">
        <v>1.4999999999999999E-8</v>
      </c>
      <c r="F44" s="13">
        <f>LN(Table1[[#This Row],[Tl Flux]])</f>
        <v>-18.0152156358442</v>
      </c>
    </row>
    <row r="45" spans="1:7" x14ac:dyDescent="0.25">
      <c r="A45" s="6"/>
      <c r="B45">
        <v>510</v>
      </c>
      <c r="C45">
        <f>Table1[T Cell]+273</f>
        <v>783</v>
      </c>
      <c r="D45">
        <f>10000/Table1[Temp K]</f>
        <v>12.771392081736909</v>
      </c>
      <c r="E45" s="3">
        <v>1.77E-8</v>
      </c>
      <c r="F45" s="13">
        <f>LN(Table1[[#This Row],[Tl Flux]])</f>
        <v>-17.849701197366628</v>
      </c>
    </row>
    <row r="46" spans="1:7" x14ac:dyDescent="0.25">
      <c r="A46" s="47"/>
      <c r="B46" s="48"/>
      <c r="C46" s="48"/>
      <c r="D46" s="48"/>
      <c r="E46" s="49"/>
      <c r="F46" s="50"/>
      <c r="G46" s="48"/>
    </row>
    <row r="47" spans="1:7" x14ac:dyDescent="0.25">
      <c r="A47" s="51"/>
      <c r="B47" s="48"/>
      <c r="C47" s="48" t="s">
        <v>89</v>
      </c>
      <c r="D47" s="48"/>
      <c r="E47" s="49"/>
      <c r="F47" s="50"/>
      <c r="G47" s="48"/>
    </row>
    <row r="48" spans="1:7" x14ac:dyDescent="0.25">
      <c r="A48" s="6">
        <v>45139</v>
      </c>
      <c r="B48">
        <v>550</v>
      </c>
      <c r="C48">
        <f>Table1[T Cell]+273</f>
        <v>823</v>
      </c>
      <c r="D48">
        <f>10000/Table1[Temp K]</f>
        <v>12.150668286755771</v>
      </c>
      <c r="E48" s="3">
        <v>7.5800000000000004E-8</v>
      </c>
      <c r="F48" s="13">
        <f>LN(Table1[[#This Row],[Tl Flux]])</f>
        <v>-16.395167544298086</v>
      </c>
    </row>
    <row r="49" spans="1:13" x14ac:dyDescent="0.25">
      <c r="A49" s="6"/>
      <c r="B49">
        <v>525</v>
      </c>
      <c r="C49">
        <f>Table1[T Cell]+273</f>
        <v>798</v>
      </c>
      <c r="D49">
        <f>10000/Table1[Temp K]</f>
        <v>12.531328320802006</v>
      </c>
      <c r="E49" s="3">
        <v>3.4300000000000003E-8</v>
      </c>
      <c r="F49" s="13">
        <f>LN(Table1[[#This Row],[Tl Flux]])</f>
        <v>-17.188120482774515</v>
      </c>
      <c r="G49" s="3"/>
      <c r="H49" s="3"/>
      <c r="I49" s="3"/>
    </row>
    <row r="50" spans="1:13" x14ac:dyDescent="0.25">
      <c r="A50" s="6"/>
      <c r="B50">
        <v>500</v>
      </c>
      <c r="C50">
        <f>Table1[T Cell]+273</f>
        <v>773</v>
      </c>
      <c r="D50">
        <f>10000/Table1[Temp K]</f>
        <v>12.936610608020699</v>
      </c>
      <c r="E50" s="3">
        <v>1.4699999999999999E-8</v>
      </c>
      <c r="F50" s="13">
        <f>LN(Table1[[#This Row],[Tl Flux]])</f>
        <v>-18.035418343161719</v>
      </c>
    </row>
    <row r="51" spans="1:13" x14ac:dyDescent="0.25">
      <c r="A51" s="6">
        <v>45145</v>
      </c>
      <c r="B51">
        <v>490</v>
      </c>
      <c r="C51">
        <f>Table1[T Cell]+273</f>
        <v>763</v>
      </c>
      <c r="D51">
        <f>10000/Table1[Temp K]</f>
        <v>13.106159895150721</v>
      </c>
      <c r="E51" s="3">
        <v>1.04E-8</v>
      </c>
      <c r="F51" s="13">
        <f>LN(Table1[[#This Row],[Tl Flux]])</f>
        <v>-18.381460030799083</v>
      </c>
      <c r="I51" s="3"/>
    </row>
    <row r="52" spans="1:13" x14ac:dyDescent="0.25">
      <c r="A52" s="9"/>
      <c r="B52">
        <v>510</v>
      </c>
      <c r="C52">
        <f>Table1[T Cell]+273</f>
        <v>783</v>
      </c>
      <c r="D52">
        <f>10000/Table1[Temp K]</f>
        <v>12.771392081736909</v>
      </c>
      <c r="E52" s="3">
        <v>2.0599999999999999E-8</v>
      </c>
      <c r="F52" s="13">
        <f>LN(Table1[[#This Row],[Tl Flux]])</f>
        <v>-17.697974761150874</v>
      </c>
    </row>
    <row r="53" spans="1:13" x14ac:dyDescent="0.25">
      <c r="A53" s="6">
        <v>45148</v>
      </c>
      <c r="B53">
        <v>490</v>
      </c>
      <c r="C53">
        <f>Table1[T Cell]+273</f>
        <v>763</v>
      </c>
      <c r="D53">
        <f>10000/Table1[Temp K]</f>
        <v>13.106159895150721</v>
      </c>
      <c r="E53" s="3">
        <v>1.04E-8</v>
      </c>
      <c r="F53" s="13">
        <f>LN(Table1[[#This Row],[Tl Flux]])</f>
        <v>-18.381460030799083</v>
      </c>
    </row>
    <row r="54" spans="1:13" x14ac:dyDescent="0.25">
      <c r="A54" s="6">
        <v>45150</v>
      </c>
      <c r="B54">
        <v>505</v>
      </c>
      <c r="C54">
        <f>Table1[T Cell]+273</f>
        <v>778</v>
      </c>
      <c r="D54">
        <f>10000/Table1[Temp K]</f>
        <v>12.853470437017995</v>
      </c>
      <c r="E54" s="3">
        <v>1.7500000000000001E-8</v>
      </c>
      <c r="F54" s="13">
        <f>LN(Table1[[#This Row],[Tl Flux]])</f>
        <v>-17.861064956016943</v>
      </c>
    </row>
    <row r="55" spans="1:13" x14ac:dyDescent="0.25">
      <c r="A55" s="9"/>
      <c r="B55">
        <v>480</v>
      </c>
      <c r="C55">
        <f>Table1[T Cell]+273</f>
        <v>753</v>
      </c>
      <c r="D55">
        <f>10000/Table1[Temp K]</f>
        <v>13.280212483399735</v>
      </c>
      <c r="E55" s="3">
        <v>7.2500000000000004E-9</v>
      </c>
      <c r="F55" s="13">
        <f>LN(Table1[[#This Row],[Tl Flux]])</f>
        <v>-18.742264368079827</v>
      </c>
    </row>
    <row r="56" spans="1:13" x14ac:dyDescent="0.25">
      <c r="A56" s="6">
        <v>45156</v>
      </c>
      <c r="B56">
        <v>462</v>
      </c>
      <c r="C56">
        <f>Table1[T Cell]+273</f>
        <v>735</v>
      </c>
      <c r="D56">
        <f>10000/Table1[Temp K]</f>
        <v>13.605442176870747</v>
      </c>
      <c r="E56" s="3">
        <v>3.8199999999999996E-9</v>
      </c>
      <c r="F56" s="13">
        <f>LN(Table1[[#This Row],[Tl Flux]])</f>
        <v>-19.383015414327929</v>
      </c>
      <c r="L56" t="s">
        <v>90</v>
      </c>
      <c r="M56">
        <v>462</v>
      </c>
    </row>
    <row r="57" spans="1:13" x14ac:dyDescent="0.25">
      <c r="A57" s="9"/>
      <c r="B57">
        <v>480</v>
      </c>
      <c r="C57">
        <f>Table1[T Cell]+273</f>
        <v>753</v>
      </c>
      <c r="D57">
        <f>10000/Table1[Temp K]</f>
        <v>13.280212483399735</v>
      </c>
      <c r="E57" s="3">
        <v>7.3499999999999996E-9</v>
      </c>
      <c r="F57" s="13">
        <f>LN(Table1[[#This Row],[Tl Flux]])</f>
        <v>-18.728565523721667</v>
      </c>
      <c r="L57" t="s">
        <v>97</v>
      </c>
      <c r="M57" s="3">
        <v>5.4254000000000004E-16</v>
      </c>
    </row>
    <row r="58" spans="1:13" x14ac:dyDescent="0.25">
      <c r="A58" s="6">
        <v>45163</v>
      </c>
      <c r="B58">
        <v>462</v>
      </c>
      <c r="C58">
        <f>Table1[T Cell]+273</f>
        <v>735</v>
      </c>
      <c r="D58">
        <f>10000/Table1[Temp K]</f>
        <v>13.605442176870747</v>
      </c>
      <c r="E58" s="3">
        <v>3.7799999999999998E-9</v>
      </c>
      <c r="F58" s="13">
        <f>LN(Table1[[#This Row],[Tl Flux]])</f>
        <v>-19.393541827314916</v>
      </c>
      <c r="L58" t="s">
        <v>98</v>
      </c>
      <c r="M58" s="3">
        <v>3.4190999999999999E-2</v>
      </c>
    </row>
    <row r="59" spans="1:13" x14ac:dyDescent="0.25">
      <c r="A59" s="6"/>
      <c r="B59">
        <v>480</v>
      </c>
      <c r="C59">
        <f>Table1[T Cell]+273</f>
        <v>753</v>
      </c>
      <c r="D59">
        <f>10000/Table1[Temp K]</f>
        <v>13.280212483399735</v>
      </c>
      <c r="E59" s="3">
        <v>7.3600000000000002E-9</v>
      </c>
      <c r="F59" s="13">
        <f>LN(Table1[[#This Row],[Tl Flux]])</f>
        <v>-18.727205904205626</v>
      </c>
      <c r="L59" t="s">
        <v>10</v>
      </c>
      <c r="M59" s="3">
        <f>M57*EXP(M58*M56)</f>
        <v>3.9323530158016677E-9</v>
      </c>
    </row>
    <row r="60" spans="1:13" x14ac:dyDescent="0.25">
      <c r="A60" s="6">
        <v>45191</v>
      </c>
      <c r="B60">
        <v>500</v>
      </c>
      <c r="C60">
        <f>Table1[T Cell]+273</f>
        <v>773</v>
      </c>
      <c r="D60">
        <f>10000/Table1[Temp K]</f>
        <v>12.936610608020699</v>
      </c>
      <c r="E60" s="3">
        <v>1.48E-8</v>
      </c>
      <c r="F60" s="13">
        <f>LN(Table1[[#This Row],[Tl Flux]])</f>
        <v>-18.028638656176341</v>
      </c>
    </row>
    <row r="61" spans="1:13" x14ac:dyDescent="0.25">
      <c r="A61" s="6">
        <v>45195</v>
      </c>
      <c r="B61">
        <v>510</v>
      </c>
      <c r="C61">
        <f>Table1[T Cell]+273</f>
        <v>783</v>
      </c>
      <c r="D61">
        <f>10000/Table1[Temp K]</f>
        <v>12.771392081736909</v>
      </c>
      <c r="E61" s="3">
        <v>2.0999999999999999E-8</v>
      </c>
      <c r="F61" s="13">
        <f>LN(Table1[[#This Row],[Tl Flux]])</f>
        <v>-17.678743399222988</v>
      </c>
    </row>
    <row r="62" spans="1:13" x14ac:dyDescent="0.25">
      <c r="A62" s="6"/>
      <c r="B62">
        <v>505</v>
      </c>
      <c r="C62">
        <f>Table1[T Cell]+273</f>
        <v>778</v>
      </c>
      <c r="D62">
        <f>10000/Table1[Temp K]</f>
        <v>12.853470437017995</v>
      </c>
      <c r="E62" s="3">
        <v>1.7599999999999999E-8</v>
      </c>
      <c r="F62" s="13">
        <f>LN(Table1[[#This Row],[Tl Flux]])</f>
        <v>-17.855366934902307</v>
      </c>
    </row>
    <row r="63" spans="1:13" x14ac:dyDescent="0.25">
      <c r="A63" s="9"/>
      <c r="C63">
        <f>Table1[T Cell]+273</f>
        <v>273</v>
      </c>
      <c r="D63">
        <f>10000/Table1[Temp K]</f>
        <v>36.630036630036628</v>
      </c>
      <c r="E63" s="3"/>
      <c r="F63" s="13" t="e">
        <f>LN(Table1[[#This Row],[Tl Flux]])</f>
        <v>#NUM!</v>
      </c>
    </row>
    <row r="64" spans="1:13" x14ac:dyDescent="0.25">
      <c r="A64" s="9"/>
      <c r="C64">
        <f>Table1[T Cell]+273</f>
        <v>273</v>
      </c>
      <c r="D64">
        <f>10000/Table1[Temp K]</f>
        <v>36.630036630036628</v>
      </c>
      <c r="E64" s="3"/>
      <c r="F64" s="13" t="e">
        <f>LN(Table1[[#This Row],[Tl Flux]])</f>
        <v>#NUM!</v>
      </c>
    </row>
    <row r="65" spans="1:12" x14ac:dyDescent="0.25">
      <c r="A65" s="6"/>
      <c r="B65" s="19"/>
      <c r="C65">
        <f>Table1[T Cell]+273</f>
        <v>273</v>
      </c>
      <c r="D65">
        <f>10000/Table1[Temp K]</f>
        <v>36.630036630036628</v>
      </c>
      <c r="E65" s="3"/>
      <c r="F65" s="13" t="e">
        <f>LN(Table1[[#This Row],[Tl Flux]])</f>
        <v>#NUM!</v>
      </c>
    </row>
    <row r="66" spans="1:12" x14ac:dyDescent="0.25">
      <c r="A66" s="9"/>
      <c r="C66">
        <f>Table1[T Cell]+273</f>
        <v>273</v>
      </c>
      <c r="D66">
        <f>10000/Table1[Temp K]</f>
        <v>36.630036630036628</v>
      </c>
      <c r="E66" s="3"/>
      <c r="F66" s="13" t="e">
        <f>LN(Table1[[#This Row],[Tl Flux]])</f>
        <v>#NUM!</v>
      </c>
    </row>
    <row r="67" spans="1:12" x14ac:dyDescent="0.25">
      <c r="A67" s="6"/>
      <c r="C67">
        <f>Table1[T Cell]+273</f>
        <v>273</v>
      </c>
      <c r="D67">
        <f>10000/Table1[Temp K]</f>
        <v>36.630036630036628</v>
      </c>
      <c r="E67" s="3"/>
      <c r="F67" s="13" t="e">
        <f>LN(Table1[[#This Row],[Tl Flux]])</f>
        <v>#NUM!</v>
      </c>
    </row>
    <row r="68" spans="1:12" x14ac:dyDescent="0.25">
      <c r="A68" s="9"/>
      <c r="C68">
        <f>Table1[T Cell]+273</f>
        <v>273</v>
      </c>
      <c r="D68">
        <f>10000/Table1[Temp K]</f>
        <v>36.630036630036628</v>
      </c>
      <c r="E68" s="3"/>
      <c r="F68" s="13" t="e">
        <f>LN(Table1[[#This Row],[Tl Flux]])</f>
        <v>#NUM!</v>
      </c>
    </row>
    <row r="69" spans="1:12" x14ac:dyDescent="0.25">
      <c r="A69" s="6"/>
      <c r="C69">
        <f>Table1[T Cell]+273</f>
        <v>273</v>
      </c>
      <c r="D69">
        <f>10000/Table1[Temp K]</f>
        <v>36.630036630036628</v>
      </c>
      <c r="E69" s="3"/>
      <c r="F69" s="13" t="e">
        <f>LN(Table1[[#This Row],[Tl Flux]])</f>
        <v>#NUM!</v>
      </c>
    </row>
    <row r="70" spans="1:12" x14ac:dyDescent="0.25">
      <c r="A70" s="9"/>
      <c r="C70">
        <f>Table1[T Cell]+273</f>
        <v>273</v>
      </c>
      <c r="D70">
        <f>10000/Table1[Temp K]</f>
        <v>36.630036630036628</v>
      </c>
      <c r="E70" s="3"/>
      <c r="F70" s="13" t="e">
        <f>LN(Table1[[#This Row],[Tl Flux]])</f>
        <v>#NUM!</v>
      </c>
    </row>
    <row r="71" spans="1:12" x14ac:dyDescent="0.25">
      <c r="A71" s="9"/>
      <c r="C71">
        <f>Table1[T Cell]+273</f>
        <v>273</v>
      </c>
      <c r="D71">
        <f>10000/Table1[Temp K]</f>
        <v>36.630036630036628</v>
      </c>
      <c r="E71" s="3"/>
      <c r="F71" s="13" t="e">
        <f>LN(Table1[[#This Row],[Tl Flux]])</f>
        <v>#NUM!</v>
      </c>
      <c r="H71" s="3"/>
      <c r="J71" s="18"/>
      <c r="K71" s="18"/>
      <c r="L71" s="3"/>
    </row>
    <row r="72" spans="1:12" x14ac:dyDescent="0.25">
      <c r="A72" s="9"/>
      <c r="C72">
        <f>Table1[T Cell]+273</f>
        <v>273</v>
      </c>
      <c r="D72">
        <f>10000/Table1[Temp K]</f>
        <v>36.630036630036628</v>
      </c>
      <c r="E72" s="3"/>
      <c r="F72" s="13" t="e">
        <f>LN(Table1[[#This Row],[Tl Flux]])</f>
        <v>#NUM!</v>
      </c>
    </row>
    <row r="73" spans="1:12" x14ac:dyDescent="0.25">
      <c r="A73" s="6"/>
      <c r="C73">
        <f>Table1[T Cell]+273</f>
        <v>273</v>
      </c>
      <c r="D73">
        <f>10000/Table1[Temp K]</f>
        <v>36.630036630036628</v>
      </c>
      <c r="E73" s="3"/>
      <c r="F73" s="13" t="e">
        <f>LN(Table1[[#This Row],[Tl Flux]])</f>
        <v>#NUM!</v>
      </c>
    </row>
    <row r="74" spans="1:12" x14ac:dyDescent="0.25">
      <c r="A74" s="6"/>
      <c r="C74">
        <f>Table1[T Cell]+273</f>
        <v>273</v>
      </c>
      <c r="D74">
        <f>10000/Table1[Temp K]</f>
        <v>36.630036630036628</v>
      </c>
      <c r="E74" s="3"/>
      <c r="F74" s="13" t="e">
        <f>LN(Table1[[#This Row],[Tl Flux]])</f>
        <v>#NUM!</v>
      </c>
    </row>
    <row r="75" spans="1:12" x14ac:dyDescent="0.25">
      <c r="A75" s="9"/>
      <c r="C75">
        <f>Table1[T Cell]+273</f>
        <v>273</v>
      </c>
      <c r="D75">
        <f>10000/Table1[Temp K]</f>
        <v>36.630036630036628</v>
      </c>
      <c r="E75" s="3"/>
      <c r="F75" s="13" t="e">
        <f>LN(Table1[[#This Row],[Tl Flux]])</f>
        <v>#NUM!</v>
      </c>
    </row>
    <row r="76" spans="1:12" x14ac:dyDescent="0.25">
      <c r="A76" s="9"/>
      <c r="E76" s="3"/>
      <c r="F76" s="13"/>
    </row>
    <row r="77" spans="1:12" x14ac:dyDescent="0.25">
      <c r="A77" s="5"/>
      <c r="B77" s="68"/>
      <c r="E77" s="3"/>
      <c r="F77" s="3"/>
    </row>
    <row r="78" spans="1:12" x14ac:dyDescent="0.25">
      <c r="E78" s="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78" zoomScaleNormal="78" workbookViewId="0">
      <selection activeCell="D6" sqref="D6"/>
    </sheetView>
  </sheetViews>
  <sheetFormatPr defaultRowHeight="15.75" x14ac:dyDescent="0.25"/>
  <cols>
    <col min="1" max="1" width="10.625" bestFit="1" customWidth="1"/>
    <col min="5" max="6" width="11.875" bestFit="1" customWidth="1"/>
    <col min="8" max="8" width="9.375" bestFit="1" customWidth="1"/>
    <col min="10" max="10" width="11.375" customWidth="1"/>
    <col min="11" max="11" width="12" customWidth="1"/>
    <col min="14" max="14" width="11.875" bestFit="1" customWidth="1"/>
    <col min="18" max="18" width="12" bestFit="1" customWidth="1"/>
  </cols>
  <sheetData>
    <row r="1" spans="1:9" x14ac:dyDescent="0.25">
      <c r="A1" s="1" t="s">
        <v>13</v>
      </c>
      <c r="B1" s="1" t="s">
        <v>2</v>
      </c>
      <c r="C1" s="1" t="s">
        <v>3</v>
      </c>
      <c r="D1" s="1" t="s">
        <v>4</v>
      </c>
      <c r="E1" s="1" t="s">
        <v>8</v>
      </c>
      <c r="F1" s="1" t="s">
        <v>15</v>
      </c>
      <c r="G1" s="1" t="s">
        <v>14</v>
      </c>
      <c r="H1" s="1" t="s">
        <v>31</v>
      </c>
      <c r="I1" s="1" t="s">
        <v>18</v>
      </c>
    </row>
    <row r="2" spans="1:9" x14ac:dyDescent="0.25">
      <c r="A2" s="6">
        <v>43362</v>
      </c>
      <c r="B2">
        <v>800</v>
      </c>
      <c r="C2">
        <f t="shared" ref="C2:C42" si="0">B2+273</f>
        <v>1073</v>
      </c>
      <c r="D2">
        <f t="shared" ref="D2:D42" si="1">10000/C2</f>
        <v>9.3196644920782852</v>
      </c>
      <c r="E2" s="3">
        <v>8.3500000000000005E-7</v>
      </c>
      <c r="F2">
        <f t="shared" ref="F2:F35" si="2">LN(E2)</f>
        <v>-13.995834112095556</v>
      </c>
      <c r="G2">
        <v>0.56399999999999995</v>
      </c>
      <c r="I2" t="s">
        <v>54</v>
      </c>
    </row>
    <row r="3" spans="1:9" x14ac:dyDescent="0.25">
      <c r="B3">
        <v>775</v>
      </c>
      <c r="C3">
        <f t="shared" si="0"/>
        <v>1048</v>
      </c>
      <c r="D3">
        <f t="shared" si="1"/>
        <v>9.5419847328244281</v>
      </c>
      <c r="E3" s="3">
        <v>4.89E-7</v>
      </c>
      <c r="F3">
        <f t="shared" si="2"/>
        <v>-14.53090334747154</v>
      </c>
      <c r="G3">
        <v>0.33</v>
      </c>
    </row>
    <row r="4" spans="1:9" x14ac:dyDescent="0.25">
      <c r="B4">
        <v>750</v>
      </c>
      <c r="C4">
        <f t="shared" si="0"/>
        <v>1023</v>
      </c>
      <c r="D4">
        <f t="shared" si="1"/>
        <v>9.7751710654936463</v>
      </c>
      <c r="E4" s="3">
        <v>2.7599999999999998E-7</v>
      </c>
      <c r="F4">
        <f t="shared" si="2"/>
        <v>-15.102864971229261</v>
      </c>
      <c r="G4">
        <v>0.18099999999999999</v>
      </c>
    </row>
    <row r="5" spans="1:9" x14ac:dyDescent="0.25">
      <c r="A5" s="6"/>
      <c r="B5">
        <v>725</v>
      </c>
      <c r="C5">
        <f t="shared" si="0"/>
        <v>998</v>
      </c>
      <c r="D5">
        <f t="shared" si="1"/>
        <v>10.020040080160321</v>
      </c>
      <c r="E5" s="3">
        <v>1.4100000000000001E-7</v>
      </c>
      <c r="F5">
        <f t="shared" si="2"/>
        <v>-15.774505946568242</v>
      </c>
      <c r="G5">
        <v>9.6000000000000002E-2</v>
      </c>
    </row>
    <row r="6" spans="1:9" x14ac:dyDescent="0.25">
      <c r="B6">
        <v>700</v>
      </c>
      <c r="C6">
        <f t="shared" si="0"/>
        <v>973</v>
      </c>
      <c r="D6">
        <f t="shared" si="1"/>
        <v>10.277492291880781</v>
      </c>
      <c r="E6" s="3">
        <v>7.7999999999999997E-8</v>
      </c>
      <c r="F6">
        <f t="shared" si="2"/>
        <v>-16.36655701025682</v>
      </c>
      <c r="G6">
        <v>4.7699999999999999E-2</v>
      </c>
      <c r="I6" t="s">
        <v>55</v>
      </c>
    </row>
    <row r="7" spans="1:9" x14ac:dyDescent="0.25">
      <c r="A7" s="6">
        <v>43363</v>
      </c>
      <c r="B7">
        <v>725</v>
      </c>
      <c r="C7">
        <f t="shared" si="0"/>
        <v>998</v>
      </c>
      <c r="D7">
        <f t="shared" si="1"/>
        <v>10.020040080160321</v>
      </c>
      <c r="E7" s="3">
        <v>1.48E-7</v>
      </c>
      <c r="F7">
        <f t="shared" si="2"/>
        <v>-15.726053563182296</v>
      </c>
      <c r="I7" s="8"/>
    </row>
    <row r="8" spans="1:9" x14ac:dyDescent="0.25">
      <c r="B8">
        <v>700</v>
      </c>
      <c r="C8">
        <f t="shared" si="0"/>
        <v>973</v>
      </c>
      <c r="D8">
        <f t="shared" si="1"/>
        <v>10.277492291880781</v>
      </c>
      <c r="E8" s="3">
        <v>7.5199999999999998E-8</v>
      </c>
      <c r="F8">
        <f t="shared" si="2"/>
        <v>-16.403114605990616</v>
      </c>
      <c r="I8" s="8"/>
    </row>
    <row r="9" spans="1:9" x14ac:dyDescent="0.25">
      <c r="C9">
        <f t="shared" si="0"/>
        <v>273</v>
      </c>
      <c r="D9">
        <f t="shared" si="1"/>
        <v>36.630036630036628</v>
      </c>
      <c r="E9" s="3"/>
      <c r="F9" t="e">
        <f t="shared" si="2"/>
        <v>#NUM!</v>
      </c>
      <c r="I9" s="8"/>
    </row>
    <row r="10" spans="1:9" x14ac:dyDescent="0.25">
      <c r="A10" s="6"/>
      <c r="C10">
        <f t="shared" si="0"/>
        <v>273</v>
      </c>
      <c r="D10">
        <f t="shared" si="1"/>
        <v>36.630036630036628</v>
      </c>
      <c r="E10" s="3"/>
      <c r="F10" t="e">
        <f t="shared" si="2"/>
        <v>#NUM!</v>
      </c>
    </row>
    <row r="11" spans="1:9" x14ac:dyDescent="0.25">
      <c r="A11" s="6"/>
      <c r="C11">
        <f t="shared" si="0"/>
        <v>273</v>
      </c>
      <c r="D11">
        <f t="shared" si="1"/>
        <v>36.630036630036628</v>
      </c>
      <c r="E11" s="3"/>
      <c r="F11" t="e">
        <f t="shared" si="2"/>
        <v>#NUM!</v>
      </c>
    </row>
    <row r="12" spans="1:9" x14ac:dyDescent="0.25">
      <c r="A12" s="6"/>
      <c r="C12">
        <f t="shared" si="0"/>
        <v>273</v>
      </c>
      <c r="D12">
        <f t="shared" si="1"/>
        <v>36.630036630036628</v>
      </c>
      <c r="E12" s="3"/>
      <c r="F12" t="e">
        <f t="shared" si="2"/>
        <v>#NUM!</v>
      </c>
    </row>
    <row r="13" spans="1:9" x14ac:dyDescent="0.25">
      <c r="C13">
        <f t="shared" si="0"/>
        <v>273</v>
      </c>
      <c r="D13">
        <f t="shared" si="1"/>
        <v>36.630036630036628</v>
      </c>
      <c r="E13" s="3"/>
      <c r="F13" t="e">
        <f t="shared" si="2"/>
        <v>#NUM!</v>
      </c>
    </row>
    <row r="14" spans="1:9" x14ac:dyDescent="0.25">
      <c r="C14">
        <f t="shared" si="0"/>
        <v>273</v>
      </c>
      <c r="D14">
        <f t="shared" si="1"/>
        <v>36.630036630036628</v>
      </c>
      <c r="E14" s="3"/>
      <c r="F14" t="e">
        <f t="shared" si="2"/>
        <v>#NUM!</v>
      </c>
    </row>
    <row r="15" spans="1:9" x14ac:dyDescent="0.25">
      <c r="C15">
        <f t="shared" si="0"/>
        <v>273</v>
      </c>
      <c r="D15">
        <f t="shared" si="1"/>
        <v>36.630036630036628</v>
      </c>
      <c r="E15" s="3"/>
      <c r="F15" t="e">
        <f t="shared" si="2"/>
        <v>#NUM!</v>
      </c>
    </row>
    <row r="16" spans="1:9" x14ac:dyDescent="0.25">
      <c r="A16" s="6"/>
      <c r="C16">
        <f t="shared" si="0"/>
        <v>273</v>
      </c>
      <c r="D16">
        <f t="shared" si="1"/>
        <v>36.630036630036628</v>
      </c>
      <c r="E16" s="3"/>
      <c r="F16" t="e">
        <f t="shared" si="2"/>
        <v>#NUM!</v>
      </c>
    </row>
    <row r="17" spans="1:13" x14ac:dyDescent="0.25">
      <c r="C17">
        <f t="shared" si="0"/>
        <v>273</v>
      </c>
      <c r="D17">
        <f t="shared" si="1"/>
        <v>36.630036630036628</v>
      </c>
      <c r="E17" s="3"/>
      <c r="F17" t="e">
        <f t="shared" si="2"/>
        <v>#NUM!</v>
      </c>
    </row>
    <row r="18" spans="1:13" x14ac:dyDescent="0.25">
      <c r="C18">
        <f t="shared" si="0"/>
        <v>273</v>
      </c>
      <c r="D18">
        <f t="shared" si="1"/>
        <v>36.630036630036628</v>
      </c>
      <c r="E18" s="3"/>
      <c r="F18" t="e">
        <f t="shared" si="2"/>
        <v>#NUM!</v>
      </c>
    </row>
    <row r="19" spans="1:13" x14ac:dyDescent="0.25">
      <c r="A19" s="6"/>
      <c r="C19">
        <f t="shared" si="0"/>
        <v>273</v>
      </c>
      <c r="D19">
        <f t="shared" si="1"/>
        <v>36.630036630036628</v>
      </c>
      <c r="E19" s="3"/>
      <c r="F19" t="e">
        <f t="shared" si="2"/>
        <v>#NUM!</v>
      </c>
    </row>
    <row r="20" spans="1:13" x14ac:dyDescent="0.25">
      <c r="A20" s="6"/>
      <c r="C20">
        <f t="shared" si="0"/>
        <v>273</v>
      </c>
      <c r="D20">
        <f t="shared" si="1"/>
        <v>36.630036630036628</v>
      </c>
      <c r="E20" s="3"/>
      <c r="F20" t="e">
        <f t="shared" si="2"/>
        <v>#NUM!</v>
      </c>
    </row>
    <row r="21" spans="1:13" x14ac:dyDescent="0.25">
      <c r="C21">
        <f t="shared" si="0"/>
        <v>273</v>
      </c>
      <c r="D21">
        <f t="shared" si="1"/>
        <v>36.630036630036628</v>
      </c>
      <c r="E21" s="3"/>
      <c r="F21" t="e">
        <f t="shared" si="2"/>
        <v>#NUM!</v>
      </c>
    </row>
    <row r="22" spans="1:13" x14ac:dyDescent="0.25">
      <c r="C22">
        <f t="shared" si="0"/>
        <v>273</v>
      </c>
      <c r="D22">
        <f t="shared" si="1"/>
        <v>36.630036630036628</v>
      </c>
      <c r="E22" s="3"/>
      <c r="F22" t="e">
        <f t="shared" si="2"/>
        <v>#NUM!</v>
      </c>
      <c r="J22" t="s">
        <v>58</v>
      </c>
    </row>
    <row r="23" spans="1:13" x14ac:dyDescent="0.25">
      <c r="C23">
        <f t="shared" si="0"/>
        <v>273</v>
      </c>
      <c r="D23">
        <f t="shared" si="1"/>
        <v>36.630036630036628</v>
      </c>
      <c r="J23" s="1" t="s">
        <v>9</v>
      </c>
      <c r="K23" s="1" t="s">
        <v>57</v>
      </c>
      <c r="L23" s="1" t="s">
        <v>59</v>
      </c>
      <c r="M23" s="1" t="s">
        <v>10</v>
      </c>
    </row>
    <row r="24" spans="1:13" x14ac:dyDescent="0.25">
      <c r="A24" s="6"/>
      <c r="C24">
        <f t="shared" si="0"/>
        <v>273</v>
      </c>
      <c r="D24">
        <f t="shared" si="1"/>
        <v>36.630036630036628</v>
      </c>
      <c r="E24" s="3"/>
      <c r="F24" t="e">
        <f t="shared" si="2"/>
        <v>#NUM!</v>
      </c>
      <c r="J24" s="9">
        <v>700</v>
      </c>
      <c r="K24" s="3">
        <v>4.0000000000000003E-15</v>
      </c>
      <c r="L24" s="3">
        <v>2.3900000000000001E-2</v>
      </c>
      <c r="M24" s="3">
        <f>K24*EXP(L24*J24)</f>
        <v>7.3757582475019594E-8</v>
      </c>
    </row>
    <row r="25" spans="1:13" x14ac:dyDescent="0.25">
      <c r="A25" s="6"/>
      <c r="C25">
        <f t="shared" si="0"/>
        <v>273</v>
      </c>
      <c r="D25">
        <f t="shared" si="1"/>
        <v>36.630036630036628</v>
      </c>
      <c r="E25" s="3"/>
      <c r="F25" t="e">
        <f t="shared" si="2"/>
        <v>#NUM!</v>
      </c>
      <c r="J25" s="9">
        <v>725</v>
      </c>
      <c r="K25" s="3">
        <v>4.0000000000000003E-15</v>
      </c>
      <c r="L25" s="3">
        <v>2.3900000000000001E-2</v>
      </c>
      <c r="M25" s="3">
        <f>K25*EXP(L25*J25)</f>
        <v>1.340595096396883E-7</v>
      </c>
    </row>
    <row r="26" spans="1:13" x14ac:dyDescent="0.25">
      <c r="C26">
        <f t="shared" si="0"/>
        <v>273</v>
      </c>
      <c r="D26">
        <f t="shared" si="1"/>
        <v>36.630036630036628</v>
      </c>
      <c r="E26" s="3"/>
      <c r="F26" t="e">
        <f t="shared" si="2"/>
        <v>#NUM!</v>
      </c>
      <c r="J26" t="s">
        <v>60</v>
      </c>
    </row>
    <row r="27" spans="1:13" x14ac:dyDescent="0.25">
      <c r="C27">
        <f t="shared" si="0"/>
        <v>273</v>
      </c>
      <c r="D27">
        <f t="shared" si="1"/>
        <v>36.630036630036628</v>
      </c>
      <c r="E27" s="3"/>
      <c r="F27" t="e">
        <f t="shared" si="2"/>
        <v>#NUM!</v>
      </c>
      <c r="J27" s="1" t="s">
        <v>10</v>
      </c>
      <c r="K27" s="1" t="s">
        <v>61</v>
      </c>
      <c r="L27" s="1" t="s">
        <v>62</v>
      </c>
      <c r="M27" s="1" t="s">
        <v>56</v>
      </c>
    </row>
    <row r="28" spans="1:13" x14ac:dyDescent="0.25">
      <c r="C28">
        <f t="shared" si="0"/>
        <v>273</v>
      </c>
      <c r="D28">
        <f t="shared" si="1"/>
        <v>36.630036630036628</v>
      </c>
      <c r="E28" s="16"/>
      <c r="F28" s="15" t="e">
        <f t="shared" si="2"/>
        <v>#NUM!</v>
      </c>
      <c r="J28" s="3">
        <v>7.5199999999999998E-8</v>
      </c>
      <c r="K28">
        <v>679947</v>
      </c>
      <c r="L28">
        <v>-3.5999999999999999E-3</v>
      </c>
      <c r="M28" s="2">
        <f>K28*J28+L28</f>
        <v>4.7532014400000003E-2</v>
      </c>
    </row>
    <row r="29" spans="1:13" x14ac:dyDescent="0.25">
      <c r="C29">
        <f t="shared" si="0"/>
        <v>273</v>
      </c>
      <c r="D29">
        <f t="shared" si="1"/>
        <v>36.630036630036628</v>
      </c>
      <c r="E29" s="16"/>
      <c r="F29" s="15" t="e">
        <f t="shared" si="2"/>
        <v>#NUM!</v>
      </c>
      <c r="J29" s="3">
        <v>7.3757582475019594E-8</v>
      </c>
      <c r="M29" s="2">
        <f>K29*J29+L29</f>
        <v>0</v>
      </c>
    </row>
    <row r="30" spans="1:13" x14ac:dyDescent="0.25">
      <c r="C30">
        <f t="shared" si="0"/>
        <v>273</v>
      </c>
      <c r="D30">
        <f t="shared" si="1"/>
        <v>36.630036630036628</v>
      </c>
      <c r="E30" s="16"/>
      <c r="F30" s="15" t="e">
        <f t="shared" si="2"/>
        <v>#NUM!</v>
      </c>
      <c r="J30" s="9"/>
    </row>
    <row r="31" spans="1:13" x14ac:dyDescent="0.25">
      <c r="C31">
        <f t="shared" si="0"/>
        <v>273</v>
      </c>
      <c r="D31">
        <f t="shared" si="1"/>
        <v>36.630036630036628</v>
      </c>
      <c r="E31" s="16"/>
      <c r="F31" s="15" t="e">
        <f t="shared" si="2"/>
        <v>#NUM!</v>
      </c>
    </row>
    <row r="32" spans="1:13" x14ac:dyDescent="0.25">
      <c r="C32">
        <f t="shared" si="0"/>
        <v>273</v>
      </c>
      <c r="D32">
        <f t="shared" si="1"/>
        <v>36.630036630036628</v>
      </c>
      <c r="E32" s="16"/>
      <c r="F32" s="15" t="e">
        <f t="shared" si="2"/>
        <v>#NUM!</v>
      </c>
    </row>
    <row r="33" spans="1:18" x14ac:dyDescent="0.25">
      <c r="C33">
        <f t="shared" si="0"/>
        <v>273</v>
      </c>
      <c r="D33">
        <f t="shared" si="1"/>
        <v>36.630036630036628</v>
      </c>
      <c r="E33" s="16"/>
      <c r="F33" s="16" t="e">
        <f t="shared" si="2"/>
        <v>#NUM!</v>
      </c>
      <c r="K33" s="69"/>
      <c r="L33" s="69"/>
      <c r="M33" s="69"/>
      <c r="N33" s="69"/>
      <c r="O33" s="69"/>
    </row>
    <row r="34" spans="1:18" x14ac:dyDescent="0.25">
      <c r="A34" s="6"/>
      <c r="C34">
        <f t="shared" si="0"/>
        <v>273</v>
      </c>
      <c r="D34">
        <f t="shared" si="1"/>
        <v>36.630036630036628</v>
      </c>
      <c r="E34" s="3"/>
      <c r="F34" s="11" t="e">
        <f t="shared" si="2"/>
        <v>#NUM!</v>
      </c>
      <c r="H34" s="10"/>
      <c r="J34" s="1" t="s">
        <v>0</v>
      </c>
      <c r="K34" s="1" t="s">
        <v>1</v>
      </c>
      <c r="M34" s="1" t="s">
        <v>29</v>
      </c>
      <c r="N34" s="1" t="s">
        <v>27</v>
      </c>
      <c r="O34" s="1" t="s">
        <v>28</v>
      </c>
      <c r="Q34" s="1" t="s">
        <v>33</v>
      </c>
    </row>
    <row r="35" spans="1:18" x14ac:dyDescent="0.25">
      <c r="C35">
        <f t="shared" si="0"/>
        <v>273</v>
      </c>
      <c r="D35">
        <f t="shared" si="1"/>
        <v>36.630036630036628</v>
      </c>
      <c r="E35" s="3"/>
      <c r="F35" s="11" t="e">
        <f t="shared" si="2"/>
        <v>#NUM!</v>
      </c>
      <c r="J35">
        <v>0.90900000000000003</v>
      </c>
      <c r="K35">
        <f>J35*(6.0583/2)/10000*60*60</f>
        <v>0.99125904599999981</v>
      </c>
      <c r="M35">
        <v>0.54</v>
      </c>
      <c r="N35">
        <f>M35*(5.867^2)/(6.0583^2)</f>
        <v>0.50643578514409504</v>
      </c>
      <c r="O35">
        <f>N35*(5.867)/2/10000*60*60</f>
        <v>0.53482657525927302</v>
      </c>
      <c r="Q35">
        <f>0.532/2</f>
        <v>0.26600000000000001</v>
      </c>
    </row>
    <row r="36" spans="1:18" x14ac:dyDescent="0.25">
      <c r="C36">
        <f t="shared" si="0"/>
        <v>273</v>
      </c>
      <c r="D36">
        <f t="shared" si="1"/>
        <v>36.630036630036628</v>
      </c>
      <c r="E36" s="3"/>
      <c r="F36" s="11" t="e">
        <f>LN(E36)</f>
        <v>#NUM!</v>
      </c>
      <c r="J36">
        <v>0.51</v>
      </c>
      <c r="K36">
        <f>J36*(6.0583/2)/10000*60*60</f>
        <v>0.55615194000000001</v>
      </c>
      <c r="M36">
        <v>0.28999999999999998</v>
      </c>
      <c r="N36">
        <f>M36*(5.867^2)/(6.0583^2)</f>
        <v>0.27197477350331029</v>
      </c>
      <c r="O36">
        <f>N36*(5.867)/2/10000*60*60</f>
        <v>0.28722167930590586</v>
      </c>
    </row>
    <row r="37" spans="1:18" x14ac:dyDescent="0.25">
      <c r="C37">
        <f t="shared" si="0"/>
        <v>273</v>
      </c>
      <c r="D37">
        <f t="shared" si="1"/>
        <v>36.630036630036628</v>
      </c>
      <c r="E37" s="17"/>
      <c r="F37" s="11" t="e">
        <f>LN(E37)</f>
        <v>#NUM!</v>
      </c>
      <c r="J37">
        <v>0.54500000000000004</v>
      </c>
      <c r="K37">
        <f>J37*(6.0583/2)/10000*60*60</f>
        <v>0.59431922999999998</v>
      </c>
      <c r="M37">
        <v>0.27</v>
      </c>
      <c r="N37">
        <f>M37*(5.867^2)/(6.0583^2)</f>
        <v>0.25321789257204752</v>
      </c>
      <c r="O37">
        <f>N37*(5.867)/2/10000*60*60</f>
        <v>0.26741328762963651</v>
      </c>
    </row>
    <row r="38" spans="1:18" x14ac:dyDescent="0.25">
      <c r="C38">
        <f t="shared" si="0"/>
        <v>273</v>
      </c>
      <c r="D38">
        <f t="shared" si="1"/>
        <v>36.630036630036628</v>
      </c>
      <c r="E38" s="3"/>
      <c r="F38" s="15"/>
    </row>
    <row r="39" spans="1:18" x14ac:dyDescent="0.25">
      <c r="C39">
        <f t="shared" si="0"/>
        <v>273</v>
      </c>
      <c r="D39">
        <f t="shared" si="1"/>
        <v>36.630036630036628</v>
      </c>
    </row>
    <row r="40" spans="1:18" x14ac:dyDescent="0.25">
      <c r="A40" s="6"/>
      <c r="C40">
        <f t="shared" si="0"/>
        <v>273</v>
      </c>
      <c r="D40">
        <f t="shared" si="1"/>
        <v>36.630036630036628</v>
      </c>
      <c r="E40" s="3"/>
      <c r="F40" s="11" t="e">
        <f>LN(E40)</f>
        <v>#NUM!</v>
      </c>
    </row>
    <row r="41" spans="1:18" x14ac:dyDescent="0.25">
      <c r="C41">
        <f t="shared" si="0"/>
        <v>273</v>
      </c>
      <c r="D41">
        <f t="shared" si="1"/>
        <v>36.630036630036628</v>
      </c>
      <c r="E41" s="3"/>
      <c r="F41" s="11" t="e">
        <f>LN(E41)</f>
        <v>#NUM!</v>
      </c>
    </row>
    <row r="42" spans="1:18" x14ac:dyDescent="0.25">
      <c r="A42" s="6"/>
      <c r="C42">
        <f t="shared" si="0"/>
        <v>273</v>
      </c>
      <c r="D42">
        <f t="shared" si="1"/>
        <v>36.630036630036628</v>
      </c>
      <c r="E42" s="3"/>
      <c r="F42" s="11" t="e">
        <f>LN(E42)</f>
        <v>#NUM!</v>
      </c>
    </row>
    <row r="43" spans="1:18" x14ac:dyDescent="0.25">
      <c r="R43" s="18"/>
    </row>
    <row r="44" spans="1:18" x14ac:dyDescent="0.25">
      <c r="R44" s="18"/>
    </row>
    <row r="50" spans="16:19" x14ac:dyDescent="0.25">
      <c r="P50">
        <v>0.54400000000000004</v>
      </c>
      <c r="Q50">
        <v>0.56994999999999996</v>
      </c>
      <c r="R50">
        <f>P50*Q50/2</f>
        <v>0.15502640000000001</v>
      </c>
      <c r="S50">
        <f>250/R50/60</f>
        <v>26.877142645811723</v>
      </c>
    </row>
  </sheetData>
  <mergeCells count="1">
    <mergeCell ref="K33:O3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E4" zoomScale="80" zoomScaleNormal="80" workbookViewId="0">
      <selection activeCell="H16" sqref="H16"/>
    </sheetView>
  </sheetViews>
  <sheetFormatPr defaultRowHeight="15.75" x14ac:dyDescent="0.25"/>
  <cols>
    <col min="1" max="1" width="11.625" customWidth="1"/>
    <col min="14" max="14" width="12.75" bestFit="1" customWidth="1"/>
    <col min="16" max="16" width="13.875" customWidth="1"/>
    <col min="17" max="17" width="14.5" customWidth="1"/>
    <col min="20" max="20" width="13.875" customWidth="1"/>
    <col min="21" max="21" width="14.5" customWidth="1"/>
  </cols>
  <sheetData>
    <row r="1" spans="1:17" x14ac:dyDescent="0.25">
      <c r="A1" s="30" t="s">
        <v>13</v>
      </c>
      <c r="B1" s="30" t="s">
        <v>21</v>
      </c>
      <c r="C1" s="30" t="s">
        <v>3</v>
      </c>
      <c r="D1" s="30" t="s">
        <v>4</v>
      </c>
      <c r="E1" s="30" t="s">
        <v>52</v>
      </c>
      <c r="F1" s="30" t="s">
        <v>7</v>
      </c>
      <c r="G1" s="30" t="s">
        <v>5</v>
      </c>
      <c r="H1" s="30" t="s">
        <v>19</v>
      </c>
      <c r="I1" s="30" t="s">
        <v>18</v>
      </c>
    </row>
    <row r="2" spans="1:17" x14ac:dyDescent="0.25">
      <c r="A2" s="6">
        <v>43297</v>
      </c>
      <c r="B2">
        <v>1100</v>
      </c>
      <c r="C2">
        <f>B2+273</f>
        <v>1373</v>
      </c>
      <c r="D2">
        <f>10000/C2</f>
        <v>7.2833211944646763</v>
      </c>
      <c r="E2" s="3">
        <v>3.6199999999999999E-7</v>
      </c>
      <c r="F2">
        <f t="shared" ref="F2:F40" si="0">LN(E2)</f>
        <v>-14.83162162512064</v>
      </c>
      <c r="H2">
        <v>4</v>
      </c>
      <c r="I2" t="s">
        <v>53</v>
      </c>
    </row>
    <row r="3" spans="1:17" x14ac:dyDescent="0.25">
      <c r="B3">
        <v>1075</v>
      </c>
      <c r="C3">
        <f t="shared" ref="C3:C41" si="1">B3+273</f>
        <v>1348</v>
      </c>
      <c r="D3">
        <f t="shared" ref="D3:D41" si="2">10000/C3</f>
        <v>7.4183976261127595</v>
      </c>
      <c r="E3" s="32">
        <v>2.4349999999999998E-7</v>
      </c>
      <c r="F3">
        <f t="shared" si="0"/>
        <v>-15.228148894423766</v>
      </c>
      <c r="H3">
        <v>4</v>
      </c>
    </row>
    <row r="4" spans="1:17" x14ac:dyDescent="0.25">
      <c r="B4">
        <v>1050</v>
      </c>
      <c r="C4">
        <f t="shared" si="1"/>
        <v>1323</v>
      </c>
      <c r="D4">
        <f t="shared" si="2"/>
        <v>7.5585789871504154</v>
      </c>
      <c r="E4" s="31">
        <v>1.5800000000000001E-7</v>
      </c>
      <c r="F4">
        <f t="shared" si="0"/>
        <v>-15.660670803919444</v>
      </c>
      <c r="G4">
        <v>0.26400000000000001</v>
      </c>
      <c r="H4">
        <v>4</v>
      </c>
    </row>
    <row r="5" spans="1:17" x14ac:dyDescent="0.25">
      <c r="B5">
        <v>1025</v>
      </c>
      <c r="C5">
        <f t="shared" si="1"/>
        <v>1298</v>
      </c>
      <c r="D5">
        <f t="shared" si="2"/>
        <v>7.704160246533128</v>
      </c>
      <c r="E5" s="16"/>
      <c r="F5" s="15"/>
      <c r="G5">
        <v>0.14799999999999999</v>
      </c>
      <c r="H5">
        <v>4</v>
      </c>
    </row>
    <row r="6" spans="1:17" x14ac:dyDescent="0.25">
      <c r="B6">
        <v>1000</v>
      </c>
      <c r="C6">
        <f t="shared" si="1"/>
        <v>1273</v>
      </c>
      <c r="D6">
        <f t="shared" si="2"/>
        <v>7.8554595443833461</v>
      </c>
      <c r="E6" s="16"/>
      <c r="F6" s="15"/>
      <c r="G6">
        <v>7.8299999999999995E-2</v>
      </c>
      <c r="H6">
        <v>4</v>
      </c>
    </row>
    <row r="7" spans="1:17" x14ac:dyDescent="0.25">
      <c r="B7">
        <v>995</v>
      </c>
      <c r="C7">
        <f t="shared" si="1"/>
        <v>1268</v>
      </c>
      <c r="D7">
        <f t="shared" si="2"/>
        <v>7.8864353312302837</v>
      </c>
      <c r="E7" s="16"/>
      <c r="F7" s="15"/>
      <c r="G7">
        <v>6.8599999999999994E-2</v>
      </c>
      <c r="H7">
        <v>4</v>
      </c>
    </row>
    <row r="8" spans="1:17" x14ac:dyDescent="0.25">
      <c r="B8">
        <v>990</v>
      </c>
      <c r="C8">
        <f t="shared" si="1"/>
        <v>1263</v>
      </c>
      <c r="D8">
        <f t="shared" si="2"/>
        <v>7.9176563737133812</v>
      </c>
      <c r="E8" s="16"/>
      <c r="F8" s="15"/>
      <c r="G8">
        <v>6.0670000000000002E-2</v>
      </c>
      <c r="H8">
        <v>4</v>
      </c>
    </row>
    <row r="9" spans="1:17" x14ac:dyDescent="0.25">
      <c r="B9">
        <v>982</v>
      </c>
      <c r="C9">
        <f t="shared" si="1"/>
        <v>1255</v>
      </c>
      <c r="D9">
        <f t="shared" si="2"/>
        <v>7.9681274900398407</v>
      </c>
      <c r="E9" s="16"/>
      <c r="F9" s="15"/>
      <c r="G9">
        <v>5.0200000000000002E-2</v>
      </c>
      <c r="H9">
        <v>4</v>
      </c>
    </row>
    <row r="10" spans="1:17" x14ac:dyDescent="0.25">
      <c r="A10" s="6">
        <v>43299</v>
      </c>
      <c r="B10">
        <v>982</v>
      </c>
      <c r="C10">
        <f t="shared" si="1"/>
        <v>1255</v>
      </c>
      <c r="D10">
        <f t="shared" si="2"/>
        <v>7.9681274900398407</v>
      </c>
      <c r="E10" s="3">
        <v>3.7100000000000001E-8</v>
      </c>
      <c r="F10" s="11">
        <f t="shared" si="0"/>
        <v>-17.109648867333021</v>
      </c>
      <c r="G10">
        <v>5.9499999999999997E-2</v>
      </c>
      <c r="H10">
        <v>4</v>
      </c>
    </row>
    <row r="11" spans="1:17" x14ac:dyDescent="0.25">
      <c r="B11">
        <v>982</v>
      </c>
      <c r="C11">
        <f t="shared" si="1"/>
        <v>1255</v>
      </c>
      <c r="D11">
        <f t="shared" si="2"/>
        <v>7.9681274900398407</v>
      </c>
      <c r="E11" s="3">
        <v>3.8799999999999997E-8</v>
      </c>
      <c r="F11" s="11">
        <f t="shared" si="0"/>
        <v>-17.064845590317184</v>
      </c>
      <c r="G11">
        <v>6.1800000000000001E-2</v>
      </c>
      <c r="H11">
        <v>4</v>
      </c>
    </row>
    <row r="12" spans="1:17" x14ac:dyDescent="0.25">
      <c r="A12" s="5">
        <v>43601</v>
      </c>
      <c r="B12">
        <v>1000</v>
      </c>
      <c r="C12">
        <f t="shared" si="1"/>
        <v>1273</v>
      </c>
      <c r="D12">
        <f t="shared" si="2"/>
        <v>7.8554595443833461</v>
      </c>
      <c r="E12" s="3">
        <v>3.03E-8</v>
      </c>
      <c r="F12" s="11">
        <f t="shared" si="0"/>
        <v>-17.312118124431088</v>
      </c>
      <c r="H12">
        <v>4</v>
      </c>
      <c r="I12" t="s">
        <v>71</v>
      </c>
    </row>
    <row r="13" spans="1:17" x14ac:dyDescent="0.25">
      <c r="B13">
        <v>1050</v>
      </c>
      <c r="C13">
        <f t="shared" si="1"/>
        <v>1323</v>
      </c>
      <c r="D13">
        <f t="shared" si="2"/>
        <v>7.5585789871504154</v>
      </c>
      <c r="E13" s="3">
        <v>8.4999999999999994E-8</v>
      </c>
      <c r="F13" s="11">
        <f t="shared" si="0"/>
        <v>-16.280614580456096</v>
      </c>
      <c r="G13">
        <v>0.15</v>
      </c>
      <c r="H13">
        <v>4</v>
      </c>
    </row>
    <row r="14" spans="1:17" x14ac:dyDescent="0.25">
      <c r="B14">
        <v>1100</v>
      </c>
      <c r="C14">
        <f t="shared" si="1"/>
        <v>1373</v>
      </c>
      <c r="D14">
        <f t="shared" si="2"/>
        <v>7.2833211944646763</v>
      </c>
      <c r="E14" s="3">
        <v>2.1799999999999999E-7</v>
      </c>
      <c r="F14" s="11">
        <f t="shared" si="0"/>
        <v>-15.338770774157322</v>
      </c>
      <c r="G14">
        <v>0.39</v>
      </c>
      <c r="H14">
        <v>4</v>
      </c>
    </row>
    <row r="15" spans="1:17" x14ac:dyDescent="0.25">
      <c r="B15">
        <v>1125</v>
      </c>
      <c r="C15">
        <f t="shared" si="1"/>
        <v>1398</v>
      </c>
      <c r="D15">
        <f t="shared" si="2"/>
        <v>7.1530758226037197</v>
      </c>
      <c r="E15" s="3">
        <v>3.3000000000000002E-7</v>
      </c>
      <c r="F15" s="11">
        <f t="shared" si="0"/>
        <v>-14.924173182485886</v>
      </c>
      <c r="G15">
        <v>0.62</v>
      </c>
      <c r="H15">
        <v>4</v>
      </c>
    </row>
    <row r="16" spans="1:17" ht="30" x14ac:dyDescent="0.25">
      <c r="A16" s="5">
        <v>43605</v>
      </c>
      <c r="B16">
        <v>1100</v>
      </c>
      <c r="C16">
        <f t="shared" si="1"/>
        <v>1373</v>
      </c>
      <c r="D16">
        <f t="shared" si="2"/>
        <v>7.2833211944646763</v>
      </c>
      <c r="E16" s="3">
        <v>2.4600000000000001E-7</v>
      </c>
      <c r="F16" s="11">
        <f t="shared" si="0"/>
        <v>-15.217934301014049</v>
      </c>
      <c r="I16" t="s">
        <v>75</v>
      </c>
      <c r="L16" s="40" t="s">
        <v>9</v>
      </c>
      <c r="M16" s="40"/>
      <c r="N16" s="40" t="s">
        <v>7</v>
      </c>
      <c r="O16" s="40" t="s">
        <v>10</v>
      </c>
      <c r="P16" s="40" t="s">
        <v>64</v>
      </c>
      <c r="Q16" s="40" t="s">
        <v>65</v>
      </c>
    </row>
    <row r="17" spans="1:21" x14ac:dyDescent="0.25">
      <c r="B17">
        <v>1125</v>
      </c>
      <c r="C17">
        <f t="shared" si="1"/>
        <v>1398</v>
      </c>
      <c r="D17">
        <f t="shared" si="2"/>
        <v>7.1530758226037197</v>
      </c>
      <c r="E17" s="3">
        <v>3.6699999999999999E-7</v>
      </c>
      <c r="F17" s="11">
        <f t="shared" si="0"/>
        <v>-14.817903988891841</v>
      </c>
      <c r="H17">
        <v>4</v>
      </c>
      <c r="L17" s="28">
        <v>1023</v>
      </c>
      <c r="M17" s="28">
        <f>10000/(L17+273)</f>
        <v>7.716049382716049</v>
      </c>
      <c r="N17" s="27">
        <f>(-3.3159*M17)+8.424</f>
        <v>-17.161648148148149</v>
      </c>
      <c r="O17" s="41">
        <f>EXP(N17)</f>
        <v>3.5220126289644128E-8</v>
      </c>
      <c r="P17" s="28"/>
      <c r="Q17" s="28">
        <f>0.0000000003*(EXP(0.0189*L17))</f>
        <v>7.4829832651686468E-2</v>
      </c>
    </row>
    <row r="18" spans="1:21" ht="63" x14ac:dyDescent="0.25">
      <c r="A18" s="5">
        <v>43621</v>
      </c>
      <c r="B18">
        <v>1125</v>
      </c>
      <c r="C18">
        <f t="shared" si="1"/>
        <v>1398</v>
      </c>
      <c r="D18">
        <f t="shared" si="2"/>
        <v>7.1530758226037197</v>
      </c>
      <c r="E18" s="3">
        <v>3.7E-7</v>
      </c>
      <c r="F18" s="11">
        <f t="shared" si="0"/>
        <v>-14.809762831308142</v>
      </c>
      <c r="H18">
        <v>4</v>
      </c>
      <c r="I18" t="s">
        <v>76</v>
      </c>
      <c r="L18" s="37" t="s">
        <v>5</v>
      </c>
      <c r="M18" s="37" t="s">
        <v>7</v>
      </c>
      <c r="N18" s="37" t="s">
        <v>10</v>
      </c>
      <c r="O18" s="37" t="s">
        <v>9</v>
      </c>
      <c r="P18" s="38"/>
      <c r="Q18" s="39" t="s">
        <v>42</v>
      </c>
      <c r="R18" s="39" t="s">
        <v>70</v>
      </c>
      <c r="S18" s="39" t="s">
        <v>66</v>
      </c>
      <c r="T18" s="39" t="s">
        <v>67</v>
      </c>
      <c r="U18" s="39" t="s">
        <v>68</v>
      </c>
    </row>
    <row r="19" spans="1:21" x14ac:dyDescent="0.25">
      <c r="A19" s="5">
        <v>43627</v>
      </c>
      <c r="B19">
        <v>1125</v>
      </c>
      <c r="C19">
        <f t="shared" si="1"/>
        <v>1398</v>
      </c>
      <c r="D19">
        <f t="shared" si="2"/>
        <v>7.1530758226037197</v>
      </c>
      <c r="E19" s="3">
        <v>3.5600000000000001E-7</v>
      </c>
      <c r="F19" s="11">
        <f t="shared" si="0"/>
        <v>-14.84833510609438</v>
      </c>
      <c r="H19">
        <v>4</v>
      </c>
      <c r="L19" s="2">
        <v>0.05</v>
      </c>
      <c r="M19" s="10" t="e">
        <f>SLOPE(F4:F9,G4:G9)*L19+INTERCEPT(F4:F9,G4:G9)</f>
        <v>#DIV/0!</v>
      </c>
      <c r="N19" s="3" t="e">
        <f>EXP(M19)</f>
        <v>#DIV/0!</v>
      </c>
      <c r="Q19" s="28">
        <v>0.3</v>
      </c>
      <c r="R19" s="28">
        <v>0.56599999999999995</v>
      </c>
      <c r="S19" s="28">
        <f>(R19/2)*Q19</f>
        <v>8.4899999999999989E-2</v>
      </c>
      <c r="T19" s="28">
        <v>10</v>
      </c>
      <c r="U19" s="28">
        <f>T19/S19</f>
        <v>117.78563015312133</v>
      </c>
    </row>
    <row r="20" spans="1:21" x14ac:dyDescent="0.25">
      <c r="A20" s="5">
        <v>43633</v>
      </c>
      <c r="B20">
        <v>1100</v>
      </c>
      <c r="C20">
        <f t="shared" si="1"/>
        <v>1373</v>
      </c>
      <c r="D20">
        <f t="shared" si="2"/>
        <v>7.2833211944646763</v>
      </c>
      <c r="E20" s="3">
        <v>1.7599999999999999E-7</v>
      </c>
      <c r="F20" s="11">
        <f t="shared" si="0"/>
        <v>-15.55278184190826</v>
      </c>
      <c r="G20">
        <v>0.32800000000000001</v>
      </c>
      <c r="H20">
        <v>4</v>
      </c>
      <c r="L20">
        <v>0.4</v>
      </c>
      <c r="M20">
        <f>0.8467*LN(L20)-14.551</f>
        <v>-15.326823362677848</v>
      </c>
      <c r="N20">
        <f>EXP(M20)</f>
        <v>2.206201565800986E-7</v>
      </c>
      <c r="Q20" s="28">
        <v>0.53500000000000003</v>
      </c>
      <c r="R20" s="28">
        <v>0.56599999999999995</v>
      </c>
      <c r="S20" s="28">
        <f>(R20/2)*Q20</f>
        <v>0.15140499999999998</v>
      </c>
      <c r="T20" s="28">
        <v>15</v>
      </c>
      <c r="U20" s="28">
        <f>T20/S20</f>
        <v>99.072025362438509</v>
      </c>
    </row>
    <row r="21" spans="1:21" x14ac:dyDescent="0.25">
      <c r="B21">
        <v>1125</v>
      </c>
      <c r="C21">
        <f t="shared" si="1"/>
        <v>1398</v>
      </c>
      <c r="D21">
        <f t="shared" si="2"/>
        <v>7.1530758226037197</v>
      </c>
      <c r="E21" s="3">
        <v>2.8200000000000001E-7</v>
      </c>
      <c r="F21" s="11">
        <f t="shared" si="0"/>
        <v>-15.081358766008298</v>
      </c>
      <c r="G21">
        <v>0.53500000000000003</v>
      </c>
      <c r="H21">
        <v>4</v>
      </c>
      <c r="L21">
        <v>0.05</v>
      </c>
      <c r="O21">
        <f>40.598*LN(L21)+1376.5-273</f>
        <v>981.87926115825508</v>
      </c>
    </row>
    <row r="22" spans="1:21" x14ac:dyDescent="0.25">
      <c r="B22">
        <v>1135</v>
      </c>
      <c r="C22">
        <f t="shared" si="1"/>
        <v>1408</v>
      </c>
      <c r="D22">
        <f t="shared" si="2"/>
        <v>7.1022727272727275</v>
      </c>
      <c r="E22" s="3">
        <v>3.3200000000000001E-7</v>
      </c>
      <c r="F22" s="11">
        <f t="shared" si="0"/>
        <v>-14.918130868029923</v>
      </c>
      <c r="G22">
        <v>0.63</v>
      </c>
      <c r="H22">
        <v>4</v>
      </c>
    </row>
    <row r="23" spans="1:21" x14ac:dyDescent="0.25">
      <c r="A23" s="5">
        <v>43637</v>
      </c>
      <c r="B23">
        <v>1125</v>
      </c>
      <c r="C23">
        <f t="shared" si="1"/>
        <v>1398</v>
      </c>
      <c r="D23">
        <f t="shared" si="2"/>
        <v>7.1530758226037197</v>
      </c>
      <c r="E23" s="3">
        <v>2.84E-7</v>
      </c>
      <c r="F23" s="11">
        <f t="shared" si="0"/>
        <v>-15.074291598785205</v>
      </c>
      <c r="H23">
        <v>4</v>
      </c>
    </row>
    <row r="24" spans="1:21" x14ac:dyDescent="0.25">
      <c r="A24" s="5">
        <v>43644</v>
      </c>
      <c r="B24">
        <v>1125</v>
      </c>
      <c r="C24">
        <f t="shared" si="1"/>
        <v>1398</v>
      </c>
      <c r="D24">
        <f t="shared" si="2"/>
        <v>7.1530758226037197</v>
      </c>
      <c r="E24" s="3">
        <v>2.96E-7</v>
      </c>
      <c r="F24" s="11">
        <f t="shared" si="0"/>
        <v>-15.03290638262235</v>
      </c>
      <c r="H24">
        <v>4</v>
      </c>
    </row>
    <row r="25" spans="1:21" x14ac:dyDescent="0.25">
      <c r="A25" s="5">
        <v>43655</v>
      </c>
      <c r="B25">
        <v>1125</v>
      </c>
      <c r="C25">
        <f t="shared" si="1"/>
        <v>1398</v>
      </c>
      <c r="D25">
        <f t="shared" si="2"/>
        <v>7.1530758226037197</v>
      </c>
      <c r="E25" s="3">
        <v>2.8500000000000002E-7</v>
      </c>
      <c r="F25" s="11">
        <f t="shared" si="0"/>
        <v>-15.07077665667776</v>
      </c>
      <c r="H25">
        <v>4</v>
      </c>
    </row>
    <row r="26" spans="1:21" x14ac:dyDescent="0.25">
      <c r="A26" s="5">
        <v>43658</v>
      </c>
      <c r="B26">
        <v>1125</v>
      </c>
      <c r="C26">
        <f t="shared" si="1"/>
        <v>1398</v>
      </c>
      <c r="D26">
        <f t="shared" si="2"/>
        <v>7.1530758226037197</v>
      </c>
      <c r="E26" s="3">
        <v>2.7099999999999998E-7</v>
      </c>
      <c r="F26" s="11">
        <f t="shared" si="0"/>
        <v>-15.121147016066711</v>
      </c>
      <c r="H26">
        <v>4</v>
      </c>
    </row>
    <row r="27" spans="1:21" x14ac:dyDescent="0.25">
      <c r="B27">
        <v>1115</v>
      </c>
      <c r="C27">
        <f t="shared" si="1"/>
        <v>1388</v>
      </c>
      <c r="D27">
        <f t="shared" si="2"/>
        <v>7.2046109510086458</v>
      </c>
      <c r="E27" s="3">
        <v>2.3200000000000001E-7</v>
      </c>
      <c r="F27" s="11">
        <f t="shared" si="0"/>
        <v>-15.276528465280101</v>
      </c>
      <c r="H27">
        <v>4</v>
      </c>
    </row>
    <row r="28" spans="1:21" x14ac:dyDescent="0.25">
      <c r="A28" s="5">
        <v>43664</v>
      </c>
      <c r="B28">
        <v>1125</v>
      </c>
      <c r="C28">
        <f t="shared" si="1"/>
        <v>1398</v>
      </c>
      <c r="D28">
        <f t="shared" si="2"/>
        <v>7.1530758226037197</v>
      </c>
      <c r="E28" s="3">
        <v>2.4299999999999999E-7</v>
      </c>
      <c r="F28" s="11">
        <f t="shared" si="0"/>
        <v>-15.230204393605863</v>
      </c>
      <c r="H28">
        <v>4</v>
      </c>
      <c r="I28" t="s">
        <v>88</v>
      </c>
    </row>
    <row r="29" spans="1:21" x14ac:dyDescent="0.25">
      <c r="B29">
        <v>1130</v>
      </c>
      <c r="C29">
        <f t="shared" si="1"/>
        <v>1403</v>
      </c>
      <c r="D29">
        <f t="shared" si="2"/>
        <v>7.1275837491090517</v>
      </c>
      <c r="E29" s="3">
        <v>2.72E-7</v>
      </c>
      <c r="F29" s="11">
        <f t="shared" si="0"/>
        <v>-15.117463770650414</v>
      </c>
      <c r="H29">
        <v>4</v>
      </c>
    </row>
    <row r="30" spans="1:21" x14ac:dyDescent="0.25">
      <c r="A30" s="5">
        <v>43675</v>
      </c>
      <c r="B30">
        <v>1130</v>
      </c>
      <c r="C30">
        <f t="shared" si="1"/>
        <v>1403</v>
      </c>
      <c r="D30">
        <f t="shared" si="2"/>
        <v>7.1275837491090517</v>
      </c>
      <c r="E30" s="3">
        <v>2.7099999999999998E-7</v>
      </c>
      <c r="F30" s="11">
        <f t="shared" si="0"/>
        <v>-15.121147016066711</v>
      </c>
      <c r="H30">
        <v>4</v>
      </c>
    </row>
    <row r="31" spans="1:21" x14ac:dyDescent="0.25">
      <c r="A31" s="5">
        <v>43682</v>
      </c>
      <c r="B31">
        <v>1130</v>
      </c>
      <c r="C31">
        <f t="shared" si="1"/>
        <v>1403</v>
      </c>
      <c r="D31">
        <f t="shared" si="2"/>
        <v>7.1275837491090517</v>
      </c>
      <c r="E31" s="3">
        <v>2.7500000000000001E-7</v>
      </c>
      <c r="F31" s="11">
        <f t="shared" si="0"/>
        <v>-15.106494739279841</v>
      </c>
      <c r="H31">
        <v>4</v>
      </c>
    </row>
    <row r="32" spans="1:21" x14ac:dyDescent="0.25">
      <c r="A32" s="5">
        <v>76557</v>
      </c>
      <c r="B32">
        <v>1130</v>
      </c>
      <c r="C32">
        <f t="shared" si="1"/>
        <v>1403</v>
      </c>
      <c r="D32">
        <f t="shared" si="2"/>
        <v>7.1275837491090517</v>
      </c>
      <c r="E32" s="3">
        <v>2.6300000000000001E-7</v>
      </c>
      <c r="F32" s="11">
        <f t="shared" si="0"/>
        <v>-15.151111804768647</v>
      </c>
      <c r="H32">
        <v>4</v>
      </c>
    </row>
    <row r="33" spans="1:8" x14ac:dyDescent="0.25">
      <c r="B33">
        <v>1115</v>
      </c>
      <c r="C33">
        <f t="shared" si="1"/>
        <v>1388</v>
      </c>
      <c r="D33">
        <f t="shared" si="2"/>
        <v>7.2046109510086458</v>
      </c>
      <c r="E33" s="3">
        <v>2.03E-7</v>
      </c>
      <c r="F33" s="11">
        <f t="shared" si="0"/>
        <v>-15.410059857904624</v>
      </c>
      <c r="H33">
        <v>4</v>
      </c>
    </row>
    <row r="34" spans="1:8" x14ac:dyDescent="0.25">
      <c r="A34" s="5">
        <v>43692</v>
      </c>
      <c r="B34">
        <v>1115</v>
      </c>
      <c r="C34">
        <f t="shared" si="1"/>
        <v>1388</v>
      </c>
      <c r="D34">
        <f t="shared" si="2"/>
        <v>7.2046109510086458</v>
      </c>
      <c r="E34" s="3">
        <v>1.97E-7</v>
      </c>
      <c r="F34" s="11">
        <f t="shared" si="0"/>
        <v>-15.440062108208423</v>
      </c>
      <c r="H34">
        <v>4</v>
      </c>
    </row>
    <row r="35" spans="1:8" x14ac:dyDescent="0.25">
      <c r="A35" s="5">
        <v>43698</v>
      </c>
      <c r="B35">
        <v>1120</v>
      </c>
      <c r="C35">
        <f t="shared" si="1"/>
        <v>1393</v>
      </c>
      <c r="D35">
        <f t="shared" si="2"/>
        <v>7.1787508973438623</v>
      </c>
      <c r="E35" s="3">
        <v>2.11E-7</v>
      </c>
      <c r="F35" s="11">
        <f t="shared" si="0"/>
        <v>-15.371407703470345</v>
      </c>
      <c r="H35">
        <v>4</v>
      </c>
    </row>
    <row r="36" spans="1:8" x14ac:dyDescent="0.25">
      <c r="A36" s="5">
        <v>43700</v>
      </c>
      <c r="B36">
        <v>1115</v>
      </c>
      <c r="C36">
        <f t="shared" si="1"/>
        <v>1388</v>
      </c>
      <c r="D36">
        <f t="shared" si="2"/>
        <v>7.2046109510086458</v>
      </c>
      <c r="E36" s="3">
        <v>1.8900000000000001E-7</v>
      </c>
      <c r="F36" s="11">
        <f t="shared" si="0"/>
        <v>-15.481518821886768</v>
      </c>
      <c r="H36">
        <v>4</v>
      </c>
    </row>
    <row r="37" spans="1:8" x14ac:dyDescent="0.25">
      <c r="B37">
        <v>1050</v>
      </c>
      <c r="C37">
        <f t="shared" si="1"/>
        <v>1323</v>
      </c>
      <c r="D37">
        <f t="shared" si="2"/>
        <v>7.5585789871504154</v>
      </c>
      <c r="E37" s="3">
        <v>5.8999999999999999E-8</v>
      </c>
      <c r="F37" s="11">
        <f t="shared" si="0"/>
        <v>-16.645728393040692</v>
      </c>
      <c r="H37">
        <v>4</v>
      </c>
    </row>
    <row r="38" spans="1:8" x14ac:dyDescent="0.25">
      <c r="A38" s="5">
        <v>43710</v>
      </c>
      <c r="B38">
        <v>1115</v>
      </c>
      <c r="C38">
        <f t="shared" si="1"/>
        <v>1388</v>
      </c>
      <c r="D38">
        <f t="shared" si="2"/>
        <v>7.2046109510086458</v>
      </c>
      <c r="E38" s="3">
        <v>1.9299999999999999E-7</v>
      </c>
      <c r="F38" s="11">
        <f t="shared" si="0"/>
        <v>-15.460575648041525</v>
      </c>
      <c r="H38">
        <v>4</v>
      </c>
    </row>
    <row r="39" spans="1:8" x14ac:dyDescent="0.25">
      <c r="B39">
        <v>1055</v>
      </c>
      <c r="C39">
        <f t="shared" si="1"/>
        <v>1328</v>
      </c>
      <c r="D39">
        <f t="shared" si="2"/>
        <v>7.5301204819277112</v>
      </c>
      <c r="E39" s="3">
        <v>6.5699999999999999E-8</v>
      </c>
      <c r="F39" s="11">
        <f t="shared" si="0"/>
        <v>-16.538166911455846</v>
      </c>
      <c r="H39">
        <v>4</v>
      </c>
    </row>
    <row r="40" spans="1:8" x14ac:dyDescent="0.25">
      <c r="A40" s="5">
        <v>43713</v>
      </c>
      <c r="B40">
        <v>1115</v>
      </c>
      <c r="C40">
        <f t="shared" si="1"/>
        <v>1388</v>
      </c>
      <c r="D40">
        <f t="shared" si="2"/>
        <v>7.2046109510086458</v>
      </c>
      <c r="E40" s="3">
        <v>1.85E-7</v>
      </c>
      <c r="F40" s="11">
        <f t="shared" si="0"/>
        <v>-15.502910011868087</v>
      </c>
    </row>
    <row r="41" spans="1:8" x14ac:dyDescent="0.25">
      <c r="B41">
        <v>1050</v>
      </c>
      <c r="C41">
        <f t="shared" si="1"/>
        <v>1323</v>
      </c>
      <c r="D41">
        <f t="shared" si="2"/>
        <v>7.5585789871504154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Arsenic Valve</vt:lpstr>
      <vt:lpstr>Gallium - GaAs</vt:lpstr>
      <vt:lpstr>Tl Cell</vt:lpstr>
      <vt:lpstr> Indium - InAs</vt:lpstr>
      <vt:lpstr>Aluminum - AlAs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</dc:creator>
  <cp:lastModifiedBy>kSA</cp:lastModifiedBy>
  <dcterms:created xsi:type="dcterms:W3CDTF">2017-02-22T21:28:01Z</dcterms:created>
  <dcterms:modified xsi:type="dcterms:W3CDTF">2023-10-28T00:20:24Z</dcterms:modified>
</cp:coreProperties>
</file>