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pple/Desktop/"/>
    </mc:Choice>
  </mc:AlternateContent>
  <xr:revisionPtr revIDLastSave="0" documentId="13_ncr:1_{175BCD11-7337-6146-905F-F2A0EE3E57FE}" xr6:coauthVersionLast="32" xr6:coauthVersionMax="32" xr10:uidLastSave="{00000000-0000-0000-0000-000000000000}"/>
  <bookViews>
    <workbookView xWindow="0" yWindow="460" windowWidth="25600" windowHeight="14280" activeTab="5" xr2:uid="{00000000-000D-0000-FFFF-FFFF00000000}"/>
  </bookViews>
  <sheets>
    <sheet name="A" sheetId="1" r:id="rId1"/>
    <sheet name="B2(bootstrap)" sheetId="7" r:id="rId2"/>
    <sheet name="B3(short way)" sheetId="2" r:id="rId3"/>
    <sheet name="C" sheetId="3" r:id="rId4"/>
    <sheet name="D5" sheetId="4" r:id="rId5"/>
    <sheet name="D6" sheetId="8" r:id="rId6"/>
    <sheet name="D7" sheetId="5" r:id="rId7"/>
    <sheet name="D8" sheetId="6" r:id="rId8"/>
    <sheet name="part2" sheetId="9" r:id="rId9"/>
    <sheet name="part3.1.1 vasicek model " sheetId="12" r:id="rId10"/>
    <sheet name="part3.1.2vasicek model solution" sheetId="13" r:id="rId11"/>
    <sheet name="part3.2 normal spot solution" sheetId="15" r:id="rId12"/>
    <sheet name="part3.3 Ho and Lee model" sheetId="16" r:id="rId13"/>
    <sheet name="part3.4 Hull and white model" sheetId="17" r:id="rId14"/>
    <sheet name="part3.5 log normally solution" sheetId="19" r:id="rId15"/>
    <sheet name="part3.6 BDT model" sheetId="20" r:id="rId16"/>
    <sheet name="part3.7 Black Karasinski model" sheetId="21" r:id="rId17"/>
    <sheet name="part4" sheetId="11" r:id="rId18"/>
  </sheets>
  <definedNames>
    <definedName name="solver_adj" localSheetId="6" hidden="1">'D7'!$B$16:$B$20</definedName>
    <definedName name="solver_adj" localSheetId="7" hidden="1">'D8'!$C$16:$C$19</definedName>
    <definedName name="solver_adj" localSheetId="10" hidden="1">'part3.1.2vasicek model solution'!$B$7:$B$8</definedName>
    <definedName name="solver_adj" localSheetId="11" hidden="1">'part3.2 normal spot solution'!$D$7</definedName>
    <definedName name="solver_adj" localSheetId="14" hidden="1">'part3.5 log normally solution'!$D$26</definedName>
    <definedName name="solver_cvg" localSheetId="6" hidden="1">0.0001</definedName>
    <definedName name="solver_cvg" localSheetId="7" hidden="1">0.0001</definedName>
    <definedName name="solver_cvg" localSheetId="10" hidden="1">0.0001</definedName>
    <definedName name="solver_cvg" localSheetId="11" hidden="1">0.0001</definedName>
    <definedName name="solver_cvg" localSheetId="14" hidden="1">0.0001</definedName>
    <definedName name="solver_drv" localSheetId="6" hidden="1">1</definedName>
    <definedName name="solver_drv" localSheetId="7" hidden="1">1</definedName>
    <definedName name="solver_drv" localSheetId="10" hidden="1">1</definedName>
    <definedName name="solver_drv" localSheetId="11" hidden="1">2</definedName>
    <definedName name="solver_drv" localSheetId="14" hidden="1">1</definedName>
    <definedName name="solver_eng" localSheetId="6" hidden="1">1</definedName>
    <definedName name="solver_eng" localSheetId="7" hidden="1">1</definedName>
    <definedName name="solver_eng" localSheetId="10" hidden="1">1</definedName>
    <definedName name="solver_eng" localSheetId="11" hidden="1">1</definedName>
    <definedName name="solver_eng" localSheetId="14" hidden="1">1</definedName>
    <definedName name="solver_est" localSheetId="7" hidden="1">1</definedName>
    <definedName name="solver_est" localSheetId="10" hidden="1">1</definedName>
    <definedName name="solver_est" localSheetId="11" hidden="1">1</definedName>
    <definedName name="solver_est" localSheetId="14" hidden="1">1</definedName>
    <definedName name="solver_itr" localSheetId="6" hidden="1">2147483647</definedName>
    <definedName name="solver_itr" localSheetId="7" hidden="1">2147483647</definedName>
    <definedName name="solver_itr" localSheetId="10" hidden="1">2147483647</definedName>
    <definedName name="solver_itr" localSheetId="11" hidden="1">2147483647</definedName>
    <definedName name="solver_itr" localSheetId="14" hidden="1">2147483647</definedName>
    <definedName name="solver_lin" localSheetId="6" hidden="1">2</definedName>
    <definedName name="solver_lin" localSheetId="7" hidden="1">2</definedName>
    <definedName name="solver_mip" localSheetId="6" hidden="1">2147483647</definedName>
    <definedName name="solver_mip" localSheetId="7" hidden="1">2147483647</definedName>
    <definedName name="solver_mip" localSheetId="10" hidden="1">2147483647</definedName>
    <definedName name="solver_mip" localSheetId="11" hidden="1">2147483647</definedName>
    <definedName name="solver_mip" localSheetId="14" hidden="1">2147483647</definedName>
    <definedName name="solver_mni" localSheetId="6" hidden="1">30</definedName>
    <definedName name="solver_mni" localSheetId="7" hidden="1">30</definedName>
    <definedName name="solver_mni" localSheetId="10" hidden="1">30</definedName>
    <definedName name="solver_mni" localSheetId="11" hidden="1">30</definedName>
    <definedName name="solver_mni" localSheetId="14" hidden="1">30</definedName>
    <definedName name="solver_mrt" localSheetId="6" hidden="1">0.075</definedName>
    <definedName name="solver_mrt" localSheetId="7" hidden="1">0.075</definedName>
    <definedName name="solver_mrt" localSheetId="10" hidden="1">0.075</definedName>
    <definedName name="solver_mrt" localSheetId="11" hidden="1">0.075</definedName>
    <definedName name="solver_mrt" localSheetId="14" hidden="1">0.075</definedName>
    <definedName name="solver_msl" localSheetId="6" hidden="1">2</definedName>
    <definedName name="solver_msl" localSheetId="7" hidden="1">2</definedName>
    <definedName name="solver_msl" localSheetId="10" hidden="1">2</definedName>
    <definedName name="solver_msl" localSheetId="11" hidden="1">2</definedName>
    <definedName name="solver_msl" localSheetId="14" hidden="1">2</definedName>
    <definedName name="solver_neg" localSheetId="6" hidden="1">1</definedName>
    <definedName name="solver_neg" localSheetId="7" hidden="1">1</definedName>
    <definedName name="solver_neg" localSheetId="10" hidden="1">1</definedName>
    <definedName name="solver_neg" localSheetId="11" hidden="1">1</definedName>
    <definedName name="solver_neg" localSheetId="14" hidden="1">1</definedName>
    <definedName name="solver_nod" localSheetId="6" hidden="1">2147483647</definedName>
    <definedName name="solver_nod" localSheetId="7" hidden="1">2147483647</definedName>
    <definedName name="solver_nod" localSheetId="10" hidden="1">2147483647</definedName>
    <definedName name="solver_nod" localSheetId="11" hidden="1">2147483647</definedName>
    <definedName name="solver_nod" localSheetId="14" hidden="1">2147483647</definedName>
    <definedName name="solver_num" localSheetId="6" hidden="1">0</definedName>
    <definedName name="solver_num" localSheetId="7" hidden="1">0</definedName>
    <definedName name="solver_num" localSheetId="10" hidden="1">0</definedName>
    <definedName name="solver_num" localSheetId="11" hidden="1">0</definedName>
    <definedName name="solver_num" localSheetId="14" hidden="1">0</definedName>
    <definedName name="solver_nwt" localSheetId="7" hidden="1">1</definedName>
    <definedName name="solver_nwt" localSheetId="10" hidden="1">1</definedName>
    <definedName name="solver_nwt" localSheetId="11" hidden="1">1</definedName>
    <definedName name="solver_nwt" localSheetId="14" hidden="1">1</definedName>
    <definedName name="solver_opt" localSheetId="6" hidden="1">'D7'!$I$12</definedName>
    <definedName name="solver_opt" localSheetId="7" hidden="1">'D8'!$I$12</definedName>
    <definedName name="solver_opt" localSheetId="10" hidden="1">'part3.1.2vasicek model solution'!$D$46</definedName>
    <definedName name="solver_opt" localSheetId="11" hidden="1">'part3.2 normal spot solution'!$F$41</definedName>
    <definedName name="solver_opt" localSheetId="14" hidden="1">'part3.5 log normally solution'!$F$42</definedName>
    <definedName name="solver_pre" localSheetId="6" hidden="1">0.000001</definedName>
    <definedName name="solver_pre" localSheetId="7" hidden="1">0.000001</definedName>
    <definedName name="solver_pre" localSheetId="10" hidden="1">0.000001</definedName>
    <definedName name="solver_pre" localSheetId="11" hidden="1">0.000001</definedName>
    <definedName name="solver_pre" localSheetId="14" hidden="1">0.000001</definedName>
    <definedName name="solver_rbv" localSheetId="6" hidden="1">1</definedName>
    <definedName name="solver_rbv" localSheetId="7" hidden="1">1</definedName>
    <definedName name="solver_rbv" localSheetId="10" hidden="1">1</definedName>
    <definedName name="solver_rbv" localSheetId="11" hidden="1">2</definedName>
    <definedName name="solver_rbv" localSheetId="14" hidden="1">1</definedName>
    <definedName name="solver_rlx" localSheetId="6" hidden="1">2</definedName>
    <definedName name="solver_rlx" localSheetId="7" hidden="1">2</definedName>
    <definedName name="solver_rlx" localSheetId="10" hidden="1">2</definedName>
    <definedName name="solver_rlx" localSheetId="11" hidden="1">2</definedName>
    <definedName name="solver_rlx" localSheetId="14" hidden="1">2</definedName>
    <definedName name="solver_rsd" localSheetId="6" hidden="1">0</definedName>
    <definedName name="solver_rsd" localSheetId="7" hidden="1">0</definedName>
    <definedName name="solver_rsd" localSheetId="10" hidden="1">0</definedName>
    <definedName name="solver_rsd" localSheetId="11" hidden="1">0</definedName>
    <definedName name="solver_rsd" localSheetId="14" hidden="1">0</definedName>
    <definedName name="solver_scl" localSheetId="6" hidden="1">1</definedName>
    <definedName name="solver_scl" localSheetId="7" hidden="1">1</definedName>
    <definedName name="solver_scl" localSheetId="10" hidden="1">1</definedName>
    <definedName name="solver_scl" localSheetId="11" hidden="1">2</definedName>
    <definedName name="solver_scl" localSheetId="14" hidden="1">1</definedName>
    <definedName name="solver_sho" localSheetId="6" hidden="1">2</definedName>
    <definedName name="solver_sho" localSheetId="7" hidden="1">2</definedName>
    <definedName name="solver_sho" localSheetId="10" hidden="1">2</definedName>
    <definedName name="solver_sho" localSheetId="11" hidden="1">2</definedName>
    <definedName name="solver_sho" localSheetId="14" hidden="1">2</definedName>
    <definedName name="solver_ssz" localSheetId="6" hidden="1">100</definedName>
    <definedName name="solver_ssz" localSheetId="7" hidden="1">100</definedName>
    <definedName name="solver_ssz" localSheetId="10" hidden="1">100</definedName>
    <definedName name="solver_ssz" localSheetId="11" hidden="1">100</definedName>
    <definedName name="solver_ssz" localSheetId="14" hidden="1">100</definedName>
    <definedName name="solver_tim" localSheetId="6" hidden="1">2147483647</definedName>
    <definedName name="solver_tim" localSheetId="7" hidden="1">2147483647</definedName>
    <definedName name="solver_tim" localSheetId="10" hidden="1">2147483647</definedName>
    <definedName name="solver_tim" localSheetId="11" hidden="1">2147483647</definedName>
    <definedName name="solver_tim" localSheetId="14" hidden="1">2147483647</definedName>
    <definedName name="solver_tol" localSheetId="6" hidden="1">0.01</definedName>
    <definedName name="solver_tol" localSheetId="7" hidden="1">0.01</definedName>
    <definedName name="solver_tol" localSheetId="10" hidden="1">0.01</definedName>
    <definedName name="solver_tol" localSheetId="11" hidden="1">0.01</definedName>
    <definedName name="solver_tol" localSheetId="14" hidden="1">0.01</definedName>
    <definedName name="solver_typ" localSheetId="6" hidden="1">2</definedName>
    <definedName name="solver_typ" localSheetId="7" hidden="1">2</definedName>
    <definedName name="solver_typ" localSheetId="10" hidden="1">2</definedName>
    <definedName name="solver_typ" localSheetId="11" hidden="1">2</definedName>
    <definedName name="solver_typ" localSheetId="14" hidden="1">2</definedName>
    <definedName name="solver_val" localSheetId="6" hidden="1">0</definedName>
    <definedName name="solver_val" localSheetId="7" hidden="1">0</definedName>
    <definedName name="solver_val" localSheetId="10" hidden="1">0</definedName>
    <definedName name="solver_val" localSheetId="11" hidden="1">0</definedName>
    <definedName name="solver_val" localSheetId="14" hidden="1">0</definedName>
    <definedName name="solver_ver" localSheetId="6" hidden="1">2</definedName>
    <definedName name="solver_ver" localSheetId="7" hidden="1">2</definedName>
    <definedName name="solver_ver" localSheetId="10" hidden="1">3</definedName>
    <definedName name="solver_ver" localSheetId="11" hidden="1">3</definedName>
    <definedName name="solver_ver" localSheetId="14" hidden="1">3</definedName>
  </definedNames>
  <calcPr calcId="179017" calcMode="manual" iterateDelta="0"/>
</workbook>
</file>

<file path=xl/calcChain.xml><?xml version="1.0" encoding="utf-8"?>
<calcChain xmlns="http://schemas.openxmlformats.org/spreadsheetml/2006/main">
  <c r="M5" i="8" l="1"/>
  <c r="F3" i="8"/>
  <c r="J3" i="8" s="1"/>
  <c r="F2" i="8"/>
  <c r="J2" i="8" s="1"/>
  <c r="M2" i="8" s="1"/>
  <c r="M4" i="8" l="1"/>
  <c r="M3" i="8"/>
  <c r="M18" i="19"/>
  <c r="G4" i="15"/>
  <c r="E16" i="13"/>
  <c r="O6" i="6" l="1"/>
  <c r="O2" i="6"/>
  <c r="K13" i="6"/>
  <c r="K11" i="6"/>
  <c r="K8" i="6"/>
  <c r="O9" i="6" s="1"/>
  <c r="K7" i="6"/>
  <c r="O7" i="6" s="1"/>
  <c r="K6" i="6"/>
  <c r="K5" i="6"/>
  <c r="O5" i="6" s="1"/>
  <c r="K4" i="6"/>
  <c r="O4" i="6" s="1"/>
  <c r="K3" i="6"/>
  <c r="O3" i="6" s="1"/>
  <c r="K2" i="6"/>
  <c r="B11" i="6"/>
  <c r="B10" i="6"/>
  <c r="B9" i="6"/>
  <c r="B8" i="6"/>
  <c r="B7" i="6"/>
  <c r="B6" i="6"/>
  <c r="B5" i="6"/>
  <c r="B4" i="6"/>
  <c r="B3" i="6"/>
  <c r="B2" i="6"/>
  <c r="E13" i="6"/>
  <c r="E12" i="6"/>
  <c r="E11" i="6"/>
  <c r="E10" i="6"/>
  <c r="E9" i="6"/>
  <c r="E8" i="6"/>
  <c r="E7" i="6"/>
  <c r="E6" i="6"/>
  <c r="E5" i="6"/>
  <c r="E4" i="6"/>
  <c r="E3" i="6"/>
  <c r="E2" i="6"/>
  <c r="D13" i="6"/>
  <c r="D12" i="6"/>
  <c r="D11" i="6"/>
  <c r="G11" i="6" s="1"/>
  <c r="D10" i="6"/>
  <c r="D9" i="6"/>
  <c r="D8" i="6"/>
  <c r="D7" i="6"/>
  <c r="G7" i="6" s="1"/>
  <c r="D6" i="6"/>
  <c r="D5" i="6"/>
  <c r="G5" i="6" s="1"/>
  <c r="I5" i="6" s="1"/>
  <c r="D4" i="6"/>
  <c r="D3" i="6"/>
  <c r="G3" i="6" s="1"/>
  <c r="D2" i="6"/>
  <c r="O16" i="5"/>
  <c r="O15" i="5"/>
  <c r="Q13" i="5"/>
  <c r="Q12" i="5"/>
  <c r="K13" i="5"/>
  <c r="K12" i="5"/>
  <c r="N10" i="5" s="1"/>
  <c r="Q9" i="5" s="1"/>
  <c r="K11" i="5"/>
  <c r="K10" i="5"/>
  <c r="K9" i="5"/>
  <c r="N9" i="5" s="1"/>
  <c r="K8" i="5"/>
  <c r="N8" i="5" s="1"/>
  <c r="Q7" i="5" s="1"/>
  <c r="K7" i="5"/>
  <c r="N13" i="5"/>
  <c r="N12" i="5"/>
  <c r="Q11" i="5" s="1"/>
  <c r="N11" i="5"/>
  <c r="Q10" i="5" s="1"/>
  <c r="N7" i="5"/>
  <c r="Q6" i="5" s="1"/>
  <c r="N3" i="5"/>
  <c r="K6" i="5"/>
  <c r="N6" i="5" s="1"/>
  <c r="K5" i="5"/>
  <c r="N5" i="5" s="1"/>
  <c r="K4" i="5"/>
  <c r="N4" i="5" s="1"/>
  <c r="Q3" i="5" s="1"/>
  <c r="K3" i="5"/>
  <c r="K2" i="5"/>
  <c r="N2" i="5" s="1"/>
  <c r="Q2" i="5" s="1"/>
  <c r="E13" i="5"/>
  <c r="E12" i="5"/>
  <c r="E11" i="5"/>
  <c r="E10" i="5"/>
  <c r="E9" i="5"/>
  <c r="E8" i="5"/>
  <c r="E7" i="5"/>
  <c r="E6" i="5"/>
  <c r="E5" i="5"/>
  <c r="E4" i="5"/>
  <c r="E3" i="5"/>
  <c r="E2" i="5"/>
  <c r="D13" i="5"/>
  <c r="D12" i="5"/>
  <c r="D11" i="5"/>
  <c r="D10" i="5"/>
  <c r="D9" i="5"/>
  <c r="D8" i="5"/>
  <c r="D7" i="5"/>
  <c r="D6" i="5"/>
  <c r="D5" i="5"/>
  <c r="D4" i="5"/>
  <c r="D3" i="5"/>
  <c r="D2" i="5"/>
  <c r="C13" i="5"/>
  <c r="G13" i="5" s="1"/>
  <c r="C12" i="5"/>
  <c r="C11" i="5"/>
  <c r="C10" i="5"/>
  <c r="G10" i="5" s="1"/>
  <c r="I10" i="5" s="1"/>
  <c r="C9" i="5"/>
  <c r="G9" i="5" s="1"/>
  <c r="I9" i="5" s="1"/>
  <c r="C8" i="5"/>
  <c r="C7" i="5"/>
  <c r="C6" i="5"/>
  <c r="C5" i="5"/>
  <c r="G5" i="5" s="1"/>
  <c r="I5" i="5" s="1"/>
  <c r="C4" i="5"/>
  <c r="C3" i="5"/>
  <c r="C2" i="5"/>
  <c r="M7" i="8"/>
  <c r="M6" i="8"/>
  <c r="J13" i="8"/>
  <c r="J11" i="8"/>
  <c r="J9" i="8"/>
  <c r="J8" i="8"/>
  <c r="M8" i="8" s="1"/>
  <c r="F12" i="8"/>
  <c r="J10" i="8" s="1"/>
  <c r="A13" i="8"/>
  <c r="F13" i="8" s="1"/>
  <c r="J12" i="8" s="1"/>
  <c r="A12" i="8"/>
  <c r="F4" i="8"/>
  <c r="E2" i="8"/>
  <c r="B42" i="3"/>
  <c r="E42" i="3" s="1"/>
  <c r="B41" i="3"/>
  <c r="E41" i="3" s="1"/>
  <c r="B40" i="3"/>
  <c r="E40" i="3" s="1"/>
  <c r="B39" i="3"/>
  <c r="E39" i="3" s="1"/>
  <c r="B38" i="3"/>
  <c r="E38" i="3" s="1"/>
  <c r="B37" i="3"/>
  <c r="E37" i="3" s="1"/>
  <c r="B36" i="3"/>
  <c r="E36" i="3" s="1"/>
  <c r="B35" i="3"/>
  <c r="E35" i="3" s="1"/>
  <c r="L8" i="1"/>
  <c r="K29" i="2" a="1"/>
  <c r="K29" i="2"/>
  <c r="K30" i="2"/>
  <c r="K31" i="2"/>
  <c r="K32" i="2"/>
  <c r="K33" i="2"/>
  <c r="K34" i="2"/>
  <c r="K35" i="2"/>
  <c r="K36" i="2"/>
  <c r="C30" i="7"/>
  <c r="E30" i="7" s="1"/>
  <c r="C29" i="7"/>
  <c r="E29" i="7" s="1"/>
  <c r="C38" i="7" s="1"/>
  <c r="E20" i="7"/>
  <c r="E21" i="7"/>
  <c r="L9" i="1"/>
  <c r="O8" i="6" l="1"/>
  <c r="G4" i="6"/>
  <c r="I4" i="6" s="1"/>
  <c r="G8" i="6"/>
  <c r="I8" i="6" s="1"/>
  <c r="G12" i="6"/>
  <c r="G2" i="6"/>
  <c r="I2" i="6" s="1"/>
  <c r="G6" i="6"/>
  <c r="I6" i="6" s="1"/>
  <c r="G10" i="6"/>
  <c r="I10" i="6" s="1"/>
  <c r="G9" i="6"/>
  <c r="I9" i="6" s="1"/>
  <c r="G13" i="6"/>
  <c r="I3" i="6"/>
  <c r="I7" i="6"/>
  <c r="I11" i="6"/>
  <c r="Q4" i="5"/>
  <c r="Q5" i="5"/>
  <c r="Q8" i="5"/>
  <c r="G3" i="5"/>
  <c r="I3" i="5" s="1"/>
  <c r="G4" i="5"/>
  <c r="I4" i="5" s="1"/>
  <c r="G2" i="5"/>
  <c r="I2" i="5" s="1"/>
  <c r="G7" i="5"/>
  <c r="I7" i="5" s="1"/>
  <c r="G12" i="5"/>
  <c r="G6" i="5"/>
  <c r="I6" i="5" s="1"/>
  <c r="G8" i="5"/>
  <c r="I8" i="5" s="1"/>
  <c r="G11" i="5"/>
  <c r="I11" i="5" s="1"/>
  <c r="M11" i="8"/>
  <c r="M10" i="8"/>
  <c r="C39" i="7"/>
  <c r="M12" i="8"/>
  <c r="M13" i="8"/>
  <c r="M9" i="8"/>
  <c r="N42" i="19"/>
  <c r="G5" i="15"/>
  <c r="J26" i="9"/>
  <c r="J24" i="9"/>
  <c r="J25" i="9"/>
  <c r="J27" i="9" s="1"/>
  <c r="C42" i="9" s="1"/>
  <c r="J21" i="9"/>
  <c r="C17" i="9"/>
  <c r="E14" i="12"/>
  <c r="I12" i="6" l="1"/>
  <c r="I12" i="5"/>
  <c r="J22" i="9"/>
  <c r="J23" i="9" s="1"/>
  <c r="C35" i="9" s="1"/>
  <c r="C45" i="9" s="1"/>
  <c r="C48" i="9" s="1"/>
  <c r="J28" i="9"/>
  <c r="G23" i="9"/>
  <c r="F23" i="9"/>
  <c r="G22" i="9"/>
  <c r="E7" i="9"/>
  <c r="F22" i="9"/>
  <c r="G8" i="9"/>
  <c r="E8" i="9"/>
  <c r="G7" i="9"/>
  <c r="H7" i="9" s="1"/>
  <c r="C12" i="9" s="1"/>
  <c r="D12" i="9" s="1"/>
  <c r="H8" i="9" l="1"/>
  <c r="C13" i="9" s="1"/>
  <c r="D13" i="9" s="1"/>
  <c r="E13" i="9" s="1"/>
  <c r="F13" i="9" s="1"/>
  <c r="E12" i="9"/>
  <c r="F12" i="9" s="1"/>
  <c r="I7" i="9" s="1"/>
  <c r="I8" i="9" l="1"/>
  <c r="G9" i="19" l="1"/>
  <c r="G10" i="19"/>
  <c r="G7" i="19" l="1"/>
  <c r="G8" i="19"/>
  <c r="G11" i="19"/>
  <c r="G12" i="19"/>
  <c r="N46" i="19" s="1"/>
  <c r="G13" i="19"/>
  <c r="D15" i="19"/>
  <c r="D17" i="19"/>
  <c r="D18" i="19"/>
  <c r="V18" i="19"/>
  <c r="AE18" i="19" s="1"/>
  <c r="D19" i="19"/>
  <c r="L19" i="19"/>
  <c r="K20" i="19"/>
  <c r="T20" i="19" s="1"/>
  <c r="AC20" i="19" s="1"/>
  <c r="M20" i="19"/>
  <c r="V20" i="19"/>
  <c r="AE20" i="19" s="1"/>
  <c r="D21" i="19"/>
  <c r="K22" i="19" s="1"/>
  <c r="T22" i="19" s="1"/>
  <c r="AC22" i="19" s="1"/>
  <c r="J21" i="19"/>
  <c r="S21" i="19"/>
  <c r="AB21" i="19" s="1"/>
  <c r="I22" i="19"/>
  <c r="I24" i="19" s="1"/>
  <c r="R24" i="19" s="1"/>
  <c r="AA24" i="19" s="1"/>
  <c r="V22" i="19"/>
  <c r="AE22" i="19" s="1"/>
  <c r="AJ22" i="19"/>
  <c r="AK21" i="19" s="1"/>
  <c r="D23" i="19"/>
  <c r="M22" i="19" s="1"/>
  <c r="H23" i="19"/>
  <c r="AI23" i="19"/>
  <c r="G24" i="19"/>
  <c r="G26" i="19" s="1"/>
  <c r="P26" i="19" s="1"/>
  <c r="Y26" i="19" s="1"/>
  <c r="M24" i="19"/>
  <c r="P24" i="19"/>
  <c r="V24" i="19"/>
  <c r="AE24" i="19" s="1"/>
  <c r="Y24" i="19"/>
  <c r="AJ24" i="19"/>
  <c r="AJ26" i="19" s="1"/>
  <c r="F25" i="19"/>
  <c r="O25" i="19"/>
  <c r="X25" i="19"/>
  <c r="I26" i="19"/>
  <c r="R26" i="19" s="1"/>
  <c r="AA26" i="19" s="1"/>
  <c r="M26" i="19"/>
  <c r="V26" i="19" s="1"/>
  <c r="AE26" i="19" s="1"/>
  <c r="H27" i="19"/>
  <c r="Q27" i="19" s="1"/>
  <c r="Z27" i="19" s="1"/>
  <c r="M28" i="19"/>
  <c r="V28" i="19" s="1"/>
  <c r="AE28" i="19" s="1"/>
  <c r="M30" i="19"/>
  <c r="V30" i="19" s="1"/>
  <c r="AE30" i="19" s="1"/>
  <c r="M32" i="19"/>
  <c r="V32" i="19"/>
  <c r="AE32" i="19" s="1"/>
  <c r="N40" i="19"/>
  <c r="N41" i="19"/>
  <c r="D42" i="19"/>
  <c r="F42" i="19" s="1"/>
  <c r="N45" i="19"/>
  <c r="D14" i="15"/>
  <c r="G6" i="15"/>
  <c r="G7" i="15"/>
  <c r="D17" i="15" s="1"/>
  <c r="G8" i="15"/>
  <c r="D18" i="15" s="1"/>
  <c r="G9" i="15"/>
  <c r="G10" i="15"/>
  <c r="D20" i="15" s="1"/>
  <c r="D12" i="15"/>
  <c r="D15" i="15"/>
  <c r="M15" i="15"/>
  <c r="V15" i="15" s="1"/>
  <c r="D16" i="15"/>
  <c r="I21" i="15" s="1"/>
  <c r="R21" i="15" s="1"/>
  <c r="L16" i="15"/>
  <c r="U16" i="15"/>
  <c r="K17" i="15"/>
  <c r="T17" i="15" s="1"/>
  <c r="J18" i="15"/>
  <c r="J24" i="15" s="1"/>
  <c r="S24" i="15" s="1"/>
  <c r="S18" i="15"/>
  <c r="D19" i="15"/>
  <c r="L24" i="15" s="1"/>
  <c r="U24" i="15" s="1"/>
  <c r="I19" i="15"/>
  <c r="R19" i="15" s="1"/>
  <c r="AA19" i="15"/>
  <c r="AA25" i="15" s="1"/>
  <c r="H20" i="15"/>
  <c r="H24" i="15" s="1"/>
  <c r="Q24" i="15" s="1"/>
  <c r="J20" i="15"/>
  <c r="S20" i="15" s="1"/>
  <c r="Z20" i="15"/>
  <c r="G21" i="15"/>
  <c r="P21" i="15"/>
  <c r="J22" i="15"/>
  <c r="S22" i="15" s="1"/>
  <c r="O22" i="15"/>
  <c r="D39" i="15" s="1"/>
  <c r="D23" i="15"/>
  <c r="I25" i="15"/>
  <c r="R25" i="15" s="1"/>
  <c r="B11" i="13"/>
  <c r="B13" i="13"/>
  <c r="D22" i="13" s="1"/>
  <c r="B42" i="13"/>
  <c r="D42" i="13"/>
  <c r="B9" i="12"/>
  <c r="B11" i="12"/>
  <c r="D20" i="12"/>
  <c r="F12" i="12" s="1"/>
  <c r="B40" i="12"/>
  <c r="D40" i="12" s="1"/>
  <c r="N193" i="11"/>
  <c r="N194" i="11" s="1"/>
  <c r="N195" i="11" s="1"/>
  <c r="N196" i="11" s="1"/>
  <c r="N197" i="11" s="1"/>
  <c r="C193" i="11" s="1"/>
  <c r="N185" i="11"/>
  <c r="N186" i="11" s="1"/>
  <c r="J185" i="11"/>
  <c r="N179" i="11"/>
  <c r="N180" i="11" s="1"/>
  <c r="N181" i="11" s="1"/>
  <c r="C189" i="11" s="1"/>
  <c r="J179" i="11"/>
  <c r="N177" i="11"/>
  <c r="N178" i="11" s="1"/>
  <c r="E96" i="11"/>
  <c r="E95" i="11"/>
  <c r="J88" i="11"/>
  <c r="J87" i="11"/>
  <c r="J86" i="11"/>
  <c r="J85" i="11"/>
  <c r="I79" i="11"/>
  <c r="I77" i="11"/>
  <c r="I75" i="11"/>
  <c r="I73" i="11"/>
  <c r="I71" i="11"/>
  <c r="I69" i="11"/>
  <c r="I67" i="11"/>
  <c r="I65" i="11"/>
  <c r="I63" i="11"/>
  <c r="B51" i="11"/>
  <c r="B121" i="11" s="1"/>
  <c r="D121" i="11" s="1"/>
  <c r="A40" i="11"/>
  <c r="D8" i="11"/>
  <c r="D7" i="11"/>
  <c r="D6" i="11"/>
  <c r="D5" i="11"/>
  <c r="F5" i="11" s="1"/>
  <c r="F4" i="11"/>
  <c r="D4" i="11"/>
  <c r="D3" i="11"/>
  <c r="D2" i="11"/>
  <c r="F2" i="11" s="1"/>
  <c r="D1" i="11"/>
  <c r="F1" i="11" s="1"/>
  <c r="B19" i="11" s="1"/>
  <c r="K23" i="15" l="1"/>
  <c r="T23" i="15" s="1"/>
  <c r="K25" i="15"/>
  <c r="T25" i="15" s="1"/>
  <c r="K21" i="15"/>
  <c r="T21" i="15" s="1"/>
  <c r="K19" i="15"/>
  <c r="T19" i="15" s="1"/>
  <c r="K27" i="15"/>
  <c r="T27" i="15" s="1"/>
  <c r="M17" i="15"/>
  <c r="V17" i="15" s="1"/>
  <c r="M23" i="15"/>
  <c r="V23" i="15" s="1"/>
  <c r="F3" i="11"/>
  <c r="I23" i="15"/>
  <c r="R23" i="15" s="1"/>
  <c r="Q20" i="15"/>
  <c r="D43" i="19"/>
  <c r="F43" i="19" s="1"/>
  <c r="F7" i="11"/>
  <c r="J20" i="12"/>
  <c r="AA21" i="15"/>
  <c r="AA23" i="15" s="1"/>
  <c r="G23" i="15"/>
  <c r="P23" i="15" s="1"/>
  <c r="D40" i="15" s="1"/>
  <c r="AB18" i="15"/>
  <c r="H22" i="15"/>
  <c r="Q22" i="15" s="1"/>
  <c r="D22" i="19"/>
  <c r="L29" i="19" s="1"/>
  <c r="U29" i="19" s="1"/>
  <c r="AD29" i="19" s="1"/>
  <c r="P40" i="19"/>
  <c r="AJ28" i="19"/>
  <c r="K28" i="19"/>
  <c r="T28" i="19" s="1"/>
  <c r="AC28" i="19" s="1"/>
  <c r="K24" i="19"/>
  <c r="T24" i="19" s="1"/>
  <c r="AC24" i="19" s="1"/>
  <c r="P41" i="19"/>
  <c r="R22" i="19"/>
  <c r="AA22" i="19" s="1"/>
  <c r="E26" i="12"/>
  <c r="K30" i="19"/>
  <c r="T30" i="19" s="1"/>
  <c r="AC30" i="19" s="1"/>
  <c r="I28" i="19"/>
  <c r="R28" i="19" s="1"/>
  <c r="AA28" i="19" s="1"/>
  <c r="K26" i="19"/>
  <c r="T26" i="19" s="1"/>
  <c r="AC26" i="19" s="1"/>
  <c r="G14" i="12"/>
  <c r="G11" i="12"/>
  <c r="M11" i="12" s="1"/>
  <c r="L12" i="12"/>
  <c r="AK29" i="19"/>
  <c r="AK23" i="19"/>
  <c r="AK27" i="19" s="1"/>
  <c r="AL20" i="19"/>
  <c r="AK25" i="19"/>
  <c r="J22" i="13"/>
  <c r="E28" i="13"/>
  <c r="F39" i="15"/>
  <c r="N43" i="19"/>
  <c r="N44" i="19"/>
  <c r="P44" i="19" s="1"/>
  <c r="P43" i="19"/>
  <c r="L20" i="15"/>
  <c r="U20" i="15" s="1"/>
  <c r="L22" i="15"/>
  <c r="U22" i="15" s="1"/>
  <c r="L28" i="15"/>
  <c r="U28" i="15" s="1"/>
  <c r="L18" i="15"/>
  <c r="U18" i="15" s="1"/>
  <c r="P42" i="19"/>
  <c r="Q23" i="19"/>
  <c r="Z23" i="19" s="1"/>
  <c r="D20" i="19"/>
  <c r="J29" i="19" s="1"/>
  <c r="S29" i="19" s="1"/>
  <c r="AB29" i="19" s="1"/>
  <c r="F18" i="12"/>
  <c r="K14" i="12"/>
  <c r="M19" i="15"/>
  <c r="V19" i="15" s="1"/>
  <c r="M21" i="15"/>
  <c r="V21" i="15" s="1"/>
  <c r="U19" i="19"/>
  <c r="AD19" i="19" s="1"/>
  <c r="L23" i="19"/>
  <c r="U23" i="19" s="1"/>
  <c r="AD23" i="19" s="1"/>
  <c r="L25" i="19"/>
  <c r="U25" i="19" s="1"/>
  <c r="AD25" i="19" s="1"/>
  <c r="L27" i="19"/>
  <c r="U27" i="19" s="1"/>
  <c r="AD27" i="19" s="1"/>
  <c r="P45" i="19"/>
  <c r="P46" i="19"/>
  <c r="L21" i="19"/>
  <c r="U21" i="19" s="1"/>
  <c r="AD21" i="19" s="1"/>
  <c r="L31" i="19"/>
  <c r="U31" i="19" s="1"/>
  <c r="AD31" i="19" s="1"/>
  <c r="M29" i="15"/>
  <c r="V29" i="15" s="1"/>
  <c r="M27" i="15"/>
  <c r="V27" i="15" s="1"/>
  <c r="L26" i="15"/>
  <c r="U26" i="15" s="1"/>
  <c r="M25" i="15"/>
  <c r="V25" i="15" s="1"/>
  <c r="H25" i="19"/>
  <c r="Q25" i="19" s="1"/>
  <c r="Z25" i="19" s="1"/>
  <c r="AC17" i="15"/>
  <c r="J26" i="15"/>
  <c r="S26" i="15" s="1"/>
  <c r="B39" i="11"/>
  <c r="B21" i="11"/>
  <c r="C18" i="11"/>
  <c r="F8" i="11"/>
  <c r="F6" i="11"/>
  <c r="N187" i="11"/>
  <c r="N188" i="11" s="1"/>
  <c r="N189" i="11" s="1"/>
  <c r="C191" i="11" s="1"/>
  <c r="B192" i="11" s="1"/>
  <c r="D44" i="19" l="1"/>
  <c r="F44" i="19" s="1"/>
  <c r="J25" i="19"/>
  <c r="S25" i="19" s="1"/>
  <c r="AB25" i="19" s="1"/>
  <c r="J23" i="19"/>
  <c r="S23" i="19" s="1"/>
  <c r="AB23" i="19" s="1"/>
  <c r="F30" i="12"/>
  <c r="F24" i="12"/>
  <c r="K26" i="12"/>
  <c r="B41" i="12" s="1"/>
  <c r="D41" i="12" s="1"/>
  <c r="J27" i="19"/>
  <c r="S27" i="19" s="1"/>
  <c r="AB27" i="19" s="1"/>
  <c r="AB26" i="15"/>
  <c r="AB20" i="15"/>
  <c r="AB24" i="15" s="1"/>
  <c r="AB22" i="15"/>
  <c r="D45" i="19"/>
  <c r="F40" i="15"/>
  <c r="D41" i="15"/>
  <c r="F26" i="13"/>
  <c r="K28" i="13"/>
  <c r="F32" i="13"/>
  <c r="AL22" i="19"/>
  <c r="AL28" i="19" s="1"/>
  <c r="AL24" i="19"/>
  <c r="AL26" i="19" s="1"/>
  <c r="AL30" i="19"/>
  <c r="AM19" i="19"/>
  <c r="L18" i="12"/>
  <c r="G17" i="12"/>
  <c r="G20" i="12"/>
  <c r="M20" i="12" s="1"/>
  <c r="AD16" i="15"/>
  <c r="AC21" i="15"/>
  <c r="AC23" i="15" s="1"/>
  <c r="AC27" i="15"/>
  <c r="AC19" i="15"/>
  <c r="AC25" i="15" s="1"/>
  <c r="F20" i="13"/>
  <c r="F14" i="13"/>
  <c r="K16" i="13"/>
  <c r="C38" i="11"/>
  <c r="D17" i="11"/>
  <c r="C22" i="11"/>
  <c r="C20" i="11"/>
  <c r="B41" i="11"/>
  <c r="B190" i="11"/>
  <c r="A191" i="11" s="1"/>
  <c r="K165" i="11"/>
  <c r="B43" i="13" l="1"/>
  <c r="L24" i="12"/>
  <c r="B42" i="12" s="1"/>
  <c r="G26" i="12"/>
  <c r="M26" i="12" s="1"/>
  <c r="G23" i="12"/>
  <c r="M23" i="12" s="1"/>
  <c r="L30" i="12"/>
  <c r="G32" i="12"/>
  <c r="M32" i="12" s="1"/>
  <c r="G29" i="12"/>
  <c r="M29" i="12" s="1"/>
  <c r="F41" i="15"/>
  <c r="D42" i="15"/>
  <c r="D43" i="13"/>
  <c r="AE15" i="15"/>
  <c r="AD18" i="15"/>
  <c r="AD26" i="15" s="1"/>
  <c r="AD20" i="15"/>
  <c r="AD24" i="15" s="1"/>
  <c r="AD22" i="15"/>
  <c r="AD28" i="15"/>
  <c r="AM21" i="19"/>
  <c r="AM29" i="19" s="1"/>
  <c r="AN18" i="19"/>
  <c r="AM31" i="19"/>
  <c r="AM23" i="19"/>
  <c r="AM27" i="19" s="1"/>
  <c r="AM25" i="19"/>
  <c r="L32" i="13"/>
  <c r="G31" i="13"/>
  <c r="M31" i="13" s="1"/>
  <c r="G34" i="13"/>
  <c r="M34" i="13" s="1"/>
  <c r="G13" i="13"/>
  <c r="M13" i="13" s="1"/>
  <c r="G16" i="13"/>
  <c r="L14" i="13"/>
  <c r="L20" i="13"/>
  <c r="G22" i="13"/>
  <c r="M22" i="13" s="1"/>
  <c r="G19" i="13"/>
  <c r="L26" i="13"/>
  <c r="G28" i="13"/>
  <c r="M28" i="13" s="1"/>
  <c r="G25" i="13"/>
  <c r="M25" i="13" s="1"/>
  <c r="D46" i="19"/>
  <c r="F45" i="19"/>
  <c r="C42" i="11"/>
  <c r="H169" i="11"/>
  <c r="A113" i="11"/>
  <c r="E16" i="11"/>
  <c r="D37" i="11"/>
  <c r="D21" i="11"/>
  <c r="D19" i="11"/>
  <c r="D23" i="11"/>
  <c r="D165" i="11"/>
  <c r="K167" i="11"/>
  <c r="J166" i="11" s="1"/>
  <c r="B52" i="11"/>
  <c r="B53" i="11" s="1"/>
  <c r="C40" i="11"/>
  <c r="H165" i="11"/>
  <c r="B43" i="12" l="1"/>
  <c r="D42" i="12"/>
  <c r="B44" i="13"/>
  <c r="B45" i="13" s="1"/>
  <c r="D44" i="13"/>
  <c r="D45" i="13" s="1"/>
  <c r="AN22" i="19"/>
  <c r="AN28" i="19" s="1"/>
  <c r="AN24" i="19"/>
  <c r="AN26" i="19" s="1"/>
  <c r="AN32" i="19"/>
  <c r="AN20" i="19"/>
  <c r="AN30" i="19" s="1"/>
  <c r="D43" i="15"/>
  <c r="F42" i="15"/>
  <c r="D47" i="19"/>
  <c r="F46" i="19"/>
  <c r="AE19" i="15"/>
  <c r="AE25" i="15" s="1"/>
  <c r="AE17" i="15"/>
  <c r="AE27" i="15" s="1"/>
  <c r="AE21" i="15"/>
  <c r="AE23" i="15" s="1"/>
  <c r="AE29" i="15"/>
  <c r="D41" i="11"/>
  <c r="D43" i="11"/>
  <c r="D171" i="11" s="1"/>
  <c r="T149" i="11"/>
  <c r="H95" i="11"/>
  <c r="E36" i="11"/>
  <c r="E20" i="11"/>
  <c r="E18" i="11"/>
  <c r="E22" i="11"/>
  <c r="F15" i="11"/>
  <c r="E24" i="11"/>
  <c r="H167" i="11"/>
  <c r="G168" i="11" s="1"/>
  <c r="D167" i="11"/>
  <c r="D39" i="11"/>
  <c r="B54" i="11" s="1"/>
  <c r="D46" i="13" l="1"/>
  <c r="D43" i="12"/>
  <c r="D44" i="12" s="1"/>
  <c r="AE31" i="15"/>
  <c r="D48" i="19"/>
  <c r="F47" i="19"/>
  <c r="F43" i="15"/>
  <c r="D44" i="15"/>
  <c r="B122" i="11"/>
  <c r="D122" i="11" s="1"/>
  <c r="E44" i="11"/>
  <c r="T157" i="11"/>
  <c r="E40" i="11"/>
  <c r="G166" i="11"/>
  <c r="F167" i="11" s="1"/>
  <c r="F25" i="11"/>
  <c r="F21" i="11"/>
  <c r="F19" i="11"/>
  <c r="F17" i="11"/>
  <c r="G14" i="11"/>
  <c r="F23" i="11"/>
  <c r="F35" i="11"/>
  <c r="E38" i="11"/>
  <c r="E42" i="11"/>
  <c r="C166" i="11"/>
  <c r="D169" i="11"/>
  <c r="C170" i="11" s="1"/>
  <c r="D45" i="15" l="1"/>
  <c r="F44" i="15"/>
  <c r="F48" i="19"/>
  <c r="D49" i="19"/>
  <c r="F49" i="19" s="1"/>
  <c r="F45" i="11"/>
  <c r="N159" i="11" s="1"/>
  <c r="F37" i="11"/>
  <c r="A115" i="11"/>
  <c r="T151" i="11"/>
  <c r="B95" i="11"/>
  <c r="F39" i="11"/>
  <c r="N149" i="11"/>
  <c r="G34" i="11"/>
  <c r="G22" i="11"/>
  <c r="G20" i="11"/>
  <c r="G18" i="11"/>
  <c r="H13" i="11"/>
  <c r="G26" i="11"/>
  <c r="G24" i="11"/>
  <c r="G16" i="11"/>
  <c r="C168" i="11"/>
  <c r="B169" i="11" s="1"/>
  <c r="T155" i="11"/>
  <c r="S156" i="11" s="1"/>
  <c r="F43" i="11"/>
  <c r="N157" i="11" s="1"/>
  <c r="F41" i="11"/>
  <c r="T153" i="11"/>
  <c r="B55" i="11"/>
  <c r="B167" i="11" l="1"/>
  <c r="A168" i="11" s="1"/>
  <c r="F45" i="15"/>
  <c r="D46" i="15"/>
  <c r="F46" i="15" s="1"/>
  <c r="H27" i="11"/>
  <c r="H23" i="11"/>
  <c r="H15" i="11"/>
  <c r="H33" i="11"/>
  <c r="H64" i="11" s="1"/>
  <c r="B85" i="11" s="1"/>
  <c r="D85" i="11" s="1"/>
  <c r="I12" i="11"/>
  <c r="H21" i="11"/>
  <c r="H25" i="11"/>
  <c r="H19" i="11"/>
  <c r="H17" i="11"/>
  <c r="B97" i="11"/>
  <c r="B96" i="11"/>
  <c r="G38" i="11"/>
  <c r="N153" i="11"/>
  <c r="N151" i="11"/>
  <c r="B56" i="11"/>
  <c r="G44" i="11"/>
  <c r="G159" i="11" s="1"/>
  <c r="F160" i="11" s="1"/>
  <c r="G40" i="11"/>
  <c r="G155" i="11" s="1"/>
  <c r="G36" i="11"/>
  <c r="G151" i="11" s="1"/>
  <c r="S152" i="11"/>
  <c r="S150" i="11"/>
  <c r="N155" i="11"/>
  <c r="M156" i="11" s="1"/>
  <c r="L157" i="11" s="1"/>
  <c r="G149" i="11"/>
  <c r="S154" i="11"/>
  <c r="R155" i="11" s="1"/>
  <c r="M158" i="11"/>
  <c r="A117" i="11"/>
  <c r="G46" i="11"/>
  <c r="G161" i="11" s="1"/>
  <c r="G42" i="11"/>
  <c r="G157" i="11" s="1"/>
  <c r="R153" i="11" l="1"/>
  <c r="Q154" i="11" s="1"/>
  <c r="F158" i="11"/>
  <c r="E159" i="11" s="1"/>
  <c r="F156" i="11"/>
  <c r="E157" i="11" s="1"/>
  <c r="D158" i="11" s="1"/>
  <c r="M152" i="11"/>
  <c r="H41" i="11"/>
  <c r="H72" i="11" s="1"/>
  <c r="B89" i="11" s="1"/>
  <c r="D89" i="11" s="1"/>
  <c r="G89" i="11" s="1"/>
  <c r="R137" i="11"/>
  <c r="M154" i="11"/>
  <c r="L155" i="11" s="1"/>
  <c r="K156" i="11" s="1"/>
  <c r="H39" i="11"/>
  <c r="H70" i="11" s="1"/>
  <c r="B88" i="11" s="1"/>
  <c r="D88" i="11" s="1"/>
  <c r="H47" i="11"/>
  <c r="H78" i="11" s="1"/>
  <c r="B92" i="11" s="1"/>
  <c r="D92" i="11" s="1"/>
  <c r="H45" i="11"/>
  <c r="H76" i="11" s="1"/>
  <c r="B91" i="11" s="1"/>
  <c r="D91" i="11" s="1"/>
  <c r="G91" i="11" s="1"/>
  <c r="R141" i="11"/>
  <c r="H37" i="11"/>
  <c r="H68" i="11" s="1"/>
  <c r="B87" i="11" s="1"/>
  <c r="D87" i="11" s="1"/>
  <c r="G87" i="11" s="1"/>
  <c r="H43" i="11"/>
  <c r="H74" i="11" s="1"/>
  <c r="B90" i="11" s="1"/>
  <c r="D90" i="11" s="1"/>
  <c r="G90" i="11" s="1"/>
  <c r="G88" i="11"/>
  <c r="I26" i="11"/>
  <c r="I24" i="11"/>
  <c r="I16" i="11"/>
  <c r="I14" i="11"/>
  <c r="I22" i="11"/>
  <c r="I20" i="11"/>
  <c r="I18" i="11"/>
  <c r="I32" i="11"/>
  <c r="I129" i="11" s="1"/>
  <c r="I28" i="11"/>
  <c r="M150" i="11"/>
  <c r="L151" i="11" s="1"/>
  <c r="F150" i="11"/>
  <c r="R151" i="11"/>
  <c r="Q152" i="11" s="1"/>
  <c r="P153" i="11" s="1"/>
  <c r="B123" i="11"/>
  <c r="D123" i="11" s="1"/>
  <c r="B57" i="11"/>
  <c r="G153" i="11"/>
  <c r="F154" i="11" s="1"/>
  <c r="E155" i="11" s="1"/>
  <c r="R129" i="11"/>
  <c r="H35" i="11"/>
  <c r="H66" i="11" s="1"/>
  <c r="G67" i="11" s="1"/>
  <c r="D156" i="11" l="1"/>
  <c r="C157" i="11" s="1"/>
  <c r="G73" i="11"/>
  <c r="H89" i="11" s="1"/>
  <c r="J89" i="11" s="1"/>
  <c r="G71" i="11"/>
  <c r="H88" i="11" s="1"/>
  <c r="H86" i="11"/>
  <c r="G69" i="11"/>
  <c r="F68" i="11" s="1"/>
  <c r="B58" i="11"/>
  <c r="I40" i="11"/>
  <c r="I137" i="11" s="1"/>
  <c r="R143" i="11"/>
  <c r="Q142" i="11" s="1"/>
  <c r="R131" i="11"/>
  <c r="Q130" i="11" s="1"/>
  <c r="I48" i="11"/>
  <c r="I145" i="11"/>
  <c r="I46" i="11"/>
  <c r="I143" i="11" s="1"/>
  <c r="H144" i="11" s="1"/>
  <c r="L153" i="11"/>
  <c r="K154" i="11" s="1"/>
  <c r="J155" i="11" s="1"/>
  <c r="G77" i="11"/>
  <c r="H91" i="11" s="1"/>
  <c r="J91" i="11" s="1"/>
  <c r="I38" i="11"/>
  <c r="I135" i="11" s="1"/>
  <c r="H136" i="11" s="1"/>
  <c r="I133" i="11"/>
  <c r="I36" i="11"/>
  <c r="B86" i="11"/>
  <c r="D86" i="11" s="1"/>
  <c r="G65" i="11"/>
  <c r="K152" i="11"/>
  <c r="J153" i="11" s="1"/>
  <c r="I44" i="11"/>
  <c r="I141" i="11" s="1"/>
  <c r="R133" i="11"/>
  <c r="I42" i="11"/>
  <c r="I139" i="11" s="1"/>
  <c r="H140" i="11" s="1"/>
  <c r="G75" i="11"/>
  <c r="I34" i="11"/>
  <c r="I131" i="11" s="1"/>
  <c r="R139" i="11"/>
  <c r="Q140" i="11" s="1"/>
  <c r="F152" i="11"/>
  <c r="E153" i="11" s="1"/>
  <c r="D154" i="11" s="1"/>
  <c r="C155" i="11" s="1"/>
  <c r="B156" i="11" s="1"/>
  <c r="R135" i="11"/>
  <c r="Q136" i="11" s="1"/>
  <c r="Q138" i="11" l="1"/>
  <c r="P139" i="11" s="1"/>
  <c r="I154" i="11"/>
  <c r="Q134" i="11"/>
  <c r="P135" i="11" s="1"/>
  <c r="F72" i="11"/>
  <c r="C98" i="11" s="1"/>
  <c r="E98" i="11" s="1"/>
  <c r="C96" i="11"/>
  <c r="H142" i="11"/>
  <c r="G143" i="11" s="1"/>
  <c r="H132" i="11"/>
  <c r="H130" i="11"/>
  <c r="H138" i="11"/>
  <c r="G139" i="11" s="1"/>
  <c r="H90" i="11"/>
  <c r="J90" i="11" s="1"/>
  <c r="B100" i="11" s="1"/>
  <c r="F76" i="11"/>
  <c r="C100" i="11" s="1"/>
  <c r="E100" i="11" s="1"/>
  <c r="H134" i="11"/>
  <c r="G135" i="11" s="1"/>
  <c r="E151" i="11"/>
  <c r="D152" i="11" s="1"/>
  <c r="C153" i="11" s="1"/>
  <c r="B154" i="11" s="1"/>
  <c r="A155" i="11" s="1"/>
  <c r="G85" i="11"/>
  <c r="G86" i="11"/>
  <c r="Q132" i="11"/>
  <c r="F74" i="11"/>
  <c r="O140" i="11"/>
  <c r="P141" i="11"/>
  <c r="P131" i="11"/>
  <c r="H85" i="11"/>
  <c r="F66" i="11"/>
  <c r="H87" i="11"/>
  <c r="F70" i="11"/>
  <c r="E69" i="11" s="1"/>
  <c r="P137" i="11"/>
  <c r="O138" i="11" s="1"/>
  <c r="B99" i="11"/>
  <c r="B98" i="11"/>
  <c r="P133" i="11" l="1"/>
  <c r="O134" i="11" s="1"/>
  <c r="G131" i="11"/>
  <c r="C95" i="11"/>
  <c r="E67" i="11"/>
  <c r="D68" i="11" s="1"/>
  <c r="C99" i="11"/>
  <c r="E99" i="11" s="1"/>
  <c r="H99" i="11" s="1"/>
  <c r="E75" i="11"/>
  <c r="O136" i="11"/>
  <c r="N137" i="11" s="1"/>
  <c r="G141" i="11"/>
  <c r="F142" i="11" s="1"/>
  <c r="N139" i="11"/>
  <c r="F136" i="11"/>
  <c r="E137" i="11" s="1"/>
  <c r="C97" i="11"/>
  <c r="E97" i="11" s="1"/>
  <c r="E71" i="11"/>
  <c r="E73" i="11"/>
  <c r="D74" i="11" s="1"/>
  <c r="G133" i="11"/>
  <c r="F134" i="11" s="1"/>
  <c r="G137" i="11"/>
  <c r="F138" i="11" s="1"/>
  <c r="N135" i="11" l="1"/>
  <c r="M136" i="11" s="1"/>
  <c r="D72" i="11"/>
  <c r="C73" i="11" s="1"/>
  <c r="O132" i="11"/>
  <c r="N133" i="11" s="1"/>
  <c r="M134" i="11" s="1"/>
  <c r="L135" i="11" s="1"/>
  <c r="E135" i="11"/>
  <c r="D136" i="11" s="1"/>
  <c r="F140" i="11"/>
  <c r="E141" i="11" s="1"/>
  <c r="M138" i="11"/>
  <c r="L137" i="11" s="1"/>
  <c r="E139" i="11"/>
  <c r="D140" i="11" s="1"/>
  <c r="H98" i="11"/>
  <c r="K98" i="11" s="1"/>
  <c r="H96" i="11"/>
  <c r="H97" i="11"/>
  <c r="K97" i="11" s="1"/>
  <c r="B105" i="11" s="1"/>
  <c r="D70" i="11"/>
  <c r="C71" i="11" s="1"/>
  <c r="B72" i="11" s="1"/>
  <c r="F132" i="11"/>
  <c r="E133" i="11" s="1"/>
  <c r="D134" i="11" l="1"/>
  <c r="C135" i="11" s="1"/>
  <c r="K136" i="11"/>
  <c r="K95" i="11"/>
  <c r="K96" i="11"/>
  <c r="B104" i="11" s="1"/>
  <c r="E104" i="11" s="1"/>
  <c r="D138" i="11"/>
  <c r="C139" i="11" s="1"/>
  <c r="C69" i="11"/>
  <c r="B70" i="11" s="1"/>
  <c r="A71" i="11" s="1"/>
  <c r="B103" i="11" l="1"/>
  <c r="E103" i="11" s="1"/>
  <c r="H103" i="11" s="1"/>
  <c r="C107" i="11" s="1"/>
  <c r="C137" i="11"/>
  <c r="B138" i="11" l="1"/>
  <c r="B136" i="11"/>
  <c r="A137" i="11" s="1"/>
  <c r="C173" i="11" s="1"/>
  <c r="K9" i="6" l="1"/>
  <c r="A12" i="5"/>
  <c r="A13" i="5"/>
  <c r="F11" i="8"/>
  <c r="K9" i="1"/>
  <c r="G7" i="1"/>
  <c r="G6" i="1"/>
  <c r="K8" i="1"/>
  <c r="C31" i="7" l="1"/>
  <c r="E31" i="7" s="1"/>
  <c r="C40" i="7" s="1"/>
  <c r="F10" i="8"/>
  <c r="F9" i="8"/>
  <c r="F8" i="8"/>
  <c r="F7" i="8"/>
  <c r="J7" i="8" s="1"/>
  <c r="F6" i="8"/>
  <c r="J6" i="8" s="1"/>
  <c r="F5" i="8"/>
  <c r="J5" i="8" s="1"/>
  <c r="J4" i="8"/>
  <c r="C32" i="7" l="1"/>
  <c r="E32" i="7" s="1"/>
  <c r="C41" i="7" s="1"/>
  <c r="C33" i="7" l="1"/>
  <c r="E33" i="7" s="1"/>
  <c r="C42" i="7" s="1"/>
  <c r="M14" i="3"/>
  <c r="B20" i="2"/>
  <c r="E22" i="7"/>
  <c r="E23" i="7"/>
  <c r="C34" i="7" l="1"/>
  <c r="E34" i="7" s="1"/>
  <c r="C43" i="7" s="1"/>
  <c r="C35" i="7"/>
  <c r="E35" i="7" s="1"/>
  <c r="C44" i="7" s="1"/>
  <c r="C2" i="8"/>
  <c r="D2" i="8"/>
  <c r="C3" i="8"/>
  <c r="D3" i="8"/>
  <c r="E3" i="8"/>
  <c r="C4" i="8"/>
  <c r="D4" i="8"/>
  <c r="E4" i="8"/>
  <c r="C5" i="8"/>
  <c r="D5" i="8"/>
  <c r="E5" i="8"/>
  <c r="C6" i="8"/>
  <c r="D6" i="8"/>
  <c r="E6" i="8"/>
  <c r="C7" i="8"/>
  <c r="D7" i="8"/>
  <c r="E7" i="8"/>
  <c r="C8" i="8"/>
  <c r="D8" i="8"/>
  <c r="E8" i="8"/>
  <c r="C9" i="8"/>
  <c r="D9" i="8"/>
  <c r="E9" i="8"/>
  <c r="C10" i="8"/>
  <c r="D10" i="8"/>
  <c r="E10" i="8"/>
  <c r="C11" i="8"/>
  <c r="D11" i="8"/>
  <c r="E11" i="8"/>
  <c r="C12" i="8"/>
  <c r="D12" i="8"/>
  <c r="E12" i="8"/>
  <c r="C13" i="8"/>
  <c r="D13" i="8"/>
  <c r="E13" i="8"/>
  <c r="C36" i="7" l="1"/>
  <c r="E36" i="7" s="1"/>
  <c r="C45" i="7" s="1"/>
  <c r="I5" i="7"/>
  <c r="J5" i="7"/>
  <c r="I6" i="7"/>
  <c r="J6" i="7"/>
  <c r="E24" i="7"/>
  <c r="E25" i="7"/>
  <c r="E26" i="7"/>
  <c r="E27" i="7"/>
  <c r="T21" i="4" l="1"/>
  <c r="T20" i="4"/>
  <c r="S21" i="4" l="1"/>
  <c r="S20" i="4"/>
  <c r="Q21" i="4"/>
  <c r="Q20" i="4"/>
  <c r="Q18" i="4"/>
  <c r="Q19" i="4"/>
  <c r="R21" i="4"/>
  <c r="R20" i="4"/>
  <c r="U19" i="4"/>
  <c r="U20" i="4"/>
  <c r="U21" i="4"/>
  <c r="U18" i="4"/>
  <c r="F3" i="3"/>
  <c r="J21" i="4"/>
  <c r="K21" i="4"/>
  <c r="L21" i="4"/>
  <c r="M21" i="4"/>
  <c r="N21" i="4"/>
  <c r="O21" i="4"/>
  <c r="P21" i="4"/>
  <c r="I21" i="4"/>
  <c r="J20" i="4"/>
  <c r="K20" i="4"/>
  <c r="L20" i="4"/>
  <c r="M20" i="4"/>
  <c r="N20" i="4"/>
  <c r="O20" i="4"/>
  <c r="P20" i="4"/>
  <c r="I20" i="4"/>
  <c r="R19" i="4"/>
  <c r="J19" i="4"/>
  <c r="K19" i="4"/>
  <c r="L19" i="4"/>
  <c r="M19" i="4"/>
  <c r="N19" i="4"/>
  <c r="O19" i="4"/>
  <c r="P19" i="4"/>
  <c r="I19" i="4"/>
  <c r="R18" i="4"/>
  <c r="P18" i="4"/>
  <c r="O18" i="4"/>
  <c r="J18" i="4"/>
  <c r="K18" i="4"/>
  <c r="L18" i="4"/>
  <c r="M18" i="4"/>
  <c r="N18" i="4"/>
  <c r="I18" i="4"/>
  <c r="L17" i="4"/>
  <c r="K17" i="4"/>
  <c r="J17" i="4"/>
  <c r="I17" i="4"/>
  <c r="L16" i="4"/>
  <c r="K16" i="4"/>
  <c r="J16" i="4"/>
  <c r="I16" i="4"/>
  <c r="K15" i="4"/>
  <c r="J15" i="4"/>
  <c r="I15" i="4"/>
  <c r="J14" i="4"/>
  <c r="I14" i="4"/>
  <c r="I13" i="4"/>
  <c r="R12" i="3"/>
  <c r="R13" i="3"/>
  <c r="R14" i="3"/>
  <c r="R15" i="3"/>
  <c r="R11" i="3"/>
  <c r="B25" i="2" l="1"/>
  <c r="M15" i="3"/>
  <c r="K15" i="3"/>
  <c r="L15" i="3"/>
  <c r="J15" i="3"/>
  <c r="K14" i="3"/>
  <c r="L14" i="3"/>
  <c r="J14" i="3"/>
  <c r="L13" i="3"/>
  <c r="K13" i="3"/>
  <c r="J13" i="3"/>
  <c r="K12" i="3"/>
  <c r="J12" i="3"/>
  <c r="J11" i="3"/>
  <c r="A32" i="2"/>
  <c r="A33" i="2"/>
  <c r="A34" i="2"/>
  <c r="A35" i="2"/>
  <c r="A36" i="2"/>
  <c r="A31" i="2"/>
  <c r="B29" i="2" a="1"/>
  <c r="B29" i="2" s="1"/>
  <c r="D21" i="2"/>
  <c r="I25" i="2"/>
  <c r="H25" i="2"/>
  <c r="G25" i="2"/>
  <c r="F25" i="2"/>
  <c r="E25" i="2"/>
  <c r="D25" i="2"/>
  <c r="H24" i="2"/>
  <c r="G24" i="2"/>
  <c r="F24" i="2"/>
  <c r="E24" i="2"/>
  <c r="D24" i="2"/>
  <c r="G23" i="2"/>
  <c r="F23" i="2"/>
  <c r="E23" i="2"/>
  <c r="D23" i="2"/>
  <c r="C25" i="2"/>
  <c r="C24" i="2"/>
  <c r="B24" i="2"/>
  <c r="C23" i="2"/>
  <c r="B23" i="2"/>
  <c r="F22" i="2"/>
  <c r="C22" i="2"/>
  <c r="D22" i="2"/>
  <c r="E22" i="2"/>
  <c r="B22" i="2"/>
  <c r="E21" i="2"/>
  <c r="C21" i="2"/>
  <c r="B21" i="2"/>
  <c r="D20" i="2"/>
  <c r="C20" i="2"/>
  <c r="I36" i="2" l="1"/>
  <c r="E36" i="2"/>
  <c r="I35" i="2"/>
  <c r="E35" i="2"/>
  <c r="I34" i="2"/>
  <c r="E34" i="2"/>
  <c r="I33" i="2"/>
  <c r="E33" i="2"/>
  <c r="I32" i="2"/>
  <c r="E32" i="2"/>
  <c r="I31" i="2"/>
  <c r="E31" i="2"/>
  <c r="I30" i="2"/>
  <c r="E30" i="2"/>
  <c r="I29" i="2"/>
  <c r="E29" i="2"/>
  <c r="H36" i="2"/>
  <c r="D36" i="2"/>
  <c r="H35" i="2"/>
  <c r="D35" i="2"/>
  <c r="H34" i="2"/>
  <c r="D34" i="2"/>
  <c r="H33" i="2"/>
  <c r="D33" i="2"/>
  <c r="H32" i="2"/>
  <c r="D32" i="2"/>
  <c r="H31" i="2"/>
  <c r="D31" i="2"/>
  <c r="H30" i="2"/>
  <c r="D30" i="2"/>
  <c r="H29" i="2"/>
  <c r="D29" i="2"/>
  <c r="G36" i="2"/>
  <c r="C36" i="2"/>
  <c r="G35" i="2"/>
  <c r="C35" i="2"/>
  <c r="G34" i="2"/>
  <c r="C34" i="2"/>
  <c r="G33" i="2"/>
  <c r="C33" i="2"/>
  <c r="G32" i="2"/>
  <c r="C32" i="2"/>
  <c r="G31" i="2"/>
  <c r="C31" i="2"/>
  <c r="G30" i="2"/>
  <c r="C30" i="2"/>
  <c r="G29" i="2"/>
  <c r="C29" i="2"/>
  <c r="F36" i="2"/>
  <c r="B36" i="2"/>
  <c r="F35" i="2"/>
  <c r="B35" i="2"/>
  <c r="F34" i="2"/>
  <c r="B34" i="2"/>
  <c r="F33" i="2"/>
  <c r="B33" i="2"/>
  <c r="F32" i="2"/>
  <c r="B32" i="2"/>
  <c r="F31" i="2"/>
  <c r="B31" i="2"/>
  <c r="F30" i="2"/>
  <c r="B30" i="2"/>
  <c r="F29" i="2"/>
  <c r="O12" i="6" l="1"/>
  <c r="O13" i="6"/>
  <c r="O10" i="6"/>
  <c r="O11" i="6"/>
  <c r="K10" i="6"/>
  <c r="A2" i="15"/>
  <c r="K12" i="6"/>
  <c r="L15" i="6"/>
  <c r="A12" i="6"/>
  <c r="B12" i="6"/>
  <c r="L16" i="6"/>
  <c r="A13" i="6"/>
  <c r="B13" i="6"/>
</calcChain>
</file>

<file path=xl/sharedStrings.xml><?xml version="1.0" encoding="utf-8"?>
<sst xmlns="http://schemas.openxmlformats.org/spreadsheetml/2006/main" count="1032" uniqueCount="457">
  <si>
    <t>Set I:</t>
  </si>
  <si>
    <t>T-bills</t>
  </si>
  <si>
    <t xml:space="preserve">Maturity </t>
  </si>
  <si>
    <t xml:space="preserve">Bid </t>
  </si>
  <si>
    <t xml:space="preserve">Asked </t>
  </si>
  <si>
    <t xml:space="preserve">Chg </t>
  </si>
  <si>
    <t>Asked-yield</t>
  </si>
  <si>
    <t>-</t>
  </si>
  <si>
    <t>T-bonds</t>
  </si>
  <si>
    <t>Coupon (%)</t>
  </si>
  <si>
    <t>Asked yield</t>
  </si>
  <si>
    <t>Set II:</t>
  </si>
  <si>
    <t>Set III:</t>
  </si>
  <si>
    <t>You have Treasury bill and bond quotes on March 15, 2018</t>
  </si>
  <si>
    <t>bid</t>
    <phoneticPr fontId="4" type="noConversion"/>
  </si>
  <si>
    <t>ask</t>
    <phoneticPr fontId="4" type="noConversion"/>
  </si>
  <si>
    <t>price</t>
  </si>
  <si>
    <t>price</t>
    <phoneticPr fontId="4" type="noConversion"/>
  </si>
  <si>
    <t>Zero</t>
    <phoneticPr fontId="4" type="noConversion"/>
  </si>
  <si>
    <t>ask price</t>
    <phoneticPr fontId="4" type="noConversion"/>
  </si>
  <si>
    <t>Spot rate</t>
    <phoneticPr fontId="4" type="noConversion"/>
  </si>
  <si>
    <t>SUMMARY OUTPUT</t>
  </si>
  <si>
    <t>回归统计</t>
  </si>
  <si>
    <t>Multiple R</t>
  </si>
  <si>
    <t>R Square</t>
  </si>
  <si>
    <t>Adjusted R Square</t>
  </si>
  <si>
    <t>标准误差</t>
  </si>
  <si>
    <t>观测值</t>
  </si>
  <si>
    <t>方差分析</t>
  </si>
  <si>
    <t>回归分析</t>
  </si>
  <si>
    <t>残差</t>
  </si>
  <si>
    <t>总计</t>
  </si>
  <si>
    <t>Intercept</t>
  </si>
  <si>
    <t>df</t>
  </si>
  <si>
    <t>SS</t>
  </si>
  <si>
    <t>MS</t>
  </si>
  <si>
    <t>F</t>
  </si>
  <si>
    <t>Significance F</t>
  </si>
  <si>
    <t>Coefficients</t>
  </si>
  <si>
    <t>t Stat</t>
  </si>
  <si>
    <t>P-value</t>
  </si>
  <si>
    <t>Lower 95%</t>
  </si>
  <si>
    <t>Upper 95%</t>
  </si>
  <si>
    <t>下限 95.0%</t>
  </si>
  <si>
    <t>上限 95.0%</t>
  </si>
  <si>
    <t>Z0.5</t>
    <phoneticPr fontId="4" type="noConversion"/>
  </si>
  <si>
    <t>Z1</t>
    <phoneticPr fontId="4" type="noConversion"/>
  </si>
  <si>
    <t>Z2</t>
    <phoneticPr fontId="4" type="noConversion"/>
  </si>
  <si>
    <t>Z1.5</t>
    <phoneticPr fontId="4" type="noConversion"/>
  </si>
  <si>
    <t>Z2.5</t>
    <phoneticPr fontId="4" type="noConversion"/>
  </si>
  <si>
    <t>Z3</t>
    <phoneticPr fontId="4" type="noConversion"/>
  </si>
  <si>
    <t>Z3.5</t>
    <phoneticPr fontId="4" type="noConversion"/>
  </si>
  <si>
    <t>Z4</t>
    <phoneticPr fontId="4" type="noConversion"/>
  </si>
  <si>
    <t>Z4.5</t>
    <phoneticPr fontId="4" type="noConversion"/>
  </si>
  <si>
    <t>Z</t>
  </si>
  <si>
    <t>Z5</t>
    <phoneticPr fontId="4" type="noConversion"/>
  </si>
  <si>
    <t>Z5.5</t>
    <phoneticPr fontId="4" type="noConversion"/>
  </si>
  <si>
    <t>Z6</t>
    <phoneticPr fontId="4" type="noConversion"/>
  </si>
  <si>
    <t>T</t>
  </si>
  <si>
    <t>et1</t>
  </si>
  <si>
    <t>et2</t>
  </si>
  <si>
    <t>et3</t>
  </si>
  <si>
    <t>alpha</t>
  </si>
  <si>
    <t>beta1</t>
  </si>
  <si>
    <t>beta2</t>
  </si>
  <si>
    <t>beta3</t>
  </si>
  <si>
    <t>lambda</t>
  </si>
  <si>
    <t>estimated Z</t>
  </si>
  <si>
    <t>DIFF SQUARE</t>
    <phoneticPr fontId="4" type="noConversion"/>
  </si>
  <si>
    <t>SUM DIFF SQUARE</t>
    <phoneticPr fontId="4" type="noConversion"/>
  </si>
  <si>
    <t>SPOT RATE</t>
    <phoneticPr fontId="4" type="noConversion"/>
  </si>
  <si>
    <t>spot rate</t>
    <phoneticPr fontId="4" type="noConversion"/>
  </si>
  <si>
    <t>beta1</t>
    <phoneticPr fontId="4" type="noConversion"/>
  </si>
  <si>
    <t>beta2</t>
    <phoneticPr fontId="4" type="noConversion"/>
  </si>
  <si>
    <t>estimated SPOT RATE</t>
    <phoneticPr fontId="4" type="noConversion"/>
  </si>
  <si>
    <t xml:space="preserve">1. What are the bid and ask prices of the Treasuries for a $100 face value. </t>
    <phoneticPr fontId="4" type="noConversion"/>
  </si>
  <si>
    <t>X Variable 3</t>
  </si>
  <si>
    <t>X Variable 2</t>
  </si>
  <si>
    <t>X Variable 1</t>
  </si>
  <si>
    <t>r(0,4)=</t>
  </si>
  <si>
    <t>Z(0,4)=</t>
  </si>
  <si>
    <t>r(0,3.5)=</t>
  </si>
  <si>
    <t>Z(0,3.5)=</t>
  </si>
  <si>
    <t>r(0,3)=</t>
  </si>
  <si>
    <t>Z(0,3)=</t>
  </si>
  <si>
    <t>r(0,2.5)=</t>
  </si>
  <si>
    <t>Z(0,2.5)=</t>
  </si>
  <si>
    <t>r(0,2)=</t>
  </si>
  <si>
    <t>Z(0,2)=</t>
  </si>
  <si>
    <t>r(0,1.5)=</t>
  </si>
  <si>
    <t>Z(0,1.5)=</t>
  </si>
  <si>
    <t>r(0,1)=</t>
  </si>
  <si>
    <t>Z(0,1)=</t>
  </si>
  <si>
    <t>r(0,0.5)=</t>
  </si>
  <si>
    <t>Z(0,0.5)=</t>
  </si>
  <si>
    <t>price for $100 FV</t>
  </si>
  <si>
    <t>coupon</t>
  </si>
  <si>
    <t>Asked Price</t>
  </si>
  <si>
    <t>Bid Price</t>
  </si>
  <si>
    <t>T3</t>
    <phoneticPr fontId="4" type="noConversion"/>
  </si>
  <si>
    <t>T2</t>
    <phoneticPr fontId="4" type="noConversion"/>
  </si>
  <si>
    <t>T1</t>
    <phoneticPr fontId="4" type="noConversion"/>
  </si>
  <si>
    <t>MATURITY</t>
    <phoneticPr fontId="4" type="noConversion"/>
  </si>
  <si>
    <t>(100-(100*n*(d/100))/360)</t>
    <phoneticPr fontId="4" type="noConversion"/>
  </si>
  <si>
    <t xml:space="preserve">2. For the Treasury bills, why is bid discount yield higher than ask discount yield? Please explain. </t>
    <phoneticPr fontId="4" type="noConversion"/>
  </si>
  <si>
    <t>Higer yield leads to lower quote price. Bid discount yield higher than ask discount yield means bid price lower than ask price.</t>
    <phoneticPr fontId="4" type="noConversion"/>
  </si>
  <si>
    <t>The bid-ask spread is a reflection of the supply and demand</t>
    <phoneticPr fontId="4" type="noConversion"/>
  </si>
  <si>
    <t>and market dealers and traders make money by exploiting the bid-ask spread to net the spread difference.</t>
    <phoneticPr fontId="4" type="noConversion"/>
  </si>
  <si>
    <t>Inputs</t>
    <phoneticPr fontId="4" type="noConversion"/>
  </si>
  <si>
    <t>Output</t>
    <phoneticPr fontId="4" type="noConversion"/>
  </si>
  <si>
    <t>maturity</t>
    <phoneticPr fontId="4" type="noConversion"/>
  </si>
  <si>
    <t>price for $1 FV</t>
    <phoneticPr fontId="4" type="noConversion"/>
  </si>
  <si>
    <t xml:space="preserve">a) zero coupon bonds </t>
    <phoneticPr fontId="4" type="noConversion"/>
  </si>
  <si>
    <t xml:space="preserve">b) Do you find the same zeros as in 2(a)? Why? Why not? </t>
  </si>
  <si>
    <t>Z(0,0.5)</t>
    <phoneticPr fontId="4" type="noConversion"/>
  </si>
  <si>
    <t>Z(0,1)</t>
    <phoneticPr fontId="4" type="noConversion"/>
  </si>
  <si>
    <t>Z(0,1.5)</t>
    <phoneticPr fontId="4" type="noConversion"/>
  </si>
  <si>
    <t>Z(0,2)</t>
    <phoneticPr fontId="4" type="noConversion"/>
  </si>
  <si>
    <t>Z(0,2.5)</t>
    <phoneticPr fontId="4" type="noConversion"/>
  </si>
  <si>
    <t>Z(0,3)</t>
    <phoneticPr fontId="4" type="noConversion"/>
  </si>
  <si>
    <t>Z(0,3.5)</t>
    <phoneticPr fontId="4" type="noConversion"/>
  </si>
  <si>
    <t>Z(0,4)</t>
    <phoneticPr fontId="4" type="noConversion"/>
  </si>
  <si>
    <t>Yes, I find the same zeros as in 2(A). Because in short way, we calculate zeros by matrix of cash flow and bond prices.</t>
    <phoneticPr fontId="4" type="noConversion"/>
  </si>
  <si>
    <t>while in 2(a), we get zeros step by step. Essentially，they are the same methods.</t>
    <phoneticPr fontId="4" type="noConversion"/>
  </si>
  <si>
    <t>cash flow of bonds</t>
    <phoneticPr fontId="4" type="noConversion"/>
  </si>
  <si>
    <t xml:space="preserve">a) Using regression methods, extract zero coupon bonds </t>
    <phoneticPr fontId="4" type="noConversion"/>
  </si>
  <si>
    <t>Z0.5</t>
  </si>
  <si>
    <t>Z1</t>
  </si>
  <si>
    <t>Z1.5</t>
  </si>
  <si>
    <t>Z2</t>
  </si>
  <si>
    <t>Z2.5</t>
  </si>
  <si>
    <t>Z3</t>
  </si>
  <si>
    <t>Z3.5</t>
  </si>
  <si>
    <t>Z4</t>
  </si>
  <si>
    <t>b)Calculate 6 month spot rates</t>
    <phoneticPr fontId="4" type="noConversion"/>
  </si>
  <si>
    <t>r(0,0.5)=</t>
    <phoneticPr fontId="4" type="noConversion"/>
  </si>
  <si>
    <t>r(0.5,1)=</t>
  </si>
  <si>
    <t>r(0.5,1)=</t>
    <phoneticPr fontId="4" type="noConversion"/>
  </si>
  <si>
    <t>r(1,1.5)=</t>
  </si>
  <si>
    <t>r(1,1.5)=</t>
    <phoneticPr fontId="4" type="noConversion"/>
  </si>
  <si>
    <t>r(1.5,2)=</t>
  </si>
  <si>
    <t>r(1.5,2)=</t>
    <phoneticPr fontId="4" type="noConversion"/>
  </si>
  <si>
    <t>r(2,2.5)=</t>
  </si>
  <si>
    <t>r(2,2.5)=</t>
    <phoneticPr fontId="4" type="noConversion"/>
  </si>
  <si>
    <t>r(2.5,3)=</t>
  </si>
  <si>
    <t>r(2.5,3)=</t>
    <phoneticPr fontId="4" type="noConversion"/>
  </si>
  <si>
    <t>r(3,3.5)=</t>
  </si>
  <si>
    <t>r(3,3.5)=</t>
    <phoneticPr fontId="4" type="noConversion"/>
  </si>
  <si>
    <t>r(3.5.4)=</t>
  </si>
  <si>
    <t>r(3.5.4)=</t>
    <phoneticPr fontId="4" type="noConversion"/>
  </si>
  <si>
    <t>r(0,1)=</t>
    <phoneticPr fontId="4" type="noConversion"/>
  </si>
  <si>
    <t>r(0,1.5)=</t>
    <phoneticPr fontId="4" type="noConversion"/>
  </si>
  <si>
    <t>r(0,2)=</t>
    <phoneticPr fontId="4" type="noConversion"/>
  </si>
  <si>
    <t>r(0,2.5)=</t>
    <phoneticPr fontId="4" type="noConversion"/>
  </si>
  <si>
    <t>r(0,3)=</t>
    <phoneticPr fontId="4" type="noConversion"/>
  </si>
  <si>
    <t>r(0,3.5)=</t>
    <phoneticPr fontId="4" type="noConversion"/>
  </si>
  <si>
    <t>r(0,4)=</t>
    <phoneticPr fontId="4" type="noConversion"/>
  </si>
  <si>
    <t>spot rates of every six months</t>
  </si>
  <si>
    <t xml:space="preserve">d) Compare the spot rates with the ones you found by bootstrapping. Are they different? Why? Why not? </t>
    <phoneticPr fontId="4" type="noConversion"/>
  </si>
  <si>
    <t>regression</t>
    <phoneticPr fontId="4" type="noConversion"/>
  </si>
  <si>
    <t>bootstrapping</t>
    <phoneticPr fontId="4" type="noConversion"/>
  </si>
  <si>
    <t xml:space="preserve">The spot rates using regression are slightly different from bootstapping. </t>
    <phoneticPr fontId="4" type="noConversion"/>
  </si>
  <si>
    <t xml:space="preserve">Because when using bootstapping, we calculate each zero by matching each bond price. However, when using regression method, there may be some errors </t>
  </si>
  <si>
    <t>r(0,4.5)=</t>
    <phoneticPr fontId="4" type="noConversion"/>
  </si>
  <si>
    <t>r(0,5)=</t>
    <phoneticPr fontId="4" type="noConversion"/>
  </si>
  <si>
    <t>r(0,5.5)=</t>
    <phoneticPr fontId="4" type="noConversion"/>
  </si>
  <si>
    <t>r(0,6)=</t>
    <phoneticPr fontId="4" type="noConversion"/>
  </si>
  <si>
    <t>r(4,4.5)=</t>
  </si>
  <si>
    <t>r(4,4.5)=</t>
    <phoneticPr fontId="4" type="noConversion"/>
  </si>
  <si>
    <t>r(4.5,5)=</t>
  </si>
  <si>
    <t>r(4.5,5)=</t>
    <phoneticPr fontId="4" type="noConversion"/>
  </si>
  <si>
    <t>r(5,5.5)=</t>
  </si>
  <si>
    <t>r(5,5.5)=</t>
    <phoneticPr fontId="4" type="noConversion"/>
  </si>
  <si>
    <t>r(5.5,6)=</t>
  </si>
  <si>
    <t>r(5.5,6)=</t>
    <phoneticPr fontId="4" type="noConversion"/>
  </si>
  <si>
    <t xml:space="preserve">6 month spot rate </t>
  </si>
  <si>
    <t>junk</t>
    <phoneticPr fontId="4" type="noConversion"/>
  </si>
  <si>
    <t>Z(0,4.5)=</t>
    <phoneticPr fontId="4" type="noConversion"/>
  </si>
  <si>
    <t>Z(0,5.5)=</t>
    <phoneticPr fontId="4" type="noConversion"/>
  </si>
  <si>
    <t xml:space="preserve">6 month spot rate </t>
    <phoneticPr fontId="4" type="noConversion"/>
  </si>
  <si>
    <t>Part II:</t>
    <phoneticPr fontId="1" type="noConversion"/>
  </si>
  <si>
    <t xml:space="preserve">Suppose on 03/15/2018, you are expecting that the yield curve will flatten. You want to enter
into a spread trade using $100 million face value of 20-year bond and a corresponding amount of
2-year bond. The quotes related to these bonds are below. Note that quoted bid and ask prices are
clean prices. Take one year as 360 days. Also note that you buy at the ask and sell at the bid. </t>
    <phoneticPr fontId="1" type="noConversion"/>
  </si>
  <si>
    <t>1. Note that above quotes are clean prices. Find the full prices of each bond.</t>
    <phoneticPr fontId="1" type="noConversion"/>
  </si>
  <si>
    <t>2. Find yield to maturity of each bond using full ask prices (ask yield)</t>
    <phoneticPr fontId="1" type="noConversion"/>
  </si>
  <si>
    <t xml:space="preserve">3. Find the PVBP of each bond using ask prices and ask yields. </t>
    <phoneticPr fontId="1" type="noConversion"/>
  </si>
  <si>
    <t>Maturity</t>
  </si>
  <si>
    <t>Bid</t>
  </si>
  <si>
    <t>Bid full price</t>
    <phoneticPr fontId="1" type="noConversion"/>
  </si>
  <si>
    <t>Asked</t>
  </si>
  <si>
    <t>Asked full price</t>
    <phoneticPr fontId="1" type="noConversion"/>
  </si>
  <si>
    <t>YTM</t>
    <phoneticPr fontId="1" type="noConversion"/>
  </si>
  <si>
    <t>PVBP</t>
    <phoneticPr fontId="1" type="noConversion"/>
  </si>
  <si>
    <t>Chg</t>
  </si>
  <si>
    <t>3/15/2020</t>
  </si>
  <si>
    <t>3/15/2038</t>
  </si>
  <si>
    <r>
      <rPr>
        <sz val="12"/>
        <color theme="1"/>
        <rFont val="Cambria"/>
        <family val="1"/>
        <charset val="134"/>
      </rPr>
      <t>∆</t>
    </r>
    <r>
      <rPr>
        <sz val="12"/>
        <color theme="1"/>
        <rFont val="DengXian"/>
        <family val="4"/>
        <charset val="134"/>
      </rPr>
      <t>y</t>
    </r>
  </si>
  <si>
    <r>
      <t>y+</t>
    </r>
    <r>
      <rPr>
        <sz val="12"/>
        <color theme="1"/>
        <rFont val="Cambria"/>
        <family val="1"/>
        <charset val="134"/>
      </rPr>
      <t>∆</t>
    </r>
    <r>
      <rPr>
        <sz val="12"/>
        <color theme="1"/>
        <rFont val="DengXian"/>
        <family val="4"/>
        <charset val="134"/>
      </rPr>
      <t>y</t>
    </r>
  </si>
  <si>
    <r>
      <t>p+∆</t>
    </r>
    <r>
      <rPr>
        <sz val="12"/>
        <color theme="1"/>
        <rFont val="等线"/>
        <family val="4"/>
      </rPr>
      <t>p</t>
    </r>
  </si>
  <si>
    <t>∆p</t>
    <phoneticPr fontId="1" type="noConversion"/>
  </si>
  <si>
    <t>pvbp</t>
    <phoneticPr fontId="1" type="noConversion"/>
  </si>
  <si>
    <t>4. How much will you buy or sell of 2-year bond on 3/15/2018 for the spread trade? Will you buy or sell $100 million face value of 20-year bond? Why did you buy/sell of each bond? (Use full prices)</t>
    <phoneticPr fontId="1" type="noConversion"/>
  </si>
  <si>
    <t>n2</t>
    <phoneticPr fontId="1" type="noConversion"/>
  </si>
  <si>
    <t>To finance this transaction you decided to enter into a 3-day repo transaction. The repo dealer offers 1% on reverse repo and 1.25% on repo transaction. Also, the repo dealer gets 0.5% haircut. After 3 days the quotes are as follows:</t>
    <phoneticPr fontId="1" type="noConversion"/>
  </si>
  <si>
    <t>Coupon(%)</t>
    <phoneticPr fontId="1" type="noConversion"/>
  </si>
  <si>
    <t>20year Pt</t>
    <phoneticPr fontId="1" type="noConversion"/>
  </si>
  <si>
    <t>20year Pt(1-haircut)</t>
    <phoneticPr fontId="1" type="noConversion"/>
  </si>
  <si>
    <t xml:space="preserve">3/15/2038 </t>
    <phoneticPr fontId="1" type="noConversion"/>
  </si>
  <si>
    <t>20year Pt(1-haircut)(1+3 day repo rate)</t>
    <phoneticPr fontId="1" type="noConversion"/>
  </si>
  <si>
    <t>20year PT</t>
    <phoneticPr fontId="1" type="noConversion"/>
  </si>
  <si>
    <t xml:space="preserve"> reverse repo rate</t>
    <phoneticPr fontId="1" type="noConversion"/>
  </si>
  <si>
    <t>2year Pt</t>
    <phoneticPr fontId="1" type="noConversion"/>
  </si>
  <si>
    <t xml:space="preserve"> repo rate</t>
    <phoneticPr fontId="1" type="noConversion"/>
  </si>
  <si>
    <t>2year PT</t>
    <phoneticPr fontId="1" type="noConversion"/>
  </si>
  <si>
    <t>haircut</t>
    <phoneticPr fontId="1" type="noConversion"/>
  </si>
  <si>
    <t>2year Pt*(3 day reverse repo rate)</t>
    <phoneticPr fontId="1" type="noConversion"/>
  </si>
  <si>
    <t>20year Pt(haircut)</t>
    <phoneticPr fontId="1" type="noConversion"/>
  </si>
  <si>
    <t>5. a) Show the details of the repo transaction. What is the profit (loss) on repo transaction?</t>
    <phoneticPr fontId="1" type="noConversion"/>
  </si>
  <si>
    <t>b) Show the details of the reverse repo transaction. What is the profit (loss) of the reverse repo transaction?</t>
    <phoneticPr fontId="1" type="noConversion"/>
  </si>
  <si>
    <t>c) What is the total profit (loss) of these two transactions?</t>
    <phoneticPr fontId="1" type="noConversion"/>
  </si>
  <si>
    <t>d) What is the return on your own capital from these transactions?</t>
    <phoneticPr fontId="1" type="noConversion"/>
  </si>
  <si>
    <t>return</t>
    <phoneticPr fontId="1" type="noConversion"/>
  </si>
  <si>
    <t>e) Were you correct at predicting flatenning yield curve? Why? Why not?</t>
    <phoneticPr fontId="1" type="noConversion"/>
  </si>
  <si>
    <t>r(0)=</t>
  </si>
  <si>
    <t>sigma(1)=</t>
  </si>
  <si>
    <t>k(1)=</t>
  </si>
  <si>
    <t>sigma(0)=</t>
  </si>
  <si>
    <t>sigma(2)=</t>
  </si>
  <si>
    <t>k(2)=</t>
  </si>
  <si>
    <t>delta t =</t>
  </si>
  <si>
    <t>sigma(3)=</t>
  </si>
  <si>
    <t>k(3)=</t>
  </si>
  <si>
    <t>b=</t>
  </si>
  <si>
    <t>sigma(4)=</t>
  </si>
  <si>
    <t>k(4)=</t>
  </si>
  <si>
    <t>sigma(5)=</t>
  </si>
  <si>
    <t>k(5)=</t>
  </si>
  <si>
    <t>sigma(6)=</t>
  </si>
  <si>
    <t>k(6)=</t>
  </si>
  <si>
    <t>sigma(7)=</t>
  </si>
  <si>
    <t>k(7)=</t>
  </si>
  <si>
    <t>sigma(8)=</t>
  </si>
  <si>
    <t>k(8)=</t>
  </si>
  <si>
    <t xml:space="preserve">1. Suppose you calibrated a recombining Hull and White model to market data </t>
  </si>
  <si>
    <t>a) 8 Period Spot Rate Bionomial Tree:</t>
  </si>
  <si>
    <t>b) Zero Tree:</t>
  </si>
  <si>
    <t>c) The Value of Zeros Today:</t>
  </si>
  <si>
    <t>2. Use the tree you formed in (1) to answer below questions.</t>
  </si>
  <si>
    <t>a) The price of the bone today</t>
  </si>
  <si>
    <t>b) The price of the callable bond</t>
  </si>
  <si>
    <t>We need to find the value of the call option that matures in 3.5 years. The call option with strike of $104 and maturity of one period less than the life of the bond.</t>
  </si>
  <si>
    <t>In node 3 and 2.5, bond is callable. So there is an early exercise feature. In node 2, 1.5, 1, and 0.5, bond is not callable. So, we don't need to check early exercise feature.</t>
  </si>
  <si>
    <t>Bond Price</t>
  </si>
  <si>
    <t>Option Payoff at year 3.5</t>
  </si>
  <si>
    <t>Node 3</t>
  </si>
  <si>
    <t>No exercise value</t>
  </si>
  <si>
    <t>Early Exercise Value</t>
  </si>
  <si>
    <t>Exercise?</t>
  </si>
  <si>
    <t>Option Value V(3)</t>
  </si>
  <si>
    <t>P7(3.5,4)=</t>
  </si>
  <si>
    <t>V7(3.5)=</t>
  </si>
  <si>
    <t>V6(3)=</t>
  </si>
  <si>
    <t>No</t>
  </si>
  <si>
    <t>P6(3.5,4)=</t>
  </si>
  <si>
    <t>V6(3.5)=</t>
  </si>
  <si>
    <t>V5(3)=</t>
  </si>
  <si>
    <t>P5(3.5,4)=</t>
  </si>
  <si>
    <t>V5(3.5)=</t>
  </si>
  <si>
    <t>V4(3)=</t>
  </si>
  <si>
    <t>P4(3.5,4)=</t>
  </si>
  <si>
    <t>V4(3.5)=</t>
  </si>
  <si>
    <t>V3(3)=</t>
  </si>
  <si>
    <t>P3(3.5,4)=</t>
  </si>
  <si>
    <t>V3(3.5)=</t>
  </si>
  <si>
    <t>V2(3)=</t>
  </si>
  <si>
    <t>Yes</t>
  </si>
  <si>
    <t>P2(3.5,4)=</t>
  </si>
  <si>
    <t>V2(3.5)=</t>
  </si>
  <si>
    <t>V1(3)=</t>
  </si>
  <si>
    <t>P1(3.5,4)=</t>
  </si>
  <si>
    <t>V1(3.5)=</t>
  </si>
  <si>
    <t>V0(3)=</t>
  </si>
  <si>
    <t>P0(3.5,4)=</t>
  </si>
  <si>
    <t>V0(3.5)=</t>
  </si>
  <si>
    <t>Node 2.5</t>
  </si>
  <si>
    <t>No Exercise</t>
  </si>
  <si>
    <t>Option Value V(2.5)</t>
  </si>
  <si>
    <t>Node 2</t>
  </si>
  <si>
    <t xml:space="preserve"> Option Value V(2)</t>
  </si>
  <si>
    <t>Node 1.5</t>
  </si>
  <si>
    <t xml:space="preserve"> Option Value V(1.5)</t>
  </si>
  <si>
    <t>V5(2.5)=</t>
  </si>
  <si>
    <t>V4(2)=</t>
  </si>
  <si>
    <t>V3(1.5)=</t>
  </si>
  <si>
    <t>V4(2.5)=</t>
  </si>
  <si>
    <t>V3(2)=</t>
  </si>
  <si>
    <t>V2(1.5)=</t>
  </si>
  <si>
    <t>V3(2.5)=</t>
  </si>
  <si>
    <t>V2(2)=</t>
  </si>
  <si>
    <t>V1(1.5)=</t>
  </si>
  <si>
    <t>V2(2.5)=</t>
  </si>
  <si>
    <t>V1(2)=</t>
  </si>
  <si>
    <t>V0(1.5)=</t>
  </si>
  <si>
    <t>V1(2.5)=</t>
  </si>
  <si>
    <t>V0(2)=</t>
  </si>
  <si>
    <t>V0(2.5)=</t>
  </si>
  <si>
    <t>Node 1</t>
  </si>
  <si>
    <t xml:space="preserve"> Option Value V(1)</t>
  </si>
  <si>
    <t>Node 0.5</t>
  </si>
  <si>
    <t xml:space="preserve"> Option Value V(0.5)</t>
  </si>
  <si>
    <t>Node 0</t>
  </si>
  <si>
    <t xml:space="preserve"> Option Value V(0)</t>
  </si>
  <si>
    <t>V2(1)=</t>
  </si>
  <si>
    <t>V1(0.5)=</t>
  </si>
  <si>
    <t>V(0)=</t>
  </si>
  <si>
    <t>V1(1)=</t>
  </si>
  <si>
    <t>V0(1)=</t>
  </si>
  <si>
    <t>Price of callable bond=</t>
  </si>
  <si>
    <t>3. Use the tree you formed in (1) to answer below questions.</t>
  </si>
  <si>
    <t>a) Determine the fixed interest rate of FRAs that mature in 1 year, 2.5 years and 3 years.</t>
  </si>
  <si>
    <t>F1=</t>
  </si>
  <si>
    <t>F2.5=</t>
  </si>
  <si>
    <t>F3=</t>
  </si>
  <si>
    <t>b) Determine the fixed rates on a 6 month swap, a 2 year swap, and a 3 year swap.</t>
  </si>
  <si>
    <t>Semiannual rate</t>
  </si>
  <si>
    <t>Annual Swap rate</t>
  </si>
  <si>
    <t>F0.5=</t>
  </si>
  <si>
    <t>F2=</t>
  </si>
  <si>
    <t>c) The value of a 4 year floor</t>
  </si>
  <si>
    <t>X=</t>
  </si>
  <si>
    <t>4 year floorlet:</t>
  </si>
  <si>
    <t>3.5 year floorlet:</t>
  </si>
  <si>
    <t>3 year floorlet:</t>
  </si>
  <si>
    <t>2.5 year floorlet:</t>
  </si>
  <si>
    <t>2 year floorlet:</t>
  </si>
  <si>
    <t>1.5 year floorlet:</t>
  </si>
  <si>
    <t>1 year floorlet:</t>
  </si>
  <si>
    <t>0.5 year floorlet:</t>
  </si>
  <si>
    <t>Value of floorlet=</t>
  </si>
  <si>
    <t>d) The price of a receiver swaption</t>
  </si>
  <si>
    <t>uu</t>
  </si>
  <si>
    <t>Z(1,1.5)</t>
  </si>
  <si>
    <t>Z(1,2)</t>
  </si>
  <si>
    <t>Z(1,2.5)</t>
  </si>
  <si>
    <t>Z(1,3)</t>
  </si>
  <si>
    <t>Swap Rate</t>
  </si>
  <si>
    <t>ud</t>
  </si>
  <si>
    <t>dd</t>
  </si>
  <si>
    <t>Z(1.5,2)</t>
  </si>
  <si>
    <t>Z(0,1.5)</t>
  </si>
  <si>
    <t>Z(0,1)</t>
  </si>
  <si>
    <t>Z(0,0.5)</t>
  </si>
  <si>
    <t>Squared error</t>
  </si>
  <si>
    <t>Market</t>
  </si>
  <si>
    <t>Model</t>
  </si>
  <si>
    <t>Different Maturity Zeros at time 0</t>
  </si>
  <si>
    <t>r(0,0.5)</t>
  </si>
  <si>
    <t>One Period Spot Rates</t>
  </si>
  <si>
    <t>One-period Zeros</t>
  </si>
  <si>
    <t>sqrt(delta(t))</t>
  </si>
  <si>
    <t>delta(t)</t>
  </si>
  <si>
    <t>sigma</t>
  </si>
  <si>
    <t>b</t>
  </si>
  <si>
    <t>k</t>
  </si>
  <si>
    <t>Z(0,4)</t>
  </si>
  <si>
    <t>Z(0,3.5)</t>
  </si>
  <si>
    <t>Z(0,3)</t>
  </si>
  <si>
    <t>Z(0,2.5)</t>
  </si>
  <si>
    <t>Z(0,2)</t>
  </si>
  <si>
    <t>r0(0)</t>
  </si>
  <si>
    <t>sigma7*sqrt(0.5)</t>
  </si>
  <si>
    <t>sigma6*sqrt(0.5)</t>
  </si>
  <si>
    <t>sigma5*sqrt(0.5)</t>
  </si>
  <si>
    <t>sigma4*sqrt(0.5)</t>
  </si>
  <si>
    <t>sigma3*sqrt(0.5)</t>
  </si>
  <si>
    <t>sigma2*sqrt(0.5)</t>
  </si>
  <si>
    <t>probablility</t>
  </si>
  <si>
    <t>sigma1*sqrt(0.5)</t>
  </si>
  <si>
    <t>sqrt(0.5)</t>
  </si>
  <si>
    <r>
      <rPr>
        <sz val="10"/>
        <rFont val="Calibri"/>
        <family val="2"/>
      </rPr>
      <t>Δ</t>
    </r>
    <r>
      <rPr>
        <sz val="10"/>
        <rFont val="Arial"/>
        <family val="2"/>
      </rPr>
      <t>t8</t>
    </r>
    <r>
      <rPr>
        <sz val="10"/>
        <rFont val="Arial"/>
        <family val="2"/>
      </rPr>
      <t/>
    </r>
  </si>
  <si>
    <t>sigma7</t>
  </si>
  <si>
    <t>r7(7)</t>
  </si>
  <si>
    <r>
      <rPr>
        <sz val="10"/>
        <rFont val="Calibri"/>
        <family val="2"/>
      </rPr>
      <t>Δ</t>
    </r>
    <r>
      <rPr>
        <sz val="10"/>
        <rFont val="Arial"/>
        <family val="2"/>
      </rPr>
      <t>t7</t>
    </r>
    <r>
      <rPr>
        <sz val="10"/>
        <rFont val="Arial"/>
        <family val="2"/>
      </rPr>
      <t/>
    </r>
  </si>
  <si>
    <t>sigma6</t>
  </si>
  <si>
    <t>r6(6)</t>
  </si>
  <si>
    <r>
      <rPr>
        <sz val="10"/>
        <rFont val="Calibri"/>
        <family val="2"/>
      </rPr>
      <t>Δ</t>
    </r>
    <r>
      <rPr>
        <sz val="10"/>
        <rFont val="Arial"/>
        <family val="2"/>
      </rPr>
      <t>t6</t>
    </r>
    <r>
      <rPr>
        <sz val="10"/>
        <rFont val="Arial"/>
        <family val="2"/>
      </rPr>
      <t/>
    </r>
  </si>
  <si>
    <t>sigma5</t>
  </si>
  <si>
    <t>r5(5)</t>
  </si>
  <si>
    <r>
      <rPr>
        <sz val="10"/>
        <rFont val="Calibri"/>
        <family val="2"/>
      </rPr>
      <t>Δ</t>
    </r>
    <r>
      <rPr>
        <sz val="10"/>
        <rFont val="Arial"/>
        <family val="2"/>
      </rPr>
      <t>t5</t>
    </r>
    <r>
      <rPr>
        <sz val="10"/>
        <rFont val="Arial"/>
        <family val="2"/>
      </rPr>
      <t/>
    </r>
  </si>
  <si>
    <t>sigma4</t>
  </si>
  <si>
    <t>r4(4)</t>
  </si>
  <si>
    <r>
      <rPr>
        <sz val="10"/>
        <rFont val="Calibri"/>
        <family val="2"/>
      </rPr>
      <t>Δ</t>
    </r>
    <r>
      <rPr>
        <sz val="10"/>
        <rFont val="Arial"/>
        <family val="2"/>
      </rPr>
      <t>t4</t>
    </r>
    <r>
      <rPr>
        <sz val="10"/>
        <rFont val="Arial"/>
        <family val="2"/>
      </rPr>
      <t/>
    </r>
  </si>
  <si>
    <t>sigma3</t>
  </si>
  <si>
    <t>r3(3)</t>
  </si>
  <si>
    <r>
      <rPr>
        <sz val="10"/>
        <rFont val="Calibri"/>
        <family val="2"/>
      </rPr>
      <t>Δ</t>
    </r>
    <r>
      <rPr>
        <sz val="10"/>
        <rFont val="Arial"/>
        <family val="2"/>
      </rPr>
      <t>t3</t>
    </r>
    <r>
      <rPr>
        <sz val="10"/>
        <rFont val="Arial"/>
        <family val="2"/>
      </rPr>
      <t/>
    </r>
  </si>
  <si>
    <t>sigma2</t>
  </si>
  <si>
    <t>r2(2)</t>
  </si>
  <si>
    <r>
      <rPr>
        <sz val="10"/>
        <rFont val="Calibri"/>
        <family val="2"/>
      </rPr>
      <t>Δ</t>
    </r>
    <r>
      <rPr>
        <sz val="10"/>
        <rFont val="Arial"/>
        <family val="2"/>
      </rPr>
      <t>t2</t>
    </r>
    <r>
      <rPr>
        <sz val="10"/>
        <rFont val="Arial"/>
        <family val="2"/>
      </rPr>
      <t/>
    </r>
  </si>
  <si>
    <t>sigma1</t>
  </si>
  <si>
    <t>r1(1)</t>
  </si>
  <si>
    <r>
      <rPr>
        <sz val="10"/>
        <rFont val="Calibri"/>
        <family val="2"/>
      </rPr>
      <t>Δ</t>
    </r>
    <r>
      <rPr>
        <sz val="10"/>
        <rFont val="Arial"/>
        <family val="2"/>
      </rPr>
      <t>t1</t>
    </r>
  </si>
  <si>
    <t>sigma0</t>
  </si>
  <si>
    <t>µ7</t>
  </si>
  <si>
    <t>µ6</t>
  </si>
  <si>
    <t>µ5</t>
  </si>
  <si>
    <t>µ4</t>
  </si>
  <si>
    <t>µ3</t>
  </si>
  <si>
    <t>µ2</t>
  </si>
  <si>
    <t>µ1</t>
  </si>
  <si>
    <t>dr(t)=µ(t)+δ(t)dW(t)</t>
  </si>
  <si>
    <t xml:space="preserve">generallized Ho and Lee Model </t>
  </si>
  <si>
    <t>Δt8</t>
  </si>
  <si>
    <t>Δt7</t>
  </si>
  <si>
    <t>Δt6</t>
  </si>
  <si>
    <t>Δt5</t>
  </si>
  <si>
    <t>Δt4</t>
  </si>
  <si>
    <t>Δt3</t>
  </si>
  <si>
    <t>Δt2</t>
  </si>
  <si>
    <t>Δt1</t>
  </si>
  <si>
    <t>Ɣ7</t>
  </si>
  <si>
    <t>k7</t>
  </si>
  <si>
    <t>Ɣ6</t>
  </si>
  <si>
    <t>k6</t>
  </si>
  <si>
    <t>Ɣ5</t>
  </si>
  <si>
    <t>k5</t>
  </si>
  <si>
    <t>Ɣ4</t>
  </si>
  <si>
    <t>k4</t>
  </si>
  <si>
    <t>Ɣ3</t>
  </si>
  <si>
    <t>k3</t>
  </si>
  <si>
    <t>Ɣ2</t>
  </si>
  <si>
    <t>k2</t>
  </si>
  <si>
    <t>Ɣ1</t>
  </si>
  <si>
    <t>k1</t>
  </si>
  <si>
    <t>dr(t)=(Ɣ (t) - k(t)r(t))dt +δ (t)dW (t)</t>
  </si>
  <si>
    <t xml:space="preserve">Hull and White generallized Vasik Model </t>
  </si>
  <si>
    <t xml:space="preserve"> Zeros</t>
  </si>
  <si>
    <t xml:space="preserve"> Spot Rates</t>
  </si>
  <si>
    <t xml:space="preserve"> log Spot Rates</t>
  </si>
  <si>
    <t>dr(t)/r(t)=(Ɣ(t)-k(t)r(t))d(t)+δ(t)dw(t)</t>
  </si>
  <si>
    <t>Black Karasinski model</t>
  </si>
  <si>
    <t>One Period log Spot Rates</t>
  </si>
  <si>
    <t>dr(t)/r(t)=µ(t)dt+δ(t)dW(t)</t>
  </si>
  <si>
    <t>Black-Derman-Toy model</t>
  </si>
  <si>
    <t>log normally solution</t>
  </si>
  <si>
    <t>BDT model</t>
  </si>
  <si>
    <t>vasicek model use k=0.01 b=0.03</t>
  </si>
  <si>
    <t>vasicek model solution after fit the market model</t>
  </si>
  <si>
    <t>normal spot solution after fit the market model</t>
  </si>
  <si>
    <t>Hulland White generallized Vasik model</t>
  </si>
  <si>
    <t xml:space="preserve">Different Maturity Zeros </t>
  </si>
  <si>
    <t xml:space="preserve">Time 3/15/2018:  I bought $ 100 million 20-year T-bond for Pt =122332565.8. I finance this purchase with a repo transaction, puting $100 m T-bond as collateral and borrow Pt (1-haircut) =121720902.9 from the repo dealer. </t>
    <phoneticPr fontId="1" type="noConversion"/>
  </si>
  <si>
    <t>Time 3/18/2018: I paid repo dealer Pt (l-haircut)*(l+3 day repo rate) = 121733582.2. Get the $100 m T-bond back and sold it in the market for PT =122441965.8</t>
    <phoneticPr fontId="1" type="noConversion"/>
  </si>
  <si>
    <t>Time 3/15/2018: I borrow $814594840.1 2-year bond from repo dealer and sell the bond in the market at 98.1016.  I pay $814594840.1 as cash colletaral.</t>
    <phoneticPr fontId="1" type="noConversion"/>
  </si>
  <si>
    <t>Time 3/18/2018: I buy the bond back from the market at 98.74014167. I sell the bond to repo dealer and get back the cash $809570733.8, plus the reverse repo rate earned on the cash, $67882.90334</t>
    <phoneticPr fontId="1" type="noConversion"/>
  </si>
  <si>
    <t>Total profit:</t>
    <phoneticPr fontId="1" type="noConversion"/>
  </si>
  <si>
    <t>Profit:</t>
    <phoneticPr fontId="1" type="noConversion"/>
  </si>
  <si>
    <t>I will sell 2-year bond on 3/15/2018 for the spread trade, and buy $100 million face value of 20-year bond. Because I'm expecting that the yield curve will flatten, which means spread between long yield and short yields should decrease. To make profit, I can buy long maturity bonds and sell short maturity bonds.</t>
    <phoneticPr fontId="1" type="noConversion"/>
  </si>
  <si>
    <t>Yes, because we make profit by buying long-term bonds and selling short-term bonds under flatenning yield curve prediction.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</si>
</sst>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h]:mm"/>
    <numFmt numFmtId="177" formatCode="0.0000_);[Red]\(0.0000\)"/>
    <numFmt numFmtId="178" formatCode="0.0000"/>
    <numFmt numFmtId="179" formatCode="0.00_);[Red]\(0.00\)"/>
    <numFmt numFmtId="180" formatCode="0.000"/>
    <numFmt numFmtId="181" formatCode="0.00000"/>
    <numFmt numFmtId="182" formatCode="0.000000"/>
    <numFmt numFmtId="183" formatCode="0.0000_ "/>
  </numFmts>
  <fonts count="28">
    <font>
      <sz val="11"/>
      <color theme="1"/>
      <name val="宋体"/>
      <family val="2"/>
      <scheme val="minor"/>
    </font>
    <font>
      <b/>
      <sz val="11"/>
      <color theme="1"/>
      <name val="宋体"/>
      <family val="2"/>
      <scheme val="minor"/>
    </font>
    <font>
      <b/>
      <sz val="10"/>
      <color theme="1"/>
      <name val="宋体"/>
      <family val="2"/>
      <scheme val="minor"/>
    </font>
    <font>
      <b/>
      <sz val="11"/>
      <color rgb="FFFF0000"/>
      <name val="宋体"/>
      <family val="2"/>
      <scheme val="minor"/>
    </font>
    <font>
      <sz val="9"/>
      <name val="宋体"/>
      <family val="3"/>
      <charset val="134"/>
      <scheme val="minor"/>
    </font>
    <font>
      <sz val="10"/>
      <color theme="1"/>
      <name val="Arial"/>
      <family val="2"/>
    </font>
    <font>
      <b/>
      <sz val="11"/>
      <color theme="1"/>
      <name val="宋体"/>
      <family val="3"/>
      <charset val="134"/>
      <scheme val="minor"/>
    </font>
    <font>
      <sz val="11"/>
      <color rgb="FFFF0000"/>
      <name val="宋体"/>
      <family val="2"/>
      <scheme val="minor"/>
    </font>
    <font>
      <sz val="11"/>
      <color rgb="FFFF0000"/>
      <name val="宋体"/>
      <family val="3"/>
      <charset val="134"/>
      <scheme val="minor"/>
    </font>
    <font>
      <i/>
      <sz val="10"/>
      <name val="Arial"/>
      <family val="2"/>
    </font>
    <font>
      <sz val="12"/>
      <color theme="1"/>
      <name val="TimesNewRomanPSMT"/>
    </font>
    <font>
      <i/>
      <sz val="11"/>
      <color theme="1"/>
      <name val="宋体"/>
      <family val="2"/>
      <scheme val="minor"/>
    </font>
    <font>
      <sz val="12"/>
      <color theme="1"/>
      <name val="Times New Roman"/>
      <family val="1"/>
    </font>
    <font>
      <sz val="12"/>
      <color rgb="FFFF0000"/>
      <name val="Times New Roman"/>
      <family val="1"/>
    </font>
    <font>
      <b/>
      <sz val="12"/>
      <color theme="1"/>
      <name val="TimesNewRomanPSMT"/>
    </font>
    <font>
      <b/>
      <sz val="16"/>
      <color theme="1"/>
      <name val="Times New Roman"/>
      <family val="1"/>
    </font>
    <font>
      <b/>
      <sz val="14"/>
      <color theme="1"/>
      <name val="Times New Roman"/>
      <family val="1"/>
    </font>
    <font>
      <sz val="12"/>
      <color theme="1"/>
      <name val="Cambria"/>
      <family val="1"/>
      <charset val="134"/>
    </font>
    <font>
      <sz val="12"/>
      <color theme="1"/>
      <name val="DengXian"/>
      <family val="4"/>
      <charset val="134"/>
    </font>
    <font>
      <sz val="12"/>
      <color theme="1"/>
      <name val="等线"/>
      <family val="4"/>
    </font>
    <font>
      <b/>
      <sz val="12"/>
      <color theme="1"/>
      <name val="宋体"/>
      <family val="2"/>
      <scheme val="minor"/>
    </font>
    <font>
      <sz val="12"/>
      <color theme="1"/>
      <name val="SymbolMT"/>
    </font>
    <font>
      <b/>
      <sz val="12"/>
      <color theme="1"/>
      <name val="SymbolMT"/>
    </font>
    <font>
      <sz val="10"/>
      <name val="Arial"/>
      <family val="2"/>
    </font>
    <font>
      <sz val="10"/>
      <name val="Calibri"/>
      <family val="2"/>
    </font>
    <font>
      <sz val="12"/>
      <name val="Arial"/>
      <family val="2"/>
    </font>
    <font>
      <sz val="12"/>
      <name val="Calibri"/>
      <family val="2"/>
    </font>
    <font>
      <sz val="11"/>
      <color rgb="FF3F3F76"/>
      <name val="宋体"/>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rgb="FFFFCC99"/>
      </patternFill>
    </fill>
  </fills>
  <borders count="19">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23" fillId="0" borderId="0"/>
    <xf numFmtId="0" fontId="27" fillId="9" borderId="15" applyNumberFormat="0" applyAlignment="0" applyProtection="0"/>
  </cellStyleXfs>
  <cellXfs count="215">
    <xf numFmtId="0" fontId="0" fillId="0" borderId="0" xfId="0"/>
    <xf numFmtId="0" fontId="2" fillId="0" borderId="0" xfId="0" applyFont="1" applyBorder="1"/>
    <xf numFmtId="0" fontId="0" fillId="0" borderId="0" xfId="0" applyFill="1" applyBorder="1"/>
    <xf numFmtId="0" fontId="0" fillId="0" borderId="0" xfId="0" applyFill="1"/>
    <xf numFmtId="0" fontId="1" fillId="0" borderId="0" xfId="0" applyFont="1" applyFill="1" applyBorder="1"/>
    <xf numFmtId="0" fontId="3" fillId="0" borderId="0" xfId="0" applyFont="1" applyFill="1" applyBorder="1"/>
    <xf numFmtId="14" fontId="0" fillId="0" borderId="0" xfId="0" applyNumberFormat="1" applyBorder="1" applyAlignment="1">
      <alignment wrapText="1"/>
    </xf>
    <xf numFmtId="0" fontId="0" fillId="0" borderId="0" xfId="0" applyBorder="1" applyAlignment="1">
      <alignment wrapText="1"/>
    </xf>
    <xf numFmtId="176" fontId="1" fillId="0" borderId="0" xfId="0" applyNumberFormat="1" applyFont="1" applyFill="1" applyBorder="1"/>
    <xf numFmtId="0" fontId="0" fillId="0" borderId="0" xfId="0" applyAlignment="1">
      <alignment vertical="center" wrapText="1"/>
    </xf>
    <xf numFmtId="0" fontId="0" fillId="0" borderId="0" xfId="0" applyFill="1" applyBorder="1" applyAlignment="1">
      <alignment wrapText="1"/>
    </xf>
    <xf numFmtId="14" fontId="0" fillId="0" borderId="0" xfId="0" applyNumberFormat="1" applyBorder="1" applyAlignment="1">
      <alignment vertical="center" wrapText="1"/>
    </xf>
    <xf numFmtId="0" fontId="0" fillId="0" borderId="0" xfId="0" applyBorder="1" applyAlignment="1">
      <alignment vertical="center" wrapText="1"/>
    </xf>
    <xf numFmtId="0" fontId="0" fillId="0" borderId="0" xfId="0" quotePrefix="1" applyBorder="1" applyAlignment="1">
      <alignment vertical="center" wrapText="1"/>
    </xf>
    <xf numFmtId="0" fontId="0" fillId="0" borderId="0" xfId="0" applyBorder="1"/>
    <xf numFmtId="0" fontId="1" fillId="0" borderId="0" xfId="0" applyFont="1" applyAlignment="1">
      <alignment horizontal="center" vertical="center" wrapText="1"/>
    </xf>
    <xf numFmtId="15" fontId="0" fillId="0" borderId="0" xfId="0" applyNumberFormat="1"/>
    <xf numFmtId="0" fontId="0" fillId="0" borderId="0" xfId="0" applyFill="1" applyBorder="1" applyAlignment="1">
      <alignment vertical="center" wrapText="1"/>
    </xf>
    <xf numFmtId="14" fontId="0" fillId="0" borderId="0" xfId="0" applyNumberFormat="1" applyFill="1" applyBorder="1"/>
    <xf numFmtId="0" fontId="5" fillId="0" borderId="0" xfId="0" applyFont="1"/>
    <xf numFmtId="0" fontId="6" fillId="0" borderId="0" xfId="0" applyFont="1"/>
    <xf numFmtId="0" fontId="0" fillId="0" borderId="0" xfId="0" applyFill="1" applyBorder="1" applyAlignment="1"/>
    <xf numFmtId="0" fontId="0" fillId="0" borderId="1" xfId="0" applyFill="1" applyBorder="1" applyAlignment="1"/>
    <xf numFmtId="0" fontId="0" fillId="0" borderId="2" xfId="0" applyFont="1" applyFill="1" applyBorder="1" applyAlignment="1">
      <alignment horizontal="center"/>
    </xf>
    <xf numFmtId="0" fontId="0" fillId="0" borderId="2" xfId="0" applyFont="1" applyFill="1" applyBorder="1" applyAlignment="1">
      <alignment horizontal="centerContinuous"/>
    </xf>
    <xf numFmtId="177" fontId="0" fillId="0" borderId="0" xfId="0" applyNumberFormat="1" applyFill="1" applyBorder="1"/>
    <xf numFmtId="0" fontId="0" fillId="0" borderId="0" xfId="0" applyFont="1" applyFill="1" applyBorder="1" applyAlignment="1">
      <alignment horizontal="center"/>
    </xf>
    <xf numFmtId="0" fontId="7" fillId="0" borderId="0" xfId="0" applyFont="1" applyFill="1" applyBorder="1" applyAlignment="1"/>
    <xf numFmtId="0" fontId="8" fillId="0" borderId="0" xfId="0" applyFont="1" applyFill="1" applyBorder="1" applyAlignment="1"/>
    <xf numFmtId="0" fontId="6" fillId="0" borderId="0" xfId="0" applyFont="1" applyFill="1" applyBorder="1"/>
    <xf numFmtId="0" fontId="9" fillId="0" borderId="0" xfId="0" applyFont="1"/>
    <xf numFmtId="177" fontId="0" fillId="0" borderId="0" xfId="0" applyNumberFormat="1"/>
    <xf numFmtId="178" fontId="0" fillId="0" borderId="0" xfId="0" applyNumberFormat="1"/>
    <xf numFmtId="0" fontId="13" fillId="0" borderId="0" xfId="0" applyFont="1" applyAlignment="1">
      <alignment vertical="center"/>
    </xf>
    <xf numFmtId="0" fontId="0" fillId="0" borderId="0" xfId="0" applyBorder="1" applyAlignment="1">
      <alignment horizontal="center"/>
    </xf>
    <xf numFmtId="0" fontId="11" fillId="0" borderId="0" xfId="0" applyFont="1" applyFill="1" applyBorder="1" applyAlignment="1">
      <alignment horizontal="centerContinuous"/>
    </xf>
    <xf numFmtId="0" fontId="11" fillId="0" borderId="0" xfId="0" applyFont="1" applyFill="1" applyBorder="1" applyAlignment="1">
      <alignment horizontal="center"/>
    </xf>
    <xf numFmtId="0" fontId="1" fillId="0" borderId="4" xfId="0" applyFont="1" applyFill="1" applyBorder="1"/>
    <xf numFmtId="0" fontId="0" fillId="0" borderId="5" xfId="0" applyFill="1" applyBorder="1"/>
    <xf numFmtId="0" fontId="3" fillId="0" borderId="6" xfId="0" applyFont="1" applyFill="1" applyBorder="1"/>
    <xf numFmtId="0" fontId="0" fillId="0" borderId="7" xfId="0" applyFill="1" applyBorder="1"/>
    <xf numFmtId="0" fontId="1" fillId="0" borderId="6" xfId="0" applyFont="1" applyFill="1" applyBorder="1"/>
    <xf numFmtId="14" fontId="0" fillId="0" borderId="6" xfId="0" applyNumberFormat="1" applyBorder="1" applyAlignment="1">
      <alignment vertical="center" wrapText="1"/>
    </xf>
    <xf numFmtId="14" fontId="0" fillId="0" borderId="8" xfId="0" applyNumberFormat="1" applyBorder="1" applyAlignment="1">
      <alignment vertical="center" wrapText="1"/>
    </xf>
    <xf numFmtId="0" fontId="0" fillId="0" borderId="9" xfId="0" applyBorder="1" applyAlignment="1">
      <alignment vertical="center" wrapText="1"/>
    </xf>
    <xf numFmtId="0" fontId="0" fillId="0" borderId="4" xfId="0" applyFill="1" applyBorder="1"/>
    <xf numFmtId="0" fontId="0" fillId="0" borderId="6" xfId="0" applyFill="1" applyBorder="1"/>
    <xf numFmtId="0" fontId="0" fillId="0" borderId="4" xfId="0" applyBorder="1"/>
    <xf numFmtId="0" fontId="0" fillId="0" borderId="5" xfId="0" applyBorder="1"/>
    <xf numFmtId="0" fontId="1" fillId="0" borderId="7" xfId="0" applyFont="1" applyFill="1" applyBorder="1"/>
    <xf numFmtId="0" fontId="3" fillId="2" borderId="6" xfId="0" applyFont="1" applyFill="1" applyBorder="1"/>
    <xf numFmtId="0" fontId="0" fillId="2" borderId="0" xfId="0" applyFill="1" applyBorder="1"/>
    <xf numFmtId="0" fontId="0" fillId="2" borderId="7" xfId="0" applyFill="1" applyBorder="1"/>
    <xf numFmtId="0" fontId="1" fillId="2" borderId="6" xfId="0" applyFont="1" applyFill="1" applyBorder="1"/>
    <xf numFmtId="0" fontId="1" fillId="2" borderId="0" xfId="0" applyFont="1" applyFill="1" applyBorder="1"/>
    <xf numFmtId="0" fontId="1" fillId="2" borderId="7" xfId="0" applyFont="1" applyFill="1" applyBorder="1"/>
    <xf numFmtId="14" fontId="0" fillId="2" borderId="6" xfId="0" applyNumberFormat="1" applyFill="1" applyBorder="1" applyAlignment="1">
      <alignment vertical="center" wrapText="1"/>
    </xf>
    <xf numFmtId="0" fontId="0" fillId="2" borderId="0" xfId="0" applyFill="1" applyBorder="1" applyAlignment="1">
      <alignment vertical="center" wrapText="1"/>
    </xf>
    <xf numFmtId="14" fontId="0" fillId="2" borderId="0" xfId="0" applyNumberFormat="1" applyFill="1" applyBorder="1"/>
    <xf numFmtId="0" fontId="0" fillId="2" borderId="6" xfId="0" applyFill="1" applyBorder="1"/>
    <xf numFmtId="176" fontId="1" fillId="2" borderId="0" xfId="0" applyNumberFormat="1" applyFont="1" applyFill="1" applyBorder="1"/>
    <xf numFmtId="0" fontId="0" fillId="2" borderId="0" xfId="0" applyFill="1" applyBorder="1" applyAlignment="1">
      <alignment wrapText="1"/>
    </xf>
    <xf numFmtId="14" fontId="0" fillId="2" borderId="8" xfId="0" applyNumberFormat="1" applyFill="1" applyBorder="1" applyAlignment="1">
      <alignment vertical="center" wrapText="1"/>
    </xf>
    <xf numFmtId="0" fontId="0" fillId="2" borderId="9" xfId="0" applyFill="1" applyBorder="1" applyAlignment="1">
      <alignment vertical="center" wrapText="1"/>
    </xf>
    <xf numFmtId="0" fontId="0" fillId="2" borderId="9" xfId="0" applyFill="1" applyBorder="1" applyAlignment="1">
      <alignment wrapText="1"/>
    </xf>
    <xf numFmtId="0" fontId="0" fillId="2" borderId="10" xfId="0" applyFill="1" applyBorder="1"/>
    <xf numFmtId="0" fontId="6" fillId="2" borderId="11" xfId="0" applyFont="1" applyFill="1" applyBorder="1"/>
    <xf numFmtId="0" fontId="6" fillId="2" borderId="12" xfId="0" applyFont="1" applyFill="1" applyBorder="1"/>
    <xf numFmtId="0" fontId="6" fillId="2" borderId="13" xfId="0" applyFont="1" applyFill="1" applyBorder="1"/>
    <xf numFmtId="0" fontId="0" fillId="0" borderId="7" xfId="0" applyBorder="1"/>
    <xf numFmtId="0" fontId="0" fillId="0" borderId="9" xfId="0" applyBorder="1"/>
    <xf numFmtId="0" fontId="0" fillId="0" borderId="10" xfId="0" applyBorder="1"/>
    <xf numFmtId="0" fontId="6" fillId="3" borderId="11" xfId="0" applyFont="1" applyFill="1" applyBorder="1" applyAlignment="1">
      <alignment vertical="center" wrapText="1"/>
    </xf>
    <xf numFmtId="0" fontId="6" fillId="3" borderId="12" xfId="0" applyFont="1" applyFill="1" applyBorder="1"/>
    <xf numFmtId="0" fontId="6" fillId="3" borderId="13" xfId="0" applyFont="1" applyFill="1" applyBorder="1"/>
    <xf numFmtId="0" fontId="0" fillId="3" borderId="11" xfId="0" applyFill="1" applyBorder="1"/>
    <xf numFmtId="0" fontId="0" fillId="3" borderId="12" xfId="0" applyFill="1" applyBorder="1"/>
    <xf numFmtId="0" fontId="0" fillId="3" borderId="13" xfId="0" applyFill="1" applyBorder="1"/>
    <xf numFmtId="0" fontId="12" fillId="3" borderId="6" xfId="0" applyFont="1" applyFill="1" applyBorder="1" applyAlignment="1">
      <alignment horizontal="right" vertical="center"/>
    </xf>
    <xf numFmtId="0" fontId="0" fillId="3" borderId="0" xfId="0" applyFill="1" applyBorder="1"/>
    <xf numFmtId="0" fontId="0" fillId="3" borderId="7" xfId="0" applyFill="1" applyBorder="1"/>
    <xf numFmtId="0" fontId="0" fillId="3" borderId="0" xfId="0" applyFill="1" applyBorder="1" applyAlignment="1">
      <alignment vertical="center" wrapText="1"/>
    </xf>
    <xf numFmtId="0" fontId="0" fillId="3" borderId="6" xfId="0" applyFill="1" applyBorder="1" applyAlignment="1">
      <alignment horizontal="right"/>
    </xf>
    <xf numFmtId="0" fontId="0" fillId="3" borderId="0" xfId="0" applyFill="1" applyBorder="1" applyAlignment="1">
      <alignment horizontal="right"/>
    </xf>
    <xf numFmtId="0" fontId="0" fillId="3" borderId="6" xfId="0" applyFill="1" applyBorder="1" applyAlignment="1">
      <alignment horizontal="right" vertical="center" wrapText="1"/>
    </xf>
    <xf numFmtId="0" fontId="0" fillId="3" borderId="8" xfId="0" applyFill="1" applyBorder="1" applyAlignment="1">
      <alignment horizontal="right"/>
    </xf>
    <xf numFmtId="0" fontId="0" fillId="3" borderId="9" xfId="0" applyFill="1" applyBorder="1"/>
    <xf numFmtId="0" fontId="0" fillId="3" borderId="9" xfId="0" applyFill="1" applyBorder="1" applyAlignment="1">
      <alignment horizontal="right"/>
    </xf>
    <xf numFmtId="0" fontId="0" fillId="3" borderId="10" xfId="0" applyFill="1" applyBorder="1"/>
    <xf numFmtId="0" fontId="14" fillId="3" borderId="0" xfId="0" applyFont="1" applyFill="1"/>
    <xf numFmtId="0" fontId="1" fillId="3" borderId="0" xfId="0" applyFont="1" applyFill="1"/>
    <xf numFmtId="0" fontId="0" fillId="3" borderId="0" xfId="0" applyFill="1"/>
    <xf numFmtId="0" fontId="3" fillId="3" borderId="0" xfId="0" applyFont="1" applyFill="1" applyBorder="1"/>
    <xf numFmtId="0" fontId="1" fillId="3" borderId="0" xfId="0" applyFont="1" applyFill="1" applyBorder="1"/>
    <xf numFmtId="14" fontId="0" fillId="3" borderId="0" xfId="0" applyNumberFormat="1" applyFill="1" applyBorder="1" applyAlignment="1">
      <alignment vertical="center" wrapText="1"/>
    </xf>
    <xf numFmtId="176" fontId="1" fillId="3" borderId="0" xfId="0" applyNumberFormat="1" applyFont="1" applyFill="1" applyBorder="1"/>
    <xf numFmtId="0" fontId="6" fillId="3" borderId="6" xfId="0" applyFont="1" applyFill="1" applyBorder="1" applyAlignment="1">
      <alignment vertical="center" wrapText="1"/>
    </xf>
    <xf numFmtId="0" fontId="10" fillId="3" borderId="0" xfId="0" applyFont="1" applyFill="1"/>
    <xf numFmtId="0" fontId="6" fillId="3" borderId="0" xfId="0" applyFont="1" applyFill="1"/>
    <xf numFmtId="0" fontId="10" fillId="3" borderId="3" xfId="0" applyFont="1" applyFill="1" applyBorder="1"/>
    <xf numFmtId="0" fontId="0" fillId="3" borderId="5" xfId="0" applyFill="1" applyBorder="1"/>
    <xf numFmtId="0" fontId="10" fillId="3" borderId="6" xfId="0" applyFont="1" applyFill="1" applyBorder="1"/>
    <xf numFmtId="0" fontId="10" fillId="3" borderId="8" xfId="0" applyFont="1" applyFill="1" applyBorder="1"/>
    <xf numFmtId="0" fontId="6" fillId="3" borderId="3" xfId="0" applyFont="1" applyFill="1" applyBorder="1"/>
    <xf numFmtId="0" fontId="0" fillId="3" borderId="4" xfId="0" applyFill="1" applyBorder="1"/>
    <xf numFmtId="0" fontId="1" fillId="0" borderId="3" xfId="0" applyFont="1" applyBorder="1" applyAlignment="1">
      <alignment horizontal="center" vertical="center" wrapText="1"/>
    </xf>
    <xf numFmtId="0" fontId="0" fillId="0" borderId="4" xfId="0" applyBorder="1" applyAlignment="1">
      <alignment vertical="center" wrapText="1"/>
    </xf>
    <xf numFmtId="0" fontId="5" fillId="0" borderId="6" xfId="0" applyFont="1" applyBorder="1"/>
    <xf numFmtId="0" fontId="5" fillId="0" borderId="0"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3" fillId="0" borderId="3" xfId="0" applyFont="1" applyFill="1" applyBorder="1"/>
    <xf numFmtId="0" fontId="0" fillId="0" borderId="7" xfId="0" applyFill="1" applyBorder="1" applyAlignment="1">
      <alignment wrapText="1"/>
    </xf>
    <xf numFmtId="0" fontId="0" fillId="0" borderId="10" xfId="0" applyFill="1" applyBorder="1" applyAlignment="1">
      <alignment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Fill="1" applyBorder="1"/>
    <xf numFmtId="177" fontId="0" fillId="0" borderId="7" xfId="0" applyNumberFormat="1" applyFill="1" applyBorder="1"/>
    <xf numFmtId="0" fontId="0" fillId="0" borderId="7" xfId="0" applyBorder="1" applyAlignment="1">
      <alignment vertical="center" wrapText="1"/>
    </xf>
    <xf numFmtId="0" fontId="0" fillId="0" borderId="10" xfId="0" applyBorder="1" applyAlignment="1">
      <alignment vertical="center" wrapText="1"/>
    </xf>
    <xf numFmtId="14" fontId="0" fillId="3" borderId="0" xfId="0" applyNumberFormat="1" applyFill="1"/>
    <xf numFmtId="0" fontId="0" fillId="3" borderId="0" xfId="0" applyFill="1" applyBorder="1" applyAlignment="1"/>
    <xf numFmtId="0" fontId="0" fillId="3" borderId="0" xfId="0" applyFill="1"/>
    <xf numFmtId="0" fontId="6" fillId="3" borderId="0" xfId="0" applyFont="1" applyFill="1" applyBorder="1"/>
    <xf numFmtId="179" fontId="0" fillId="0" borderId="0" xfId="0" applyNumberFormat="1" applyFill="1" applyBorder="1"/>
    <xf numFmtId="0" fontId="6" fillId="3" borderId="0" xfId="0" applyFont="1" applyFill="1" applyBorder="1"/>
    <xf numFmtId="177" fontId="1" fillId="3" borderId="0" xfId="0" applyNumberFormat="1" applyFont="1" applyFill="1"/>
    <xf numFmtId="0" fontId="6" fillId="3" borderId="0" xfId="0" applyFont="1" applyFill="1" applyBorder="1"/>
    <xf numFmtId="0" fontId="15"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0" fillId="0" borderId="0" xfId="0" applyBorder="1" applyAlignment="1">
      <alignment vertical="center"/>
    </xf>
    <xf numFmtId="0" fontId="6" fillId="3" borderId="14" xfId="0" applyFont="1" applyFill="1" applyBorder="1"/>
    <xf numFmtId="0" fontId="0" fillId="3" borderId="14" xfId="0" applyFill="1" applyBorder="1" applyAlignment="1"/>
    <xf numFmtId="0" fontId="0" fillId="4" borderId="0" xfId="0" applyFill="1"/>
    <xf numFmtId="0" fontId="10" fillId="5" borderId="0" xfId="0" applyFont="1" applyFill="1"/>
    <xf numFmtId="0" fontId="0" fillId="5" borderId="0" xfId="0" applyFill="1"/>
    <xf numFmtId="0" fontId="10" fillId="4" borderId="0" xfId="0" applyFont="1" applyFill="1"/>
    <xf numFmtId="0" fontId="20" fillId="0" borderId="0" xfId="0" applyFont="1"/>
    <xf numFmtId="0" fontId="21" fillId="0" borderId="0" xfId="0" applyFont="1"/>
    <xf numFmtId="0" fontId="20" fillId="0" borderId="0" xfId="0" applyFont="1" applyAlignment="1">
      <alignment horizontal="center"/>
    </xf>
    <xf numFmtId="0" fontId="22" fillId="0" borderId="0" xfId="0" applyFont="1" applyAlignment="1">
      <alignment horizontal="center"/>
    </xf>
    <xf numFmtId="0" fontId="20" fillId="0" borderId="0" xfId="0" applyFont="1" applyBorder="1"/>
    <xf numFmtId="0" fontId="0" fillId="6" borderId="0" xfId="0" applyFill="1" applyBorder="1"/>
    <xf numFmtId="0" fontId="20" fillId="0" borderId="0" xfId="0" applyFont="1" applyFill="1" applyBorder="1"/>
    <xf numFmtId="0" fontId="20" fillId="0" borderId="0" xfId="0" applyFont="1" applyFill="1" applyBorder="1" applyAlignment="1">
      <alignment horizontal="center"/>
    </xf>
    <xf numFmtId="0" fontId="20" fillId="6" borderId="0" xfId="0" applyFont="1" applyFill="1"/>
    <xf numFmtId="0" fontId="20" fillId="0" borderId="14" xfId="0" applyFont="1" applyBorder="1"/>
    <xf numFmtId="0" fontId="0" fillId="0" borderId="14" xfId="0" applyBorder="1"/>
    <xf numFmtId="0" fontId="20" fillId="0" borderId="14" xfId="0" applyFont="1" applyFill="1" applyBorder="1"/>
    <xf numFmtId="0" fontId="0" fillId="6" borderId="0" xfId="0" applyFill="1"/>
    <xf numFmtId="0" fontId="0" fillId="0" borderId="0" xfId="0" applyAlignment="1"/>
    <xf numFmtId="0" fontId="23" fillId="0" borderId="0" xfId="1"/>
    <xf numFmtId="180" fontId="23" fillId="0" borderId="0" xfId="1" applyNumberFormat="1"/>
    <xf numFmtId="178" fontId="23" fillId="0" borderId="0" xfId="1" applyNumberFormat="1"/>
    <xf numFmtId="11" fontId="23" fillId="0" borderId="0" xfId="1" applyNumberFormat="1"/>
    <xf numFmtId="181" fontId="23" fillId="0" borderId="0" xfId="1" applyNumberFormat="1"/>
    <xf numFmtId="178" fontId="23" fillId="0" borderId="0" xfId="1" applyNumberFormat="1" applyFont="1"/>
    <xf numFmtId="182" fontId="23" fillId="0" borderId="0" xfId="1" applyNumberFormat="1"/>
    <xf numFmtId="182" fontId="23" fillId="0" borderId="0" xfId="1" applyNumberFormat="1" applyFont="1"/>
    <xf numFmtId="182" fontId="25" fillId="0" borderId="0" xfId="1" applyNumberFormat="1" applyFont="1"/>
    <xf numFmtId="182" fontId="26" fillId="0" borderId="0" xfId="1" applyNumberFormat="1" applyFont="1"/>
    <xf numFmtId="180" fontId="23" fillId="0" borderId="0" xfId="1" applyNumberFormat="1" applyFont="1"/>
    <xf numFmtId="0" fontId="23" fillId="0" borderId="0" xfId="1" applyFont="1"/>
    <xf numFmtId="178" fontId="23" fillId="7" borderId="0" xfId="1" applyNumberFormat="1" applyFill="1"/>
    <xf numFmtId="0" fontId="23" fillId="2" borderId="0" xfId="1" applyFill="1"/>
    <xf numFmtId="178" fontId="9" fillId="2" borderId="0" xfId="1" applyNumberFormat="1" applyFont="1" applyFill="1"/>
    <xf numFmtId="0" fontId="23" fillId="6" borderId="0" xfId="1" applyFill="1"/>
    <xf numFmtId="0" fontId="23" fillId="7" borderId="0" xfId="1" applyFill="1"/>
    <xf numFmtId="182" fontId="23" fillId="2" borderId="0" xfId="1" applyNumberFormat="1" applyFill="1"/>
    <xf numFmtId="182" fontId="9" fillId="2" borderId="0" xfId="1" applyNumberFormat="1" applyFont="1" applyFill="1"/>
    <xf numFmtId="182" fontId="23" fillId="6" borderId="0" xfId="1" applyNumberFormat="1" applyFill="1"/>
    <xf numFmtId="0" fontId="23" fillId="2" borderId="0" xfId="1" applyFont="1" applyFill="1"/>
    <xf numFmtId="180" fontId="23" fillId="2" borderId="0" xfId="1" applyNumberFormat="1" applyFill="1"/>
    <xf numFmtId="178" fontId="23" fillId="2" borderId="0" xfId="1" applyNumberFormat="1" applyFill="1"/>
    <xf numFmtId="181" fontId="23" fillId="2" borderId="0" xfId="1" applyNumberFormat="1" applyFill="1"/>
    <xf numFmtId="0" fontId="23" fillId="7" borderId="0" xfId="1" applyFont="1" applyFill="1"/>
    <xf numFmtId="0" fontId="23" fillId="8" borderId="0" xfId="1" applyFont="1" applyFill="1"/>
    <xf numFmtId="0" fontId="23" fillId="8" borderId="0" xfId="1" applyFill="1"/>
    <xf numFmtId="180" fontId="27" fillId="9" borderId="15" xfId="2" applyNumberFormat="1"/>
    <xf numFmtId="178" fontId="27" fillId="9" borderId="15" xfId="2" applyNumberFormat="1"/>
    <xf numFmtId="0" fontId="27" fillId="9" borderId="15" xfId="2"/>
    <xf numFmtId="181" fontId="27" fillId="9" borderId="15" xfId="2" applyNumberFormat="1"/>
    <xf numFmtId="11" fontId="27" fillId="9" borderId="15" xfId="2" applyNumberFormat="1"/>
    <xf numFmtId="182" fontId="27" fillId="9" borderId="15" xfId="2" applyNumberFormat="1"/>
    <xf numFmtId="0" fontId="27" fillId="9" borderId="15" xfId="2" applyAlignment="1"/>
    <xf numFmtId="0" fontId="0" fillId="3" borderId="14" xfId="0" applyFill="1" applyBorder="1" applyAlignment="1">
      <alignment vertical="center"/>
    </xf>
    <xf numFmtId="0" fontId="0" fillId="3" borderId="0" xfId="0" applyFill="1"/>
    <xf numFmtId="0" fontId="6" fillId="3" borderId="0" xfId="0" applyFont="1" applyFill="1" applyBorder="1"/>
    <xf numFmtId="0" fontId="14" fillId="3" borderId="3" xfId="0" applyFont="1" applyFill="1" applyBorder="1"/>
    <xf numFmtId="0" fontId="1" fillId="3" borderId="5" xfId="0" applyFont="1" applyFill="1" applyBorder="1"/>
    <xf numFmtId="0" fontId="0" fillId="3" borderId="6" xfId="0" applyFill="1" applyBorder="1"/>
    <xf numFmtId="0" fontId="0" fillId="3" borderId="7" xfId="0" applyFill="1" applyBorder="1" applyAlignment="1">
      <alignment horizontal="center"/>
    </xf>
    <xf numFmtId="0" fontId="0" fillId="3" borderId="8" xfId="0" applyFill="1" applyBorder="1"/>
    <xf numFmtId="183" fontId="0" fillId="3" borderId="0" xfId="0" applyNumberFormat="1" applyFill="1"/>
    <xf numFmtId="0" fontId="0" fillId="3" borderId="0" xfId="0" applyFill="1"/>
    <xf numFmtId="0" fontId="6" fillId="3" borderId="6" xfId="0" applyFont="1" applyFill="1" applyBorder="1"/>
    <xf numFmtId="0" fontId="6" fillId="3" borderId="0" xfId="0" applyFont="1" applyFill="1" applyBorder="1"/>
    <xf numFmtId="0" fontId="6" fillId="3" borderId="7" xfId="0" applyFont="1" applyFill="1" applyBorder="1"/>
    <xf numFmtId="0" fontId="6" fillId="3" borderId="8" xfId="0" applyFont="1" applyFill="1" applyBorder="1"/>
    <xf numFmtId="0" fontId="6" fillId="3" borderId="9" xfId="0" applyFont="1" applyFill="1" applyBorder="1"/>
    <xf numFmtId="182" fontId="25" fillId="0" borderId="0" xfId="1" applyNumberFormat="1" applyFont="1" applyAlignment="1">
      <alignment horizontal="center" vertical="center"/>
    </xf>
    <xf numFmtId="182" fontId="25" fillId="0" borderId="0" xfId="1" applyNumberFormat="1" applyFont="1" applyAlignment="1">
      <alignment horizontal="center"/>
    </xf>
    <xf numFmtId="182" fontId="23" fillId="0" borderId="0" xfId="1" applyNumberFormat="1" applyFont="1" applyAlignment="1">
      <alignment horizontal="center" vertical="center"/>
    </xf>
    <xf numFmtId="182" fontId="23" fillId="0" borderId="0" xfId="1" applyNumberFormat="1" applyAlignment="1">
      <alignment horizontal="center" vertical="center"/>
    </xf>
    <xf numFmtId="0" fontId="27" fillId="9" borderId="15" xfId="2" applyAlignment="1">
      <alignment horizontal="center"/>
    </xf>
    <xf numFmtId="0" fontId="27" fillId="9" borderId="16" xfId="2" applyBorder="1" applyAlignment="1">
      <alignment horizontal="center"/>
    </xf>
    <xf numFmtId="0" fontId="27" fillId="9" borderId="17" xfId="2" applyBorder="1" applyAlignment="1">
      <alignment horizontal="center"/>
    </xf>
    <xf numFmtId="0" fontId="27" fillId="9" borderId="18" xfId="2" applyBorder="1" applyAlignment="1">
      <alignment horizontal="center"/>
    </xf>
    <xf numFmtId="0" fontId="23" fillId="0" borderId="0" xfId="1" applyFont="1" applyAlignment="1">
      <alignment horizontal="center" vertical="center"/>
    </xf>
    <xf numFmtId="0" fontId="23" fillId="0" borderId="0" xfId="1"/>
    <xf numFmtId="0" fontId="20" fillId="0" borderId="14" xfId="0" applyFont="1" applyBorder="1" applyAlignment="1">
      <alignment horizontal="center"/>
    </xf>
    <xf numFmtId="0" fontId="20" fillId="6" borderId="0" xfId="0" applyFont="1" applyFill="1" applyAlignment="1">
      <alignment horizontal="center"/>
    </xf>
  </cellXfs>
  <cellStyles count="3">
    <cellStyle name="Normal 2" xfId="1" xr:uid="{00000000-0005-0000-0000-000002000000}"/>
    <cellStyle name="常规" xfId="0" builtinId="0"/>
    <cellStyle name="输入" xfId="2" builtinId="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spot rate</a:t>
            </a:r>
            <a:r>
              <a:rPr lang="en-US" baseline="0"/>
              <a:t> for 4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strRef>
              <c:f>'B2(bootstrap)'!$D$29:$D$36</c:f>
              <c:strCache>
                <c:ptCount val="8"/>
                <c:pt idx="0">
                  <c:v>r(0,0.5)=</c:v>
                </c:pt>
                <c:pt idx="1">
                  <c:v>r(0,1)=</c:v>
                </c:pt>
                <c:pt idx="2">
                  <c:v>r(0,1.5)=</c:v>
                </c:pt>
                <c:pt idx="3">
                  <c:v>r(0,2)=</c:v>
                </c:pt>
                <c:pt idx="4">
                  <c:v>r(0,2.5)=</c:v>
                </c:pt>
                <c:pt idx="5">
                  <c:v>r(0,3)=</c:v>
                </c:pt>
                <c:pt idx="6">
                  <c:v>r(0,3.5)=</c:v>
                </c:pt>
                <c:pt idx="7">
                  <c:v>r(0,4)=</c:v>
                </c:pt>
              </c:strCache>
            </c:strRef>
          </c:cat>
          <c:val>
            <c:numRef>
              <c:f>'B2(bootstrap)'!$E$29:$E$36</c:f>
              <c:numCache>
                <c:formatCode>General</c:formatCode>
                <c:ptCount val="8"/>
                <c:pt idx="0">
                  <c:v>1.9508451642869851E-2</c:v>
                </c:pt>
                <c:pt idx="1">
                  <c:v>1.9975324132159855E-2</c:v>
                </c:pt>
                <c:pt idx="2">
                  <c:v>2.1960674207988085E-2</c:v>
                </c:pt>
                <c:pt idx="3">
                  <c:v>2.282315446567118E-2</c:v>
                </c:pt>
                <c:pt idx="4">
                  <c:v>2.3449318695772714E-2</c:v>
                </c:pt>
                <c:pt idx="5">
                  <c:v>2.4103215386299226E-2</c:v>
                </c:pt>
                <c:pt idx="6">
                  <c:v>2.5104809946359996E-2</c:v>
                </c:pt>
                <c:pt idx="7">
                  <c:v>2.545881014353224E-2</c:v>
                </c:pt>
              </c:numCache>
            </c:numRef>
          </c:val>
          <c:smooth val="0"/>
          <c:extLst>
            <c:ext xmlns:c16="http://schemas.microsoft.com/office/drawing/2014/chart" uri="{C3380CC4-5D6E-409C-BE32-E72D297353CC}">
              <c16:uniqueId val="{00000000-3666-224C-B013-721217317E7C}"/>
            </c:ext>
          </c:extLst>
        </c:ser>
        <c:dLbls>
          <c:showLegendKey val="0"/>
          <c:showVal val="0"/>
          <c:showCatName val="0"/>
          <c:showSerName val="0"/>
          <c:showPercent val="0"/>
          <c:showBubbleSize val="0"/>
        </c:dLbls>
        <c:smooth val="0"/>
        <c:axId val="429639376"/>
        <c:axId val="429641728"/>
      </c:lineChart>
      <c:catAx>
        <c:axId val="429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9641728"/>
        <c:crosses val="autoZero"/>
        <c:auto val="1"/>
        <c:lblAlgn val="ctr"/>
        <c:lblOffset val="100"/>
        <c:noMultiLvlLbl val="0"/>
      </c:catAx>
      <c:valAx>
        <c:axId val="429641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963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S</a:t>
            </a:r>
            <a:r>
              <a:rPr lang="en-US" altLang="zh-Hans"/>
              <a:t>POT</a:t>
            </a:r>
            <a:r>
              <a:rPr lang="zh-Hans" altLang="en-US"/>
              <a:t> </a:t>
            </a:r>
            <a:r>
              <a:rPr lang="en-US" altLang="zh-CN"/>
              <a:t>R</a:t>
            </a:r>
            <a:r>
              <a:rPr lang="en-US" altLang="zh-Hans"/>
              <a: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strRef>
              <c:f>'C'!$A$35:$A$42</c:f>
              <c:strCache>
                <c:ptCount val="8"/>
                <c:pt idx="0">
                  <c:v>r(0,0.5)=</c:v>
                </c:pt>
                <c:pt idx="1">
                  <c:v>r(0,1)=</c:v>
                </c:pt>
                <c:pt idx="2">
                  <c:v>r(0,1.5)=</c:v>
                </c:pt>
                <c:pt idx="3">
                  <c:v>r(0,2)=</c:v>
                </c:pt>
                <c:pt idx="4">
                  <c:v>r(0,2.5)=</c:v>
                </c:pt>
                <c:pt idx="5">
                  <c:v>r(0,3)=</c:v>
                </c:pt>
                <c:pt idx="6">
                  <c:v>r(0,3.5)=</c:v>
                </c:pt>
                <c:pt idx="7">
                  <c:v>r(0,4)=</c:v>
                </c:pt>
              </c:strCache>
            </c:strRef>
          </c:cat>
          <c:val>
            <c:numRef>
              <c:f>'C'!$B$35:$B$42</c:f>
              <c:numCache>
                <c:formatCode>General</c:formatCode>
                <c:ptCount val="8"/>
                <c:pt idx="0">
                  <c:v>1.9409127357856715E-2</c:v>
                </c:pt>
                <c:pt idx="1">
                  <c:v>2.0466963452415499E-2</c:v>
                </c:pt>
                <c:pt idx="2">
                  <c:v>2.2108349539211591E-2</c:v>
                </c:pt>
                <c:pt idx="3">
                  <c:v>2.3000041674414717E-2</c:v>
                </c:pt>
                <c:pt idx="4">
                  <c:v>2.344646427044772E-2</c:v>
                </c:pt>
                <c:pt idx="5">
                  <c:v>2.4099098064263469E-2</c:v>
                </c:pt>
                <c:pt idx="6">
                  <c:v>2.5103120890551001E-2</c:v>
                </c:pt>
                <c:pt idx="7">
                  <c:v>2.5456498856117005E-2</c:v>
                </c:pt>
              </c:numCache>
            </c:numRef>
          </c:val>
          <c:smooth val="0"/>
          <c:extLst>
            <c:ext xmlns:c16="http://schemas.microsoft.com/office/drawing/2014/chart" uri="{C3380CC4-5D6E-409C-BE32-E72D297353CC}">
              <c16:uniqueId val="{00000000-44D9-7D4E-9760-2C4B01A6F246}"/>
            </c:ext>
          </c:extLst>
        </c:ser>
        <c:dLbls>
          <c:showLegendKey val="0"/>
          <c:showVal val="0"/>
          <c:showCatName val="0"/>
          <c:showSerName val="0"/>
          <c:showPercent val="0"/>
          <c:showBubbleSize val="0"/>
        </c:dLbls>
        <c:smooth val="0"/>
        <c:axId val="429640160"/>
        <c:axId val="429640552"/>
      </c:lineChart>
      <c:catAx>
        <c:axId val="42964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9640552"/>
        <c:crosses val="autoZero"/>
        <c:auto val="1"/>
        <c:lblAlgn val="ctr"/>
        <c:lblOffset val="100"/>
        <c:noMultiLvlLbl val="0"/>
      </c:catAx>
      <c:valAx>
        <c:axId val="429640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964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'D7'!$N$1</c:f>
              <c:strCache>
                <c:ptCount val="1"/>
                <c:pt idx="0">
                  <c:v>SPOT RATE</c:v>
                </c:pt>
              </c:strCache>
            </c:strRef>
          </c:tx>
          <c:spPr>
            <a:ln w="28575" cap="rnd">
              <a:solidFill>
                <a:schemeClr val="accent1"/>
              </a:solidFill>
              <a:round/>
            </a:ln>
            <a:effectLst/>
          </c:spPr>
          <c:marker>
            <c:symbol val="none"/>
          </c:marker>
          <c:val>
            <c:numRef>
              <c:f>'D7'!$N$2:$N$13</c:f>
              <c:numCache>
                <c:formatCode>0.0000_);[Red]\(0.0000\)</c:formatCode>
                <c:ptCount val="12"/>
                <c:pt idx="0">
                  <c:v>1.9508451642869851E-2</c:v>
                </c:pt>
                <c:pt idx="1">
                  <c:v>1.9975324132159855E-2</c:v>
                </c:pt>
                <c:pt idx="2">
                  <c:v>2.2320749239206794E-2</c:v>
                </c:pt>
                <c:pt idx="3">
                  <c:v>2.1101593222265347E-2</c:v>
                </c:pt>
                <c:pt idx="4">
                  <c:v>2.3456385202653252E-2</c:v>
                </c:pt>
                <c:pt idx="5">
                  <c:v>2.4113408463077857E-2</c:v>
                </c:pt>
                <c:pt idx="6">
                  <c:v>2.5108991414072079E-2</c:v>
                </c:pt>
                <c:pt idx="7">
                  <c:v>2.5464532058742773E-2</c:v>
                </c:pt>
                <c:pt idx="8">
                  <c:v>2.10998000649254E-2</c:v>
                </c:pt>
                <c:pt idx="9">
                  <c:v>2.8615355060161551E-2</c:v>
                </c:pt>
                <c:pt idx="10">
                  <c:v>2.380614541257664E-2</c:v>
                </c:pt>
                <c:pt idx="11">
                  <c:v>3.2571580299147307E-2</c:v>
                </c:pt>
              </c:numCache>
            </c:numRef>
          </c:val>
          <c:smooth val="0"/>
          <c:extLst>
            <c:ext xmlns:c16="http://schemas.microsoft.com/office/drawing/2014/chart" uri="{C3380CC4-5D6E-409C-BE32-E72D297353CC}">
              <c16:uniqueId val="{00000000-2F89-D648-B035-F6ACCF093249}"/>
            </c:ext>
          </c:extLst>
        </c:ser>
        <c:dLbls>
          <c:showLegendKey val="0"/>
          <c:showVal val="0"/>
          <c:showCatName val="0"/>
          <c:showSerName val="0"/>
          <c:showPercent val="0"/>
          <c:showBubbleSize val="0"/>
        </c:dLbls>
        <c:smooth val="0"/>
        <c:axId val="429642120"/>
        <c:axId val="351251960"/>
      </c:lineChart>
      <c:catAx>
        <c:axId val="4296421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51251960"/>
        <c:crosses val="autoZero"/>
        <c:auto val="1"/>
        <c:lblAlgn val="ctr"/>
        <c:lblOffset val="100"/>
        <c:noMultiLvlLbl val="0"/>
      </c:catAx>
      <c:valAx>
        <c:axId val="351251960"/>
        <c:scaling>
          <c:orientation val="minMax"/>
        </c:scaling>
        <c:delete val="0"/>
        <c:axPos val="l"/>
        <c:majorGridlines>
          <c:spPr>
            <a:ln w="9525" cap="flat" cmpd="sng" algn="ctr">
              <a:solidFill>
                <a:schemeClr val="tx1">
                  <a:lumMod val="15000"/>
                  <a:lumOff val="85000"/>
                </a:schemeClr>
              </a:solidFill>
              <a:round/>
            </a:ln>
            <a:effectLst/>
          </c:spPr>
        </c:majorGridlines>
        <c:numFmt formatCode="0.0000_);[Red]\(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9642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'D8'!$K$1</c:f>
              <c:strCache>
                <c:ptCount val="1"/>
                <c:pt idx="0">
                  <c:v>spot rate</c:v>
                </c:pt>
              </c:strCache>
            </c:strRef>
          </c:tx>
          <c:spPr>
            <a:ln w="28575" cap="rnd">
              <a:solidFill>
                <a:schemeClr val="accent1"/>
              </a:solidFill>
              <a:round/>
            </a:ln>
            <a:effectLst/>
          </c:spPr>
          <c:marker>
            <c:symbol val="none"/>
          </c:marker>
          <c:val>
            <c:numRef>
              <c:f>'D8'!$K$2:$K$13</c:f>
              <c:numCache>
                <c:formatCode>General</c:formatCode>
                <c:ptCount val="12"/>
                <c:pt idx="0">
                  <c:v>1.9508451642869851E-2</c:v>
                </c:pt>
                <c:pt idx="1">
                  <c:v>1.9975324132159855E-2</c:v>
                </c:pt>
                <c:pt idx="2">
                  <c:v>2.2320749239206794E-2</c:v>
                </c:pt>
                <c:pt idx="3">
                  <c:v>2.1101593222265347E-2</c:v>
                </c:pt>
                <c:pt idx="4">
                  <c:v>2.3456385202653252E-2</c:v>
                </c:pt>
                <c:pt idx="5">
                  <c:v>2.4113408463077857E-2</c:v>
                </c:pt>
                <c:pt idx="6">
                  <c:v>2.5108991414072079E-2</c:v>
                </c:pt>
                <c:pt idx="7">
                  <c:v>2.5464532058742773E-2</c:v>
                </c:pt>
                <c:pt idx="8">
                  <c:v>2.1866787441768842E-2</c:v>
                </c:pt>
                <c:pt idx="9">
                  <c:v>2.5735491621576401E-2</c:v>
                </c:pt>
                <c:pt idx="10">
                  <c:v>2.1866787441768842E-2</c:v>
                </c:pt>
                <c:pt idx="11">
                  <c:v>2.710637777023317E-2</c:v>
                </c:pt>
              </c:numCache>
            </c:numRef>
          </c:val>
          <c:smooth val="0"/>
          <c:extLst>
            <c:ext xmlns:c16="http://schemas.microsoft.com/office/drawing/2014/chart" uri="{C3380CC4-5D6E-409C-BE32-E72D297353CC}">
              <c16:uniqueId val="{00000000-84BB-A145-A5A3-E5ECD2824146}"/>
            </c:ext>
          </c:extLst>
        </c:ser>
        <c:dLbls>
          <c:showLegendKey val="0"/>
          <c:showVal val="0"/>
          <c:showCatName val="0"/>
          <c:showSerName val="0"/>
          <c:showPercent val="0"/>
          <c:showBubbleSize val="0"/>
        </c:dLbls>
        <c:smooth val="0"/>
        <c:axId val="426082192"/>
        <c:axId val="426082584"/>
      </c:lineChart>
      <c:catAx>
        <c:axId val="42608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6082584"/>
        <c:crosses val="autoZero"/>
        <c:auto val="1"/>
        <c:lblAlgn val="ctr"/>
        <c:lblOffset val="100"/>
        <c:noMultiLvlLbl val="0"/>
      </c:catAx>
      <c:valAx>
        <c:axId val="426082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2608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92075</xdr:colOff>
      <xdr:row>16</xdr:row>
      <xdr:rowOff>111125</xdr:rowOff>
    </xdr:from>
    <xdr:to>
      <xdr:col>12</xdr:col>
      <xdr:colOff>174625</xdr:colOff>
      <xdr:row>30</xdr:row>
      <xdr:rowOff>161925</xdr:rowOff>
    </xdr:to>
    <xdr:graphicFrame macro="">
      <xdr:nvGraphicFramePr>
        <xdr:cNvPr id="2" name="Chart 2">
          <a:extLst>
            <a:ext uri="{FF2B5EF4-FFF2-40B4-BE49-F238E27FC236}">
              <a16:creationId xmlns:a16="http://schemas.microsoft.com/office/drawing/2014/main" id="{C2AA53C5-99C0-0343-AF7F-880C23178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42</xdr:row>
      <xdr:rowOff>76200</xdr:rowOff>
    </xdr:from>
    <xdr:to>
      <xdr:col>5</xdr:col>
      <xdr:colOff>12700</xdr:colOff>
      <xdr:row>57</xdr:row>
      <xdr:rowOff>152400</xdr:rowOff>
    </xdr:to>
    <xdr:graphicFrame macro="">
      <xdr:nvGraphicFramePr>
        <xdr:cNvPr id="5" name="图表 4">
          <a:extLst>
            <a:ext uri="{FF2B5EF4-FFF2-40B4-BE49-F238E27FC236}">
              <a16:creationId xmlns:a16="http://schemas.microsoft.com/office/drawing/2014/main" id="{0F529AB4-10AC-4548-AA81-0208619F2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654050</xdr:colOff>
      <xdr:row>13</xdr:row>
      <xdr:rowOff>133350</xdr:rowOff>
    </xdr:from>
    <xdr:to>
      <xdr:col>11</xdr:col>
      <xdr:colOff>273050</xdr:colOff>
      <xdr:row>29</xdr:row>
      <xdr:rowOff>31750</xdr:rowOff>
    </xdr:to>
    <xdr:graphicFrame macro="">
      <xdr:nvGraphicFramePr>
        <xdr:cNvPr id="4" name="图表 3">
          <a:extLst>
            <a:ext uri="{FF2B5EF4-FFF2-40B4-BE49-F238E27FC236}">
              <a16:creationId xmlns:a16="http://schemas.microsoft.com/office/drawing/2014/main" id="{7E5AD1FE-819B-544E-8874-15866296C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857250</xdr:colOff>
      <xdr:row>14</xdr:row>
      <xdr:rowOff>127000</xdr:rowOff>
    </xdr:from>
    <xdr:to>
      <xdr:col>9</xdr:col>
      <xdr:colOff>127000</xdr:colOff>
      <xdr:row>31</xdr:row>
      <xdr:rowOff>63500</xdr:rowOff>
    </xdr:to>
    <xdr:graphicFrame macro="">
      <xdr:nvGraphicFramePr>
        <xdr:cNvPr id="4" name="图表 3">
          <a:extLst>
            <a:ext uri="{FF2B5EF4-FFF2-40B4-BE49-F238E27FC236}">
              <a16:creationId xmlns:a16="http://schemas.microsoft.com/office/drawing/2014/main" id="{B4C96CE9-0BC6-1B4C-BD44-422D561628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
  <sheetViews>
    <sheetView zoomScale="95" zoomScaleNormal="95" workbookViewId="0">
      <selection activeCell="L8" sqref="L8:L9"/>
    </sheetView>
  </sheetViews>
  <sheetFormatPr baseColWidth="10" defaultColWidth="9.1640625" defaultRowHeight="14"/>
  <cols>
    <col min="1" max="1" width="9.1640625" style="3"/>
    <col min="2" max="3" width="11.5" style="2" bestFit="1" customWidth="1"/>
    <col min="4" max="6" width="9.1640625" style="2"/>
    <col min="7" max="7" width="11" style="2" bestFit="1" customWidth="1"/>
    <col min="8" max="9" width="9.1640625" style="3"/>
    <col min="10" max="10" width="12.5" style="3" customWidth="1"/>
    <col min="11" max="11" width="9.1640625" style="3"/>
    <col min="12" max="12" width="10" style="3" bestFit="1" customWidth="1"/>
    <col min="13" max="16384" width="9.1640625" style="3"/>
  </cols>
  <sheetData>
    <row r="1" spans="1:22">
      <c r="A1" s="1" t="s">
        <v>13</v>
      </c>
    </row>
    <row r="2" spans="1:22">
      <c r="B2" s="4"/>
      <c r="G2" s="18">
        <v>43174</v>
      </c>
      <c r="J2" s="3" t="s">
        <v>103</v>
      </c>
    </row>
    <row r="3" spans="1:22">
      <c r="B3" s="5" t="s">
        <v>0</v>
      </c>
    </row>
    <row r="4" spans="1:22" ht="16">
      <c r="B4" s="4" t="s">
        <v>1</v>
      </c>
      <c r="D4" s="4"/>
      <c r="E4" s="4"/>
      <c r="F4" s="4"/>
      <c r="J4" s="89" t="s">
        <v>75</v>
      </c>
      <c r="K4" s="90"/>
      <c r="L4" s="90"/>
      <c r="M4" s="90"/>
      <c r="N4" s="90"/>
      <c r="O4" s="90"/>
      <c r="P4" s="91"/>
      <c r="Q4" s="91"/>
      <c r="R4" s="91"/>
      <c r="S4" s="91"/>
      <c r="T4" s="91"/>
      <c r="U4" s="91"/>
      <c r="V4" s="91"/>
    </row>
    <row r="5" spans="1:22">
      <c r="B5" s="4" t="s">
        <v>2</v>
      </c>
      <c r="C5" s="4" t="s">
        <v>3</v>
      </c>
      <c r="D5" s="4" t="s">
        <v>4</v>
      </c>
      <c r="E5" s="4" t="s">
        <v>5</v>
      </c>
      <c r="F5" s="4" t="s">
        <v>6</v>
      </c>
      <c r="J5" s="92" t="s">
        <v>0</v>
      </c>
      <c r="K5" s="93"/>
      <c r="L5" s="93"/>
      <c r="M5" s="91"/>
      <c r="N5" s="91"/>
      <c r="O5" s="91"/>
      <c r="P5" s="91"/>
      <c r="Q5" s="91"/>
      <c r="R5" s="91"/>
      <c r="S5" s="91"/>
      <c r="T5" s="91"/>
      <c r="U5" s="91"/>
      <c r="V5" s="91"/>
    </row>
    <row r="6" spans="1:22">
      <c r="A6" s="3">
        <v>1</v>
      </c>
      <c r="B6" s="11">
        <v>43358</v>
      </c>
      <c r="C6" s="12">
        <v>1.9</v>
      </c>
      <c r="D6" s="12">
        <v>1.89</v>
      </c>
      <c r="E6" s="12">
        <v>4.4999999999999998E-2</v>
      </c>
      <c r="F6" s="12">
        <v>1.9350000000000001</v>
      </c>
      <c r="G6" s="126">
        <f>B6-G2</f>
        <v>184</v>
      </c>
      <c r="I6" s="17"/>
      <c r="J6" s="93" t="s">
        <v>1</v>
      </c>
      <c r="K6" s="93"/>
      <c r="L6" s="93"/>
      <c r="M6" s="91"/>
      <c r="N6" s="91"/>
      <c r="O6" s="91"/>
      <c r="P6" s="91"/>
      <c r="Q6" s="91"/>
      <c r="R6" s="91"/>
      <c r="S6" s="91"/>
      <c r="T6" s="91"/>
      <c r="U6" s="91"/>
      <c r="V6" s="91"/>
    </row>
    <row r="7" spans="1:22">
      <c r="A7" s="3">
        <v>2</v>
      </c>
      <c r="B7" s="11">
        <v>43539</v>
      </c>
      <c r="C7" s="12">
        <v>1.978</v>
      </c>
      <c r="D7" s="12">
        <v>1.968</v>
      </c>
      <c r="E7" s="12">
        <v>8.0000000000000002E-3</v>
      </c>
      <c r="F7" s="12">
        <v>2.0339999999999998</v>
      </c>
      <c r="G7" s="2">
        <f>B7-G2</f>
        <v>365</v>
      </c>
      <c r="I7" s="17"/>
      <c r="J7" s="93" t="s">
        <v>2</v>
      </c>
      <c r="K7" s="93" t="s">
        <v>3</v>
      </c>
      <c r="L7" s="93" t="s">
        <v>4</v>
      </c>
      <c r="M7" s="91"/>
      <c r="N7" s="91"/>
      <c r="O7" s="91"/>
      <c r="P7" s="91"/>
      <c r="Q7" s="91"/>
      <c r="R7" s="91"/>
      <c r="S7" s="91"/>
      <c r="T7" s="91"/>
      <c r="U7" s="91"/>
      <c r="V7" s="91"/>
    </row>
    <row r="8" spans="1:22">
      <c r="J8" s="94">
        <v>43358</v>
      </c>
      <c r="K8" s="91">
        <f>(100-(100*184*(C6/100))/360)</f>
        <v>99.028888888888886</v>
      </c>
      <c r="L8" s="196">
        <f>(100-(100*184*(D6/100))/360)</f>
        <v>99.034000000000006</v>
      </c>
      <c r="M8" s="91"/>
      <c r="N8" s="91"/>
      <c r="O8" s="91"/>
      <c r="P8" s="91"/>
      <c r="Q8" s="91"/>
      <c r="R8" s="91"/>
      <c r="S8" s="91"/>
      <c r="T8" s="91"/>
      <c r="U8" s="91"/>
      <c r="V8" s="91"/>
    </row>
    <row r="9" spans="1:22">
      <c r="B9" s="4" t="s">
        <v>8</v>
      </c>
      <c r="C9" s="4"/>
      <c r="D9" s="4"/>
      <c r="E9" s="4"/>
      <c r="F9" s="4"/>
      <c r="G9" s="4"/>
      <c r="J9" s="94">
        <v>43539</v>
      </c>
      <c r="K9" s="91">
        <f>(100-(100*365*(C7/100))/360)</f>
        <v>97.994527777777776</v>
      </c>
      <c r="L9" s="196">
        <f>(100-(100*360*(D7/100))/360)</f>
        <v>98.031999999999996</v>
      </c>
      <c r="M9" s="91"/>
      <c r="N9" s="91"/>
      <c r="O9" s="91"/>
      <c r="P9" s="91"/>
      <c r="Q9" s="91"/>
      <c r="R9" s="91"/>
      <c r="S9" s="91"/>
      <c r="T9" s="91"/>
      <c r="U9" s="91"/>
      <c r="V9" s="91"/>
    </row>
    <row r="10" spans="1:22">
      <c r="B10" s="4" t="s">
        <v>2</v>
      </c>
      <c r="C10" s="4" t="s">
        <v>9</v>
      </c>
      <c r="D10" s="8" t="s">
        <v>3</v>
      </c>
      <c r="E10" s="8" t="s">
        <v>4</v>
      </c>
      <c r="F10" s="4" t="s">
        <v>5</v>
      </c>
      <c r="G10" s="4" t="s">
        <v>10</v>
      </c>
      <c r="J10" s="93" t="s">
        <v>8</v>
      </c>
      <c r="K10" s="91"/>
      <c r="L10" s="91"/>
      <c r="M10" s="91"/>
      <c r="N10" s="91"/>
      <c r="O10" s="91"/>
      <c r="P10" s="91"/>
      <c r="Q10" s="91"/>
      <c r="R10" s="91"/>
      <c r="S10" s="91"/>
      <c r="T10" s="91"/>
      <c r="U10" s="91"/>
      <c r="V10" s="91"/>
    </row>
    <row r="11" spans="1:22">
      <c r="A11" s="3">
        <v>3</v>
      </c>
      <c r="B11" s="11">
        <v>43723</v>
      </c>
      <c r="C11" s="12">
        <v>0.875</v>
      </c>
      <c r="D11" s="12">
        <v>98.046899999999994</v>
      </c>
      <c r="E11" s="12">
        <v>98.0625</v>
      </c>
      <c r="F11" s="12">
        <v>1.5599999999999999E-2</v>
      </c>
      <c r="G11" s="12">
        <v>2.1949999999999998</v>
      </c>
      <c r="H11" s="10">
        <v>1.5</v>
      </c>
      <c r="J11" s="93" t="s">
        <v>2</v>
      </c>
      <c r="K11" s="95" t="s">
        <v>3</v>
      </c>
      <c r="L11" s="95" t="s">
        <v>4</v>
      </c>
      <c r="M11" s="81"/>
      <c r="N11" s="81"/>
      <c r="O11" s="81"/>
      <c r="P11" s="81"/>
      <c r="Q11" s="81"/>
      <c r="R11" s="81"/>
      <c r="S11" s="91"/>
      <c r="T11" s="91"/>
      <c r="U11" s="91"/>
      <c r="V11" s="91"/>
    </row>
    <row r="12" spans="1:22">
      <c r="A12" s="3">
        <v>4</v>
      </c>
      <c r="B12" s="11">
        <v>43905</v>
      </c>
      <c r="C12" s="12">
        <v>1.625</v>
      </c>
      <c r="D12" s="12">
        <v>98.710899999999995</v>
      </c>
      <c r="E12" s="12">
        <v>98.726600000000005</v>
      </c>
      <c r="F12" s="12">
        <v>7.7999999999999996E-3</v>
      </c>
      <c r="G12" s="12">
        <v>2.2799999999999998</v>
      </c>
      <c r="H12" s="10">
        <v>2</v>
      </c>
      <c r="J12" s="94">
        <v>43723</v>
      </c>
      <c r="K12" s="81">
        <v>98.046899999999994</v>
      </c>
      <c r="L12" s="81">
        <v>98.0625</v>
      </c>
      <c r="M12" s="91"/>
      <c r="N12" s="91"/>
      <c r="O12" s="91"/>
      <c r="P12" s="91"/>
      <c r="Q12" s="91"/>
      <c r="R12" s="91"/>
      <c r="S12" s="91"/>
      <c r="T12" s="91"/>
      <c r="U12" s="91"/>
      <c r="V12" s="91"/>
    </row>
    <row r="13" spans="1:22">
      <c r="A13" s="3">
        <v>5</v>
      </c>
      <c r="B13" s="11">
        <v>44089</v>
      </c>
      <c r="C13" s="12">
        <v>1.375</v>
      </c>
      <c r="D13" s="12">
        <v>97.648399999999995</v>
      </c>
      <c r="E13" s="12">
        <v>97.664100000000005</v>
      </c>
      <c r="F13" s="12">
        <v>1.5599999999999999E-2</v>
      </c>
      <c r="G13" s="12">
        <v>2.343</v>
      </c>
      <c r="H13" s="10">
        <v>2.5</v>
      </c>
      <c r="J13" s="94">
        <v>43905</v>
      </c>
      <c r="K13" s="81">
        <v>98.710899999999995</v>
      </c>
      <c r="L13" s="81">
        <v>98.726600000000005</v>
      </c>
      <c r="M13" s="91"/>
      <c r="N13" s="91"/>
      <c r="O13" s="91"/>
      <c r="P13" s="91"/>
      <c r="Q13" s="91"/>
      <c r="R13" s="91"/>
      <c r="S13" s="91"/>
      <c r="T13" s="91"/>
      <c r="U13" s="91"/>
      <c r="V13" s="91"/>
    </row>
    <row r="14" spans="1:22">
      <c r="A14" s="3">
        <v>6</v>
      </c>
      <c r="B14" s="11">
        <v>44270</v>
      </c>
      <c r="C14" s="12">
        <v>2.375</v>
      </c>
      <c r="D14" s="12">
        <v>99.898399999999995</v>
      </c>
      <c r="E14" s="12">
        <v>99.914100000000005</v>
      </c>
      <c r="F14" s="12">
        <v>4.6899999999999997E-2</v>
      </c>
      <c r="G14" s="12">
        <v>2.4049999999999998</v>
      </c>
      <c r="H14" s="10">
        <v>3</v>
      </c>
      <c r="J14" s="94">
        <v>44089</v>
      </c>
      <c r="K14" s="81">
        <v>97.648399999999995</v>
      </c>
      <c r="L14" s="81">
        <v>97.664100000000005</v>
      </c>
      <c r="M14" s="91"/>
      <c r="N14" s="91"/>
      <c r="O14" s="91"/>
      <c r="P14" s="91"/>
      <c r="Q14" s="91"/>
      <c r="R14" s="91"/>
      <c r="S14" s="91"/>
      <c r="T14" s="91"/>
      <c r="U14" s="91"/>
      <c r="V14" s="91"/>
    </row>
    <row r="15" spans="1:22">
      <c r="A15" s="3">
        <v>7</v>
      </c>
      <c r="B15" s="11">
        <v>44454</v>
      </c>
      <c r="C15" s="12">
        <v>1.125</v>
      </c>
      <c r="D15" s="12">
        <v>95.382800000000003</v>
      </c>
      <c r="E15" s="12">
        <v>95.398399999999995</v>
      </c>
      <c r="F15" s="12">
        <v>5.4699999999999999E-2</v>
      </c>
      <c r="G15" s="12">
        <v>2.4900000000000002</v>
      </c>
      <c r="H15" s="10">
        <v>3.5</v>
      </c>
      <c r="J15" s="94">
        <v>44270</v>
      </c>
      <c r="K15" s="81">
        <v>99.898399999999995</v>
      </c>
      <c r="L15" s="81">
        <v>99.914100000000005</v>
      </c>
      <c r="M15" s="91"/>
      <c r="N15" s="91"/>
      <c r="O15" s="91"/>
      <c r="P15" s="91"/>
      <c r="Q15" s="91"/>
      <c r="R15" s="91"/>
      <c r="S15" s="91"/>
      <c r="T15" s="91"/>
      <c r="U15" s="91"/>
      <c r="V15" s="91"/>
    </row>
    <row r="16" spans="1:22">
      <c r="A16" s="3">
        <v>8</v>
      </c>
      <c r="B16" s="11">
        <v>44635</v>
      </c>
      <c r="C16" s="12">
        <v>1.75</v>
      </c>
      <c r="D16" s="12">
        <v>97</v>
      </c>
      <c r="E16" s="12">
        <v>97.015600000000006</v>
      </c>
      <c r="F16" s="12">
        <v>7.8100000000000003E-2</v>
      </c>
      <c r="G16" s="12">
        <v>2.5310000000000001</v>
      </c>
      <c r="H16" s="10">
        <v>4</v>
      </c>
      <c r="J16" s="94">
        <v>44454</v>
      </c>
      <c r="K16" s="81">
        <v>95.382800000000003</v>
      </c>
      <c r="L16" s="81">
        <v>95.398399999999995</v>
      </c>
      <c r="M16" s="91"/>
      <c r="N16" s="91"/>
      <c r="O16" s="91"/>
      <c r="P16" s="91"/>
      <c r="Q16" s="91"/>
      <c r="R16" s="91"/>
      <c r="S16" s="91"/>
      <c r="T16" s="91"/>
      <c r="U16" s="91"/>
      <c r="V16" s="91"/>
    </row>
    <row r="17" spans="1:22">
      <c r="J17" s="94">
        <v>44635</v>
      </c>
      <c r="K17" s="81">
        <v>97</v>
      </c>
      <c r="L17" s="81">
        <v>97.015600000000006</v>
      </c>
      <c r="M17" s="91"/>
      <c r="N17" s="91"/>
      <c r="O17" s="91"/>
      <c r="P17" s="91"/>
      <c r="Q17" s="91"/>
      <c r="R17" s="91"/>
      <c r="S17" s="91"/>
      <c r="T17" s="91"/>
      <c r="U17" s="91"/>
      <c r="V17" s="91"/>
    </row>
    <row r="18" spans="1:22">
      <c r="J18" s="92" t="s">
        <v>11</v>
      </c>
      <c r="K18" s="91"/>
      <c r="L18" s="91"/>
      <c r="M18" s="91"/>
      <c r="N18" s="91"/>
      <c r="O18" s="91"/>
      <c r="P18" s="91"/>
      <c r="Q18" s="91"/>
      <c r="R18" s="91"/>
      <c r="S18" s="91"/>
      <c r="T18" s="91"/>
      <c r="U18" s="91"/>
      <c r="V18" s="91"/>
    </row>
    <row r="19" spans="1:22">
      <c r="B19" s="5" t="s">
        <v>11</v>
      </c>
      <c r="J19" s="93" t="s">
        <v>8</v>
      </c>
      <c r="K19" s="91"/>
      <c r="L19" s="91"/>
      <c r="M19" s="91"/>
      <c r="N19" s="91"/>
      <c r="O19" s="91"/>
      <c r="P19" s="91"/>
      <c r="Q19" s="91"/>
      <c r="R19" s="91"/>
      <c r="S19" s="91"/>
      <c r="T19" s="91"/>
      <c r="U19" s="91"/>
      <c r="V19" s="91"/>
    </row>
    <row r="20" spans="1:22">
      <c r="B20" s="4" t="s">
        <v>8</v>
      </c>
      <c r="C20" s="4"/>
      <c r="D20" s="4"/>
      <c r="E20" s="4"/>
      <c r="F20" s="4"/>
      <c r="G20" s="4"/>
      <c r="J20" s="93" t="s">
        <v>2</v>
      </c>
      <c r="K20" s="95" t="s">
        <v>3</v>
      </c>
      <c r="L20" s="95" t="s">
        <v>4</v>
      </c>
      <c r="M20" s="91"/>
      <c r="N20" s="91"/>
      <c r="O20" s="91"/>
      <c r="P20" s="91"/>
      <c r="Q20" s="91"/>
      <c r="R20" s="91"/>
      <c r="S20" s="91"/>
      <c r="T20" s="91"/>
      <c r="U20" s="91"/>
      <c r="V20" s="91"/>
    </row>
    <row r="21" spans="1:22">
      <c r="B21" s="4" t="s">
        <v>2</v>
      </c>
      <c r="C21" s="4" t="s">
        <v>9</v>
      </c>
      <c r="D21" s="8" t="s">
        <v>3</v>
      </c>
      <c r="E21" s="8" t="s">
        <v>4</v>
      </c>
      <c r="F21" s="4" t="s">
        <v>5</v>
      </c>
      <c r="G21" s="4" t="s">
        <v>10</v>
      </c>
      <c r="J21" s="94">
        <v>43358</v>
      </c>
      <c r="K21" s="81">
        <v>99.523399999999995</v>
      </c>
      <c r="L21" s="81">
        <v>99.539100000000005</v>
      </c>
      <c r="M21" s="91"/>
      <c r="N21" s="91"/>
      <c r="O21" s="91"/>
      <c r="P21" s="91"/>
      <c r="Q21" s="91"/>
      <c r="R21" s="91"/>
      <c r="S21" s="91"/>
      <c r="T21" s="91"/>
      <c r="U21" s="91"/>
      <c r="V21" s="91"/>
    </row>
    <row r="22" spans="1:22">
      <c r="A22" s="3">
        <v>1</v>
      </c>
      <c r="B22" s="11">
        <v>43358</v>
      </c>
      <c r="C22" s="12">
        <v>1</v>
      </c>
      <c r="D22" s="12">
        <v>99.523399999999995</v>
      </c>
      <c r="E22" s="12">
        <v>99.539100000000005</v>
      </c>
      <c r="F22" s="13" t="s">
        <v>7</v>
      </c>
      <c r="G22" s="12">
        <v>1.931</v>
      </c>
      <c r="J22" s="94">
        <v>43539</v>
      </c>
      <c r="K22" s="81">
        <v>98.906300000000002</v>
      </c>
      <c r="L22" s="81">
        <v>98.921899999999994</v>
      </c>
      <c r="M22" s="91"/>
      <c r="N22" s="91"/>
      <c r="O22" s="91"/>
      <c r="P22" s="91"/>
      <c r="Q22" s="91"/>
      <c r="R22" s="91"/>
      <c r="S22" s="91"/>
      <c r="T22" s="91"/>
      <c r="U22" s="91"/>
      <c r="V22" s="91"/>
    </row>
    <row r="23" spans="1:22">
      <c r="A23" s="3">
        <v>2</v>
      </c>
      <c r="B23" s="11">
        <v>43539</v>
      </c>
      <c r="C23" s="12">
        <v>1</v>
      </c>
      <c r="D23" s="12">
        <v>98.906300000000002</v>
      </c>
      <c r="E23" s="12">
        <v>98.921899999999994</v>
      </c>
      <c r="F23" s="12">
        <v>2.3400000000000001E-2</v>
      </c>
      <c r="G23" s="12">
        <v>2.0950000000000002</v>
      </c>
      <c r="J23" s="94">
        <v>43723</v>
      </c>
      <c r="K23" s="81">
        <v>98.1875</v>
      </c>
      <c r="L23" s="81">
        <v>98.203100000000006</v>
      </c>
      <c r="M23" s="91"/>
      <c r="N23" s="91"/>
      <c r="O23" s="91"/>
      <c r="P23" s="91"/>
      <c r="Q23" s="91"/>
      <c r="R23" s="91"/>
      <c r="S23" s="91"/>
      <c r="T23" s="91"/>
      <c r="U23" s="91"/>
      <c r="V23" s="91"/>
    </row>
    <row r="24" spans="1:22">
      <c r="A24" s="3">
        <v>3</v>
      </c>
      <c r="B24" s="11">
        <v>43723</v>
      </c>
      <c r="C24" s="12">
        <v>1</v>
      </c>
      <c r="D24" s="12">
        <v>98.1875</v>
      </c>
      <c r="E24" s="12">
        <v>98.203100000000006</v>
      </c>
      <c r="F24" s="12">
        <v>7.7999999999999996E-3</v>
      </c>
      <c r="G24" s="12">
        <v>2.19</v>
      </c>
      <c r="J24" s="94">
        <v>43905</v>
      </c>
      <c r="K24" s="81">
        <v>97.6875</v>
      </c>
      <c r="L24" s="81">
        <v>97.703100000000006</v>
      </c>
      <c r="M24" s="91"/>
      <c r="N24" s="91"/>
      <c r="O24" s="91"/>
      <c r="P24" s="91"/>
      <c r="Q24" s="91"/>
      <c r="R24" s="91"/>
      <c r="S24" s="91"/>
      <c r="T24" s="91"/>
      <c r="U24" s="91"/>
      <c r="V24" s="91"/>
    </row>
    <row r="25" spans="1:22">
      <c r="A25" s="3">
        <v>4</v>
      </c>
      <c r="B25" s="11">
        <v>43905</v>
      </c>
      <c r="C25" s="12">
        <v>1.125</v>
      </c>
      <c r="D25" s="12">
        <v>97.6875</v>
      </c>
      <c r="E25" s="12">
        <v>97.703100000000006</v>
      </c>
      <c r="F25" s="12">
        <v>1.5599999999999999E-2</v>
      </c>
      <c r="G25" s="12">
        <v>2.2810000000000001</v>
      </c>
      <c r="J25" s="94">
        <v>43905</v>
      </c>
      <c r="K25" s="81">
        <v>98.171899999999994</v>
      </c>
      <c r="L25" s="81">
        <v>98.1875</v>
      </c>
      <c r="M25" s="91"/>
      <c r="N25" s="91"/>
      <c r="O25" s="91"/>
      <c r="P25" s="91"/>
      <c r="Q25" s="91"/>
      <c r="R25" s="91"/>
      <c r="S25" s="91"/>
      <c r="T25" s="91"/>
      <c r="U25" s="91"/>
      <c r="V25" s="91"/>
    </row>
    <row r="26" spans="1:22">
      <c r="A26" s="3">
        <v>5</v>
      </c>
      <c r="B26" s="11">
        <v>43905</v>
      </c>
      <c r="C26" s="12">
        <v>1.375</v>
      </c>
      <c r="D26" s="12">
        <v>98.171899999999994</v>
      </c>
      <c r="E26" s="12">
        <v>98.1875</v>
      </c>
      <c r="F26" s="12">
        <v>7.7999999999999996E-3</v>
      </c>
      <c r="G26" s="12">
        <v>2.2879999999999998</v>
      </c>
      <c r="J26" s="92" t="s">
        <v>12</v>
      </c>
      <c r="K26" s="91"/>
      <c r="L26" s="91"/>
      <c r="M26" s="91"/>
      <c r="N26" s="91"/>
      <c r="O26" s="91"/>
      <c r="P26" s="91"/>
      <c r="Q26" s="91"/>
      <c r="R26" s="91"/>
      <c r="S26" s="91"/>
      <c r="T26" s="91"/>
      <c r="U26" s="91"/>
      <c r="V26" s="91"/>
    </row>
    <row r="27" spans="1:22">
      <c r="B27" s="6"/>
      <c r="C27" s="7"/>
      <c r="D27" s="7"/>
      <c r="E27" s="7"/>
      <c r="F27" s="7"/>
      <c r="G27" s="7"/>
      <c r="J27" s="93" t="s">
        <v>8</v>
      </c>
      <c r="K27" s="91"/>
      <c r="L27" s="91"/>
      <c r="M27" s="91"/>
      <c r="N27" s="91"/>
      <c r="O27" s="91"/>
      <c r="P27" s="91"/>
      <c r="Q27" s="91"/>
      <c r="R27" s="91"/>
      <c r="S27" s="91"/>
      <c r="T27" s="91"/>
      <c r="U27" s="91"/>
      <c r="V27" s="91"/>
    </row>
    <row r="28" spans="1:22">
      <c r="B28" s="5" t="s">
        <v>12</v>
      </c>
      <c r="J28" s="93" t="s">
        <v>2</v>
      </c>
      <c r="K28" s="95" t="s">
        <v>3</v>
      </c>
      <c r="L28" s="95" t="s">
        <v>4</v>
      </c>
      <c r="M28" s="91"/>
      <c r="N28" s="91"/>
      <c r="O28" s="91"/>
      <c r="P28" s="91"/>
      <c r="Q28" s="91"/>
      <c r="R28" s="91"/>
      <c r="S28" s="91"/>
      <c r="T28" s="91"/>
      <c r="U28" s="91"/>
      <c r="V28" s="91"/>
    </row>
    <row r="29" spans="1:22">
      <c r="B29" s="4" t="s">
        <v>8</v>
      </c>
      <c r="C29" s="4"/>
      <c r="D29" s="4"/>
      <c r="E29" s="4"/>
      <c r="F29" s="4"/>
      <c r="G29" s="4"/>
      <c r="J29" s="94">
        <v>45000</v>
      </c>
      <c r="K29" s="81">
        <v>97.210899999999995</v>
      </c>
      <c r="L29" s="81">
        <v>97.226600000000005</v>
      </c>
      <c r="M29" s="91"/>
      <c r="N29" s="91"/>
      <c r="O29" s="91"/>
      <c r="P29" s="91"/>
      <c r="Q29" s="91"/>
      <c r="R29" s="91"/>
      <c r="S29" s="91"/>
      <c r="T29" s="91"/>
      <c r="U29" s="91"/>
      <c r="V29" s="91"/>
    </row>
    <row r="30" spans="1:22">
      <c r="B30" s="4" t="s">
        <v>2</v>
      </c>
      <c r="C30" s="4" t="s">
        <v>9</v>
      </c>
      <c r="D30" s="8" t="s">
        <v>3</v>
      </c>
      <c r="E30" s="8" t="s">
        <v>4</v>
      </c>
      <c r="F30" s="4" t="s">
        <v>5</v>
      </c>
      <c r="G30" s="4" t="s">
        <v>10</v>
      </c>
      <c r="J30" s="94">
        <v>45000</v>
      </c>
      <c r="K30" s="81">
        <v>120.85939999999999</v>
      </c>
      <c r="L30" s="81">
        <v>120.875</v>
      </c>
      <c r="M30" s="91"/>
      <c r="N30" s="91"/>
      <c r="O30" s="91"/>
      <c r="P30" s="91"/>
      <c r="Q30" s="91"/>
      <c r="R30" s="91"/>
      <c r="S30" s="91"/>
      <c r="T30" s="91"/>
      <c r="U30" s="91"/>
      <c r="V30" s="91"/>
    </row>
    <row r="31" spans="1:22">
      <c r="A31" s="3">
        <v>1</v>
      </c>
      <c r="B31" s="11">
        <v>45000</v>
      </c>
      <c r="C31" s="12">
        <v>2</v>
      </c>
      <c r="D31" s="12">
        <v>97.210899999999995</v>
      </c>
      <c r="E31" s="12">
        <v>97.226600000000005</v>
      </c>
      <c r="F31" s="12">
        <v>0.1172</v>
      </c>
      <c r="G31" s="12">
        <v>2.6040000000000001</v>
      </c>
      <c r="J31" s="94">
        <v>45366</v>
      </c>
      <c r="K31" s="81">
        <v>100.3984</v>
      </c>
      <c r="L31" s="81">
        <v>100.4141</v>
      </c>
      <c r="M31" s="91"/>
      <c r="N31" s="91"/>
      <c r="O31" s="91"/>
      <c r="P31" s="91"/>
      <c r="Q31" s="91"/>
      <c r="R31" s="91"/>
      <c r="S31" s="91"/>
      <c r="T31" s="91"/>
      <c r="U31" s="91"/>
      <c r="V31" s="91"/>
    </row>
    <row r="32" spans="1:22">
      <c r="A32" s="3">
        <v>2</v>
      </c>
      <c r="B32" s="11">
        <v>45000</v>
      </c>
      <c r="C32" s="12">
        <v>7.125</v>
      </c>
      <c r="D32" s="12">
        <v>120.85939999999999</v>
      </c>
      <c r="E32" s="12">
        <v>120.875</v>
      </c>
      <c r="F32" s="12">
        <v>0.1016</v>
      </c>
      <c r="G32" s="12">
        <v>2.581</v>
      </c>
      <c r="J32" s="94">
        <v>45366</v>
      </c>
      <c r="K32" s="81">
        <v>96.914100000000005</v>
      </c>
      <c r="L32" s="81">
        <v>96.929699999999997</v>
      </c>
      <c r="M32" s="91"/>
      <c r="N32" s="91"/>
      <c r="O32" s="91"/>
      <c r="P32" s="91"/>
      <c r="Q32" s="91"/>
      <c r="R32" s="91"/>
      <c r="S32" s="91"/>
      <c r="T32" s="91"/>
      <c r="U32" s="91"/>
      <c r="V32" s="91"/>
    </row>
    <row r="33" spans="1:22" ht="16">
      <c r="A33" s="3">
        <v>3</v>
      </c>
      <c r="B33" s="11">
        <v>45366</v>
      </c>
      <c r="C33" s="12">
        <v>2.75</v>
      </c>
      <c r="D33" s="12">
        <v>100.3984</v>
      </c>
      <c r="E33" s="12">
        <v>100.4141</v>
      </c>
      <c r="F33" s="12">
        <v>0.1719</v>
      </c>
      <c r="G33" s="12">
        <v>2.6739999999999999</v>
      </c>
      <c r="J33" s="89" t="s">
        <v>104</v>
      </c>
      <c r="K33" s="91"/>
      <c r="L33" s="91"/>
      <c r="M33" s="91"/>
      <c r="N33" s="91"/>
      <c r="O33" s="91"/>
      <c r="P33" s="91"/>
      <c r="Q33" s="91"/>
      <c r="R33" s="91"/>
      <c r="S33" s="91"/>
      <c r="T33" s="91"/>
      <c r="U33" s="91"/>
      <c r="V33" s="91"/>
    </row>
    <row r="34" spans="1:22">
      <c r="A34" s="3">
        <v>4</v>
      </c>
      <c r="B34" s="11">
        <v>45366</v>
      </c>
      <c r="C34" s="12">
        <v>2.125</v>
      </c>
      <c r="D34" s="12">
        <v>96.914100000000005</v>
      </c>
      <c r="E34" s="12">
        <v>96.929699999999997</v>
      </c>
      <c r="F34" s="12">
        <v>0.1953</v>
      </c>
      <c r="G34" s="12">
        <v>2.6859999999999999</v>
      </c>
      <c r="J34" s="197" t="s">
        <v>105</v>
      </c>
      <c r="K34" s="197"/>
      <c r="L34" s="197"/>
      <c r="M34" s="197"/>
      <c r="N34" s="197"/>
      <c r="O34" s="197"/>
      <c r="P34" s="197"/>
      <c r="Q34" s="197"/>
      <c r="R34" s="197"/>
      <c r="S34" s="197"/>
      <c r="T34" s="197"/>
      <c r="U34" s="197"/>
      <c r="V34" s="197"/>
    </row>
    <row r="35" spans="1:22">
      <c r="B35" s="12"/>
      <c r="C35" s="14"/>
      <c r="D35" s="14"/>
      <c r="E35" s="14"/>
      <c r="F35" s="14"/>
      <c r="G35" s="14"/>
      <c r="J35" s="91" t="s">
        <v>106</v>
      </c>
      <c r="K35" s="91"/>
      <c r="L35" s="91"/>
      <c r="M35" s="91"/>
      <c r="N35" s="91"/>
      <c r="O35" s="91"/>
      <c r="P35" s="91"/>
      <c r="Q35" s="91"/>
      <c r="R35" s="91"/>
      <c r="S35" s="91"/>
      <c r="T35" s="91"/>
      <c r="U35" s="91"/>
      <c r="V35" s="91"/>
    </row>
    <row r="36" spans="1:22">
      <c r="J36" s="91" t="s">
        <v>107</v>
      </c>
      <c r="K36" s="91"/>
      <c r="L36" s="91"/>
      <c r="M36" s="91"/>
      <c r="N36" s="91"/>
      <c r="O36" s="91"/>
      <c r="P36" s="91"/>
      <c r="Q36" s="91"/>
      <c r="R36" s="91"/>
      <c r="S36" s="91"/>
      <c r="T36" s="91"/>
      <c r="U36" s="91"/>
      <c r="V36" s="91"/>
    </row>
  </sheetData>
  <mergeCells count="1">
    <mergeCell ref="J34:V34"/>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0"/>
  <sheetViews>
    <sheetView topLeftCell="A4" workbookViewId="0">
      <selection activeCell="E20" sqref="E20:E21"/>
    </sheetView>
  </sheetViews>
  <sheetFormatPr baseColWidth="10" defaultColWidth="8.83203125" defaultRowHeight="14"/>
  <cols>
    <col min="2" max="2" width="11.5" customWidth="1"/>
    <col min="3" max="3" width="16.5" customWidth="1"/>
    <col min="4" max="4" width="15.1640625" customWidth="1"/>
    <col min="5" max="5" width="16.5" customWidth="1"/>
    <col min="8" max="8" width="11.83203125" customWidth="1"/>
  </cols>
  <sheetData>
    <row r="1" spans="1:10">
      <c r="C1" s="66" t="s">
        <v>108</v>
      </c>
      <c r="D1" s="67"/>
      <c r="E1" s="67"/>
      <c r="F1" s="67"/>
      <c r="G1" s="67"/>
      <c r="H1" s="67"/>
      <c r="I1" s="67"/>
      <c r="J1" s="68"/>
    </row>
    <row r="2" spans="1:10" ht="16">
      <c r="A2" s="33"/>
      <c r="B2" s="3"/>
      <c r="C2" s="50" t="s">
        <v>0</v>
      </c>
      <c r="D2" s="51"/>
      <c r="E2" s="51"/>
      <c r="F2" s="51"/>
      <c r="G2" s="51"/>
      <c r="H2" s="51"/>
      <c r="I2" s="51"/>
      <c r="J2" s="52"/>
    </row>
    <row r="3" spans="1:10" ht="16">
      <c r="A3" s="33"/>
      <c r="B3" s="3"/>
      <c r="C3" s="53" t="s">
        <v>1</v>
      </c>
      <c r="D3" s="51"/>
      <c r="E3" s="54"/>
      <c r="F3" s="54"/>
      <c r="G3" s="54"/>
      <c r="H3" s="51"/>
      <c r="I3" s="51"/>
      <c r="J3" s="52"/>
    </row>
    <row r="4" spans="1:10" ht="16">
      <c r="A4" s="33"/>
      <c r="B4" s="3"/>
      <c r="C4" s="53" t="s">
        <v>2</v>
      </c>
      <c r="D4" s="54" t="s">
        <v>3</v>
      </c>
      <c r="E4" s="54" t="s">
        <v>4</v>
      </c>
      <c r="F4" s="54" t="s">
        <v>5</v>
      </c>
      <c r="G4" s="54" t="s">
        <v>6</v>
      </c>
      <c r="H4" s="51"/>
      <c r="I4" s="54" t="s">
        <v>98</v>
      </c>
      <c r="J4" s="55" t="s">
        <v>97</v>
      </c>
    </row>
    <row r="5" spans="1:10" ht="16">
      <c r="A5" s="33"/>
      <c r="B5" s="3"/>
      <c r="C5" s="56">
        <v>43358</v>
      </c>
      <c r="D5" s="57">
        <v>1.9</v>
      </c>
      <c r="E5" s="57">
        <v>1.89</v>
      </c>
      <c r="F5" s="57">
        <v>4.4999999999999998E-2</v>
      </c>
      <c r="G5" s="57">
        <v>1.9350000000000001</v>
      </c>
      <c r="H5" s="58">
        <v>43174</v>
      </c>
      <c r="I5" s="51">
        <f>100-(100*(D5/100)*180)/360</f>
        <v>99.05</v>
      </c>
      <c r="J5" s="52">
        <f>100-(100*(E5/100)*180)/360</f>
        <v>99.055000000000007</v>
      </c>
    </row>
    <row r="6" spans="1:10" ht="16">
      <c r="A6" s="33"/>
      <c r="B6" s="3"/>
      <c r="C6" s="56">
        <v>43539</v>
      </c>
      <c r="D6" s="57">
        <v>1.978</v>
      </c>
      <c r="E6" s="57">
        <v>1.968</v>
      </c>
      <c r="F6" s="57">
        <v>8.0000000000000002E-3</v>
      </c>
      <c r="G6" s="57">
        <v>2.0339999999999998</v>
      </c>
      <c r="H6" s="51"/>
      <c r="I6" s="51">
        <f>100-(100*(D6/100)*360)/360</f>
        <v>98.022000000000006</v>
      </c>
      <c r="J6" s="52">
        <f>100-(100*(E6/100)*360)/360</f>
        <v>98.031999999999996</v>
      </c>
    </row>
    <row r="7" spans="1:10" ht="16">
      <c r="A7" s="33"/>
      <c r="B7" s="3"/>
      <c r="C7" s="59"/>
      <c r="D7" s="51"/>
      <c r="E7" s="51"/>
      <c r="F7" s="51"/>
      <c r="G7" s="51"/>
      <c r="H7" s="51"/>
      <c r="I7" s="51"/>
      <c r="J7" s="52"/>
    </row>
    <row r="8" spans="1:10" ht="16">
      <c r="A8" s="33"/>
      <c r="B8" s="3"/>
      <c r="C8" s="53" t="s">
        <v>8</v>
      </c>
      <c r="D8" s="54"/>
      <c r="E8" s="54"/>
      <c r="F8" s="54"/>
      <c r="G8" s="54"/>
      <c r="H8" s="54"/>
      <c r="I8" s="51"/>
      <c r="J8" s="52"/>
    </row>
    <row r="9" spans="1:10" ht="16">
      <c r="A9" s="33"/>
      <c r="B9" s="3"/>
      <c r="C9" s="53" t="s">
        <v>2</v>
      </c>
      <c r="D9" s="54" t="s">
        <v>9</v>
      </c>
      <c r="E9" s="60" t="s">
        <v>3</v>
      </c>
      <c r="F9" s="60" t="s">
        <v>4</v>
      </c>
      <c r="G9" s="54" t="s">
        <v>5</v>
      </c>
      <c r="H9" s="54" t="s">
        <v>10</v>
      </c>
      <c r="I9" s="51"/>
      <c r="J9" s="52"/>
    </row>
    <row r="10" spans="1:10">
      <c r="B10" s="3"/>
      <c r="C10" s="56">
        <v>43723</v>
      </c>
      <c r="D10" s="57">
        <v>0.875</v>
      </c>
      <c r="E10" s="57">
        <v>98.046899999999994</v>
      </c>
      <c r="F10" s="57">
        <v>98.0625</v>
      </c>
      <c r="G10" s="57">
        <v>1.5599999999999999E-2</v>
      </c>
      <c r="H10" s="57">
        <v>2.1949999999999998</v>
      </c>
      <c r="I10" s="61">
        <v>1.5</v>
      </c>
      <c r="J10" s="52"/>
    </row>
    <row r="11" spans="1:10">
      <c r="B11" s="3"/>
      <c r="C11" s="56">
        <v>43905</v>
      </c>
      <c r="D11" s="57">
        <v>1.625</v>
      </c>
      <c r="E11" s="57">
        <v>98.710899999999995</v>
      </c>
      <c r="F11" s="57">
        <v>98.726600000000005</v>
      </c>
      <c r="G11" s="57">
        <v>7.7999999999999996E-3</v>
      </c>
      <c r="H11" s="57">
        <v>2.2799999999999998</v>
      </c>
      <c r="I11" s="61">
        <v>2</v>
      </c>
      <c r="J11" s="52"/>
    </row>
    <row r="12" spans="1:10">
      <c r="B12" s="3"/>
      <c r="C12" s="56">
        <v>44089</v>
      </c>
      <c r="D12" s="57">
        <v>1.375</v>
      </c>
      <c r="E12" s="57">
        <v>97.648399999999995</v>
      </c>
      <c r="F12" s="57">
        <v>97.664100000000005</v>
      </c>
      <c r="G12" s="57">
        <v>1.5599999999999999E-2</v>
      </c>
      <c r="H12" s="57">
        <v>2.343</v>
      </c>
      <c r="I12" s="61">
        <v>2.5</v>
      </c>
      <c r="J12" s="52"/>
    </row>
    <row r="13" spans="1:10">
      <c r="B13" s="3"/>
      <c r="C13" s="56">
        <v>44270</v>
      </c>
      <c r="D13" s="57">
        <v>2.375</v>
      </c>
      <c r="E13" s="57">
        <v>99.898399999999995</v>
      </c>
      <c r="F13" s="57">
        <v>99.914100000000005</v>
      </c>
      <c r="G13" s="57">
        <v>4.6899999999999997E-2</v>
      </c>
      <c r="H13" s="57">
        <v>2.4049999999999998</v>
      </c>
      <c r="I13" s="61">
        <v>3</v>
      </c>
      <c r="J13" s="52"/>
    </row>
    <row r="14" spans="1:10">
      <c r="B14" s="3"/>
      <c r="C14" s="56">
        <v>44454</v>
      </c>
      <c r="D14" s="57">
        <v>1.125</v>
      </c>
      <c r="E14" s="57">
        <v>95.382800000000003</v>
      </c>
      <c r="F14" s="57">
        <v>95.398399999999995</v>
      </c>
      <c r="G14" s="57">
        <v>5.4699999999999999E-2</v>
      </c>
      <c r="H14" s="57">
        <v>2.4900000000000002</v>
      </c>
      <c r="I14" s="61">
        <v>3.5</v>
      </c>
      <c r="J14" s="52"/>
    </row>
    <row r="15" spans="1:10">
      <c r="B15" s="3"/>
      <c r="C15" s="62">
        <v>44635</v>
      </c>
      <c r="D15" s="63">
        <v>1.75</v>
      </c>
      <c r="E15" s="63">
        <v>97</v>
      </c>
      <c r="F15" s="63">
        <v>97.015600000000006</v>
      </c>
      <c r="G15" s="63">
        <v>7.8100000000000003E-2</v>
      </c>
      <c r="H15" s="63">
        <v>2.5310000000000001</v>
      </c>
      <c r="I15" s="64">
        <v>4</v>
      </c>
      <c r="J15" s="65"/>
    </row>
    <row r="16" spans="1:10">
      <c r="B16" s="16"/>
    </row>
    <row r="17" spans="1:7">
      <c r="A17" s="15"/>
      <c r="B17" s="9"/>
    </row>
    <row r="18" spans="1:7">
      <c r="A18" s="15"/>
      <c r="B18" s="72" t="s">
        <v>109</v>
      </c>
      <c r="C18" s="73"/>
      <c r="D18" s="73"/>
      <c r="E18" s="74"/>
    </row>
    <row r="19" spans="1:7">
      <c r="A19" s="15"/>
      <c r="B19" s="75" t="s">
        <v>110</v>
      </c>
      <c r="C19" s="76" t="s">
        <v>96</v>
      </c>
      <c r="D19" s="76" t="s">
        <v>95</v>
      </c>
      <c r="E19" s="77" t="s">
        <v>111</v>
      </c>
      <c r="G19" s="32"/>
    </row>
    <row r="20" spans="1:7" ht="16">
      <c r="A20" s="15"/>
      <c r="B20" s="78">
        <v>0.5</v>
      </c>
      <c r="C20" s="79">
        <v>0</v>
      </c>
      <c r="D20" s="79">
        <v>99.034000000000006</v>
      </c>
      <c r="E20" s="80">
        <f>D20/100</f>
        <v>0.99034000000000011</v>
      </c>
      <c r="G20" s="32"/>
    </row>
    <row r="21" spans="1:7" ht="16">
      <c r="A21" s="15"/>
      <c r="B21" s="78">
        <v>1</v>
      </c>
      <c r="C21" s="79">
        <v>0</v>
      </c>
      <c r="D21" s="79">
        <v>98.031999999999996</v>
      </c>
      <c r="E21" s="80">
        <f>D21/100</f>
        <v>0.98031999999999997</v>
      </c>
      <c r="G21" s="32"/>
    </row>
    <row r="22" spans="1:7" ht="16">
      <c r="A22" s="15"/>
      <c r="B22" s="78">
        <v>1.5</v>
      </c>
      <c r="C22" s="81">
        <v>0.875</v>
      </c>
      <c r="D22" s="81">
        <v>98.0625</v>
      </c>
      <c r="E22" s="80">
        <f t="shared" ref="E22:E27" si="0">D22/100</f>
        <v>0.98062499999999997</v>
      </c>
      <c r="G22" s="32"/>
    </row>
    <row r="23" spans="1:7" ht="16">
      <c r="A23" s="15"/>
      <c r="B23" s="78">
        <v>2</v>
      </c>
      <c r="C23" s="81">
        <v>1.625</v>
      </c>
      <c r="D23" s="81">
        <v>98.726600000000005</v>
      </c>
      <c r="E23" s="80">
        <f t="shared" si="0"/>
        <v>0.98726600000000009</v>
      </c>
      <c r="G23" s="32"/>
    </row>
    <row r="24" spans="1:7" ht="16">
      <c r="A24" s="15"/>
      <c r="B24" s="78">
        <v>2.5</v>
      </c>
      <c r="C24" s="81">
        <v>1.375</v>
      </c>
      <c r="D24" s="81">
        <v>97.664100000000005</v>
      </c>
      <c r="E24" s="80">
        <f t="shared" si="0"/>
        <v>0.97664100000000009</v>
      </c>
      <c r="G24" s="32"/>
    </row>
    <row r="25" spans="1:7" ht="16">
      <c r="A25" s="15"/>
      <c r="B25" s="78">
        <v>3</v>
      </c>
      <c r="C25" s="81">
        <v>2.375</v>
      </c>
      <c r="D25" s="81">
        <v>99.914100000000005</v>
      </c>
      <c r="E25" s="80">
        <f t="shared" si="0"/>
        <v>0.99914100000000006</v>
      </c>
      <c r="G25" s="32"/>
    </row>
    <row r="26" spans="1:7" ht="16">
      <c r="A26" s="15"/>
      <c r="B26" s="78">
        <v>3.5</v>
      </c>
      <c r="C26" s="81">
        <v>1.125</v>
      </c>
      <c r="D26" s="81">
        <v>95.398399999999995</v>
      </c>
      <c r="E26" s="80">
        <f t="shared" si="0"/>
        <v>0.95398399999999994</v>
      </c>
      <c r="G26" s="32"/>
    </row>
    <row r="27" spans="1:7" ht="16">
      <c r="A27" s="15"/>
      <c r="B27" s="78">
        <v>4</v>
      </c>
      <c r="C27" s="81">
        <v>1.75</v>
      </c>
      <c r="D27" s="81">
        <v>97.015600000000006</v>
      </c>
      <c r="E27" s="80">
        <f t="shared" si="0"/>
        <v>0.97015600000000002</v>
      </c>
    </row>
    <row r="28" spans="1:7">
      <c r="A28" s="15"/>
      <c r="B28" s="96" t="s">
        <v>18</v>
      </c>
      <c r="C28" s="79"/>
      <c r="D28" s="190" t="s">
        <v>20</v>
      </c>
      <c r="E28" s="80"/>
    </row>
    <row r="29" spans="1:7">
      <c r="A29" s="15"/>
      <c r="B29" s="82" t="s">
        <v>94</v>
      </c>
      <c r="C29" s="79">
        <f>E20</f>
        <v>0.99034000000000011</v>
      </c>
      <c r="D29" s="83" t="s">
        <v>93</v>
      </c>
      <c r="E29" s="80">
        <f>2*((C29^(-1))-1)</f>
        <v>1.9508451642869851E-2</v>
      </c>
    </row>
    <row r="30" spans="1:7">
      <c r="A30" s="15"/>
      <c r="B30" s="84" t="s">
        <v>92</v>
      </c>
      <c r="C30" s="79">
        <f>E21</f>
        <v>0.98031999999999997</v>
      </c>
      <c r="D30" s="83" t="s">
        <v>91</v>
      </c>
      <c r="E30" s="80">
        <f>2*((C30^(-1/2))-1)</f>
        <v>1.9975324132159855E-2</v>
      </c>
    </row>
    <row r="31" spans="1:7">
      <c r="B31" s="82" t="s">
        <v>90</v>
      </c>
      <c r="C31" s="79">
        <f>(D22-C22/2*(C29+C30))/(100+C22/2)</f>
        <v>0.96776937149968889</v>
      </c>
      <c r="D31" s="83" t="s">
        <v>89</v>
      </c>
      <c r="E31" s="80">
        <f>2*((C31^(-1/3))-1)</f>
        <v>2.1960674207988085E-2</v>
      </c>
    </row>
    <row r="32" spans="1:7">
      <c r="B32" s="82" t="s">
        <v>88</v>
      </c>
      <c r="C32" s="79">
        <f>(D23-(C23/2)*(E20+E21+C31))/(100+C23/2)</f>
        <v>0.95562679365809311</v>
      </c>
      <c r="D32" s="83" t="s">
        <v>87</v>
      </c>
      <c r="E32" s="80">
        <f>2*((C32^(-1/4))-1)</f>
        <v>2.282315446567118E-2</v>
      </c>
    </row>
    <row r="33" spans="1:18">
      <c r="B33" s="82" t="s">
        <v>86</v>
      </c>
      <c r="C33" s="79">
        <f>(D24-C24/2*(C29+C30+C31+C32))/(100+C24/2)</f>
        <v>0.9433836016035162</v>
      </c>
      <c r="D33" s="83" t="s">
        <v>85</v>
      </c>
      <c r="E33" s="80">
        <f>2*((C33^(-1/5))-1)</f>
        <v>2.3449318695772714E-2</v>
      </c>
    </row>
    <row r="34" spans="1:18">
      <c r="B34" s="82" t="s">
        <v>84</v>
      </c>
      <c r="C34" s="79">
        <f>(D25-C25/2*(C29+C30+C31+C32+C33))/(100+C25/2)</f>
        <v>0.93064499347222696</v>
      </c>
      <c r="D34" s="83" t="s">
        <v>83</v>
      </c>
      <c r="E34" s="80">
        <f>2*((C34^(-1/6))-1)</f>
        <v>2.4103215386299226E-2</v>
      </c>
    </row>
    <row r="35" spans="1:18">
      <c r="B35" s="82" t="s">
        <v>82</v>
      </c>
      <c r="C35" s="79">
        <f>(D26-C26/2*(C29+C30+C31+C32+C33+C34))/(100+C26/2)</f>
        <v>0.9163838639887496</v>
      </c>
      <c r="D35" s="83" t="s">
        <v>81</v>
      </c>
      <c r="E35" s="80">
        <f>2*((C35^(-1/7))-1)</f>
        <v>2.5104809946359996E-2</v>
      </c>
    </row>
    <row r="36" spans="1:18">
      <c r="B36" s="85" t="s">
        <v>80</v>
      </c>
      <c r="C36" s="86">
        <f>(D27-C27/2*(C29+C30+C31+C32+C33+C34+C35))/(100+C27/2)</f>
        <v>0.90375900821616373</v>
      </c>
      <c r="D36" s="87" t="s">
        <v>79</v>
      </c>
      <c r="E36" s="88">
        <f>2*((C36^(-1/8))-1)</f>
        <v>2.545881014353224E-2</v>
      </c>
    </row>
    <row r="37" spans="1:18" ht="16">
      <c r="A37" s="14"/>
      <c r="B37" s="191" t="s">
        <v>157</v>
      </c>
      <c r="C37" s="192"/>
      <c r="D37" s="14"/>
      <c r="E37" s="14"/>
      <c r="F37" s="14"/>
      <c r="G37" s="14"/>
      <c r="H37" s="14"/>
      <c r="I37" s="14"/>
      <c r="J37" s="14"/>
      <c r="K37" s="14"/>
      <c r="L37" s="14"/>
      <c r="M37" s="14"/>
      <c r="N37" s="14"/>
      <c r="O37" s="14"/>
      <c r="P37" s="14"/>
      <c r="Q37" s="14"/>
      <c r="R37" s="14"/>
    </row>
    <row r="38" spans="1:18">
      <c r="A38" s="14"/>
      <c r="B38" s="193" t="s">
        <v>135</v>
      </c>
      <c r="C38" s="194">
        <f>E29</f>
        <v>1.9508451642869851E-2</v>
      </c>
      <c r="D38" s="34"/>
      <c r="E38" s="34"/>
      <c r="F38" s="14"/>
      <c r="G38" s="14"/>
      <c r="H38" s="14"/>
      <c r="I38" s="14"/>
      <c r="J38" s="14"/>
      <c r="K38" s="14"/>
      <c r="L38" s="14"/>
      <c r="M38" s="14"/>
      <c r="N38" s="14"/>
      <c r="O38" s="14"/>
      <c r="P38" s="14"/>
      <c r="Q38" s="14"/>
      <c r="R38" s="14"/>
    </row>
    <row r="39" spans="1:18">
      <c r="A39" s="14"/>
      <c r="B39" s="193" t="s">
        <v>137</v>
      </c>
      <c r="C39" s="80">
        <f>((1+E30/2)^2/(1+E29/2)-1)*2</f>
        <v>2.0442304553615731E-2</v>
      </c>
      <c r="D39" s="14"/>
      <c r="E39" s="14"/>
      <c r="F39" s="14"/>
      <c r="G39" s="14"/>
      <c r="H39" s="14"/>
      <c r="I39" s="14"/>
      <c r="J39" s="14"/>
      <c r="K39" s="14"/>
      <c r="L39" s="14"/>
      <c r="M39" s="14"/>
      <c r="N39" s="14"/>
      <c r="O39" s="14"/>
      <c r="P39" s="14"/>
      <c r="Q39" s="14"/>
      <c r="R39" s="14"/>
    </row>
    <row r="40" spans="1:18">
      <c r="A40" s="14"/>
      <c r="B40" s="193" t="s">
        <v>139</v>
      </c>
      <c r="C40" s="80">
        <f>((1+E31/2)^3/(1+E30/2)^2-1)*2</f>
        <v>2.593723023257466E-2</v>
      </c>
      <c r="D40" s="14"/>
      <c r="E40" s="14"/>
      <c r="F40" s="14"/>
      <c r="G40" s="14"/>
      <c r="H40" s="35"/>
      <c r="I40" s="35"/>
      <c r="J40" s="14"/>
      <c r="K40" s="14"/>
      <c r="L40" s="14"/>
      <c r="M40" s="14"/>
      <c r="N40" s="14"/>
      <c r="O40" s="14"/>
      <c r="P40" s="14"/>
      <c r="Q40" s="14"/>
      <c r="R40" s="14"/>
    </row>
    <row r="41" spans="1:18">
      <c r="A41" s="14"/>
      <c r="B41" s="193" t="s">
        <v>141</v>
      </c>
      <c r="C41" s="80">
        <f>((1+E32/2)^4/(1+E31/2)^3-1)*2</f>
        <v>2.5412803245322912E-2</v>
      </c>
      <c r="D41" s="14"/>
      <c r="E41" s="14"/>
      <c r="F41" s="14"/>
      <c r="G41" s="14"/>
      <c r="H41" s="21"/>
      <c r="I41" s="21"/>
      <c r="J41" s="14"/>
      <c r="K41" s="14"/>
      <c r="L41" s="14"/>
      <c r="M41" s="14"/>
      <c r="N41" s="14"/>
      <c r="O41" s="14"/>
      <c r="P41" s="14"/>
      <c r="Q41" s="14"/>
      <c r="R41" s="14"/>
    </row>
    <row r="42" spans="1:18">
      <c r="A42" s="14"/>
      <c r="B42" s="193" t="s">
        <v>143</v>
      </c>
      <c r="C42" s="80">
        <f>((1+E33/2)^5/(1+E32/2)^4-1)*2</f>
        <v>2.5955914505546129E-2</v>
      </c>
      <c r="D42" s="14"/>
      <c r="E42" s="14"/>
      <c r="F42" s="14"/>
      <c r="G42" s="14"/>
      <c r="H42" s="21"/>
      <c r="I42" s="21"/>
      <c r="J42" s="14"/>
      <c r="K42" s="14"/>
      <c r="L42" s="14"/>
      <c r="M42" s="14"/>
      <c r="N42" s="14"/>
      <c r="O42" s="14"/>
      <c r="P42" s="14"/>
      <c r="Q42" s="14"/>
      <c r="R42" s="14"/>
    </row>
    <row r="43" spans="1:18">
      <c r="A43" s="14"/>
      <c r="B43" s="193" t="s">
        <v>145</v>
      </c>
      <c r="C43" s="80">
        <f>((1+E34/2)^6/(1+E33/2)^5-1)*2</f>
        <v>2.7375869898060845E-2</v>
      </c>
      <c r="D43" s="14"/>
      <c r="E43" s="14"/>
      <c r="F43" s="14"/>
      <c r="G43" s="14"/>
      <c r="H43" s="21"/>
      <c r="I43" s="21"/>
      <c r="J43" s="14"/>
      <c r="K43" s="14"/>
      <c r="L43" s="14"/>
      <c r="M43" s="14"/>
      <c r="N43" s="14"/>
      <c r="O43" s="14"/>
      <c r="P43" s="14"/>
      <c r="Q43" s="14"/>
      <c r="R43" s="14"/>
    </row>
    <row r="44" spans="1:18">
      <c r="A44" s="14"/>
      <c r="B44" s="193" t="s">
        <v>147</v>
      </c>
      <c r="C44" s="80">
        <f>((1+E35/2)^7/(1+E34/2)^6-1)*2</f>
        <v>3.1124793973134945E-2</v>
      </c>
      <c r="D44" s="14"/>
      <c r="E44" s="14"/>
      <c r="F44" s="14"/>
      <c r="G44" s="14"/>
      <c r="H44" s="21"/>
      <c r="I44" s="21"/>
      <c r="J44" s="14"/>
      <c r="K44" s="14"/>
      <c r="L44" s="14"/>
      <c r="M44" s="14"/>
      <c r="N44" s="14"/>
      <c r="O44" s="14"/>
      <c r="P44" s="14"/>
      <c r="Q44" s="14"/>
      <c r="R44" s="14"/>
    </row>
    <row r="45" spans="1:18">
      <c r="A45" s="14"/>
      <c r="B45" s="195" t="s">
        <v>149</v>
      </c>
      <c r="C45" s="88">
        <f>((1+E36/2)^8/(1+E35/2)^7-1)*2</f>
        <v>2.7938544806328292E-2</v>
      </c>
      <c r="D45" s="14"/>
      <c r="E45" s="14"/>
      <c r="F45" s="14"/>
      <c r="G45" s="14"/>
      <c r="H45" s="21"/>
      <c r="I45" s="21"/>
      <c r="J45" s="14"/>
      <c r="K45" s="14"/>
      <c r="L45" s="14"/>
      <c r="M45" s="14"/>
      <c r="N45" s="14"/>
      <c r="O45" s="14"/>
      <c r="P45" s="14"/>
      <c r="Q45" s="14"/>
      <c r="R45" s="14"/>
    </row>
    <row r="46" spans="1:18">
      <c r="A46" s="14"/>
      <c r="B46" s="14"/>
      <c r="C46" s="14"/>
      <c r="D46" s="14"/>
      <c r="E46" s="14"/>
      <c r="F46" s="14"/>
      <c r="G46" s="14"/>
      <c r="H46" s="14"/>
      <c r="I46" s="14"/>
      <c r="J46" s="14"/>
      <c r="K46" s="14"/>
      <c r="L46" s="14"/>
      <c r="M46" s="14"/>
      <c r="N46" s="14"/>
      <c r="O46" s="14"/>
      <c r="P46" s="14"/>
      <c r="Q46" s="14"/>
      <c r="R46" s="14"/>
    </row>
    <row r="47" spans="1:18">
      <c r="A47" s="14"/>
      <c r="B47" s="14"/>
      <c r="C47" s="14"/>
      <c r="D47" s="14"/>
      <c r="E47" s="14"/>
      <c r="F47" s="14"/>
      <c r="G47" s="14"/>
      <c r="H47" s="14"/>
      <c r="I47" s="14"/>
      <c r="J47" s="14"/>
      <c r="K47" s="14"/>
      <c r="L47" s="14"/>
      <c r="M47" s="14"/>
      <c r="N47" s="14"/>
      <c r="O47" s="14"/>
      <c r="P47" s="14"/>
      <c r="Q47" s="14"/>
      <c r="R47" s="14"/>
    </row>
    <row r="48" spans="1:18">
      <c r="A48" s="14"/>
      <c r="B48" s="14"/>
      <c r="C48" s="14"/>
      <c r="D48" s="14"/>
      <c r="E48" s="14"/>
      <c r="F48" s="14"/>
      <c r="G48" s="14"/>
      <c r="H48" s="36"/>
      <c r="I48" s="36"/>
      <c r="J48" s="36"/>
      <c r="K48" s="36"/>
      <c r="L48" s="36"/>
      <c r="M48" s="36"/>
      <c r="N48" s="14"/>
      <c r="O48" s="14"/>
      <c r="P48" s="14"/>
      <c r="Q48" s="14"/>
      <c r="R48" s="14"/>
    </row>
    <row r="49" spans="1:18">
      <c r="A49" s="14"/>
      <c r="B49" s="14"/>
      <c r="C49" s="14"/>
      <c r="D49" s="14"/>
      <c r="E49" s="14"/>
      <c r="F49" s="14"/>
      <c r="G49" s="14"/>
      <c r="H49" s="21"/>
      <c r="I49" s="21"/>
      <c r="J49" s="21"/>
      <c r="K49" s="21"/>
      <c r="L49" s="21"/>
      <c r="M49" s="21"/>
      <c r="N49" s="14"/>
      <c r="O49" s="14"/>
      <c r="P49" s="14"/>
      <c r="Q49" s="14"/>
      <c r="R49" s="14"/>
    </row>
    <row r="50" spans="1:18">
      <c r="A50" s="14"/>
      <c r="B50" s="14"/>
      <c r="C50" s="14"/>
      <c r="D50" s="14"/>
      <c r="E50" s="14"/>
      <c r="F50" s="14"/>
      <c r="G50" s="14"/>
      <c r="H50" s="21"/>
      <c r="I50" s="21"/>
      <c r="J50" s="21"/>
      <c r="K50" s="21"/>
      <c r="L50" s="21"/>
      <c r="M50" s="21"/>
      <c r="N50" s="14"/>
      <c r="O50" s="14"/>
      <c r="P50" s="14"/>
      <c r="Q50" s="14"/>
      <c r="R50" s="14"/>
    </row>
    <row r="51" spans="1:18">
      <c r="A51" s="14"/>
      <c r="B51" s="14"/>
      <c r="C51" s="14"/>
      <c r="D51" s="14"/>
      <c r="E51" s="14"/>
      <c r="F51" s="14"/>
      <c r="G51" s="14"/>
      <c r="H51" s="21"/>
      <c r="I51" s="21"/>
      <c r="J51" s="21"/>
      <c r="K51" s="21"/>
      <c r="L51" s="21"/>
      <c r="M51" s="21"/>
      <c r="N51" s="14"/>
      <c r="O51" s="14"/>
      <c r="P51" s="14"/>
      <c r="Q51" s="14"/>
      <c r="R51" s="14"/>
    </row>
    <row r="52" spans="1:18">
      <c r="A52" s="14"/>
      <c r="B52" s="14"/>
      <c r="C52" s="14"/>
      <c r="D52" s="14"/>
      <c r="E52" s="14"/>
      <c r="F52" s="14"/>
      <c r="G52" s="14"/>
      <c r="H52" s="14"/>
      <c r="I52" s="14"/>
      <c r="J52" s="14"/>
      <c r="K52" s="14"/>
      <c r="L52" s="14"/>
      <c r="M52" s="14"/>
      <c r="N52" s="14"/>
      <c r="O52" s="14"/>
      <c r="P52" s="14"/>
      <c r="Q52" s="14"/>
      <c r="R52" s="14"/>
    </row>
    <row r="53" spans="1:18">
      <c r="A53" s="14"/>
      <c r="B53" s="14"/>
      <c r="C53" s="14"/>
      <c r="D53" s="14"/>
      <c r="E53" s="14"/>
      <c r="F53" s="14"/>
      <c r="G53" s="14"/>
      <c r="H53" s="36"/>
      <c r="I53" s="36"/>
      <c r="J53" s="36"/>
      <c r="K53" s="36"/>
      <c r="L53" s="36"/>
      <c r="M53" s="36"/>
      <c r="N53" s="36"/>
      <c r="O53" s="36"/>
      <c r="P53" s="36"/>
      <c r="Q53" s="14"/>
      <c r="R53" s="14"/>
    </row>
    <row r="54" spans="1:18">
      <c r="A54" s="14"/>
      <c r="B54" s="14"/>
      <c r="C54" s="14"/>
      <c r="D54" s="14"/>
      <c r="E54" s="14"/>
      <c r="F54" s="14"/>
      <c r="G54" s="14"/>
      <c r="H54" s="21"/>
      <c r="I54" s="21"/>
      <c r="J54" s="21"/>
      <c r="K54" s="21"/>
      <c r="L54" s="21"/>
      <c r="M54" s="21"/>
      <c r="N54" s="21"/>
      <c r="O54" s="21"/>
      <c r="P54" s="21"/>
      <c r="Q54" s="14"/>
      <c r="R54" s="14"/>
    </row>
    <row r="55" spans="1:18">
      <c r="A55" s="14"/>
      <c r="B55" s="14"/>
      <c r="C55" s="14"/>
      <c r="D55" s="14"/>
      <c r="E55" s="14"/>
      <c r="F55" s="14"/>
      <c r="G55" s="14"/>
      <c r="H55" s="21"/>
      <c r="I55" s="21"/>
      <c r="J55" s="21"/>
      <c r="K55" s="21"/>
      <c r="L55" s="21"/>
      <c r="M55" s="21"/>
      <c r="N55" s="21"/>
      <c r="O55" s="21"/>
      <c r="P55" s="21"/>
      <c r="Q55" s="14"/>
      <c r="R55" s="14"/>
    </row>
    <row r="56" spans="1:18">
      <c r="A56" s="14"/>
      <c r="B56" s="14"/>
      <c r="C56" s="14"/>
      <c r="D56" s="14"/>
      <c r="E56" s="14"/>
      <c r="F56" s="14"/>
      <c r="G56" s="14"/>
      <c r="H56" s="21"/>
      <c r="I56" s="21"/>
      <c r="J56" s="21"/>
      <c r="K56" s="21"/>
      <c r="L56" s="21"/>
      <c r="M56" s="21"/>
      <c r="N56" s="21"/>
      <c r="O56" s="21"/>
      <c r="P56" s="21"/>
      <c r="Q56" s="14"/>
      <c r="R56" s="14"/>
    </row>
    <row r="57" spans="1:18">
      <c r="A57" s="14"/>
      <c r="B57" s="14"/>
      <c r="C57" s="14"/>
      <c r="D57" s="14"/>
      <c r="E57" s="14"/>
      <c r="F57" s="14"/>
      <c r="G57" s="14"/>
      <c r="H57" s="21"/>
      <c r="I57" s="21"/>
      <c r="J57" s="21"/>
      <c r="K57" s="21"/>
      <c r="L57" s="21"/>
      <c r="M57" s="21"/>
      <c r="N57" s="21"/>
      <c r="O57" s="21"/>
      <c r="P57" s="21"/>
      <c r="Q57" s="14"/>
      <c r="R57" s="14"/>
    </row>
    <row r="58" spans="1:18">
      <c r="A58" s="14"/>
      <c r="B58" s="14"/>
      <c r="C58" s="14"/>
      <c r="D58" s="14"/>
      <c r="E58" s="14"/>
      <c r="F58" s="14"/>
      <c r="G58" s="14"/>
      <c r="H58" s="14"/>
      <c r="I58" s="14"/>
      <c r="J58" s="14"/>
      <c r="K58" s="14"/>
      <c r="L58" s="14"/>
      <c r="M58" s="14"/>
      <c r="N58" s="14"/>
      <c r="O58" s="14"/>
      <c r="P58" s="14"/>
      <c r="Q58" s="14"/>
      <c r="R58" s="14"/>
    </row>
    <row r="59" spans="1:18">
      <c r="A59" s="14"/>
      <c r="B59" s="14"/>
      <c r="C59" s="14"/>
      <c r="D59" s="14"/>
      <c r="E59" s="14"/>
      <c r="F59" s="14"/>
      <c r="G59" s="14"/>
      <c r="H59" s="14"/>
      <c r="I59" s="14"/>
      <c r="J59" s="14"/>
      <c r="K59" s="14"/>
      <c r="L59" s="14"/>
      <c r="M59" s="14"/>
      <c r="N59" s="14"/>
      <c r="O59" s="14"/>
      <c r="P59" s="14"/>
      <c r="Q59" s="14"/>
      <c r="R59" s="14"/>
    </row>
    <row r="60" spans="1:18">
      <c r="A60" s="14"/>
      <c r="B60" s="14"/>
      <c r="C60" s="14"/>
      <c r="D60" s="14"/>
      <c r="E60" s="14"/>
      <c r="F60" s="14"/>
      <c r="G60" s="14"/>
      <c r="H60" s="14"/>
      <c r="I60" s="14"/>
      <c r="J60" s="14"/>
      <c r="K60" s="14"/>
      <c r="L60" s="14"/>
      <c r="M60" s="14"/>
      <c r="N60" s="14"/>
      <c r="O60" s="14"/>
      <c r="P60" s="14"/>
      <c r="Q60" s="14"/>
      <c r="R60" s="14"/>
    </row>
  </sheetData>
  <phoneticPr fontId="4"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7"/>
  <sheetViews>
    <sheetView topLeftCell="A16" workbookViewId="0">
      <selection activeCell="B40" sqref="B40:B47"/>
    </sheetView>
  </sheetViews>
  <sheetFormatPr baseColWidth="10" defaultColWidth="8.83203125" defaultRowHeight="14"/>
  <cols>
    <col min="1" max="1" width="18.5" customWidth="1"/>
    <col min="2" max="2" width="11.5" customWidth="1"/>
    <col min="3" max="3" width="9" customWidth="1"/>
    <col min="4" max="6" width="9" bestFit="1" customWidth="1"/>
    <col min="7" max="8" width="14.1640625" bestFit="1" customWidth="1"/>
    <col min="9" max="9" width="9" bestFit="1" customWidth="1"/>
  </cols>
  <sheetData>
    <row r="1" spans="1:9">
      <c r="A1" s="113" t="s">
        <v>0</v>
      </c>
      <c r="B1" s="45"/>
      <c r="C1" s="45"/>
      <c r="D1" s="45"/>
      <c r="E1" s="45"/>
      <c r="F1" s="45"/>
      <c r="G1" s="38"/>
    </row>
    <row r="2" spans="1:9">
      <c r="A2" s="41" t="s">
        <v>1</v>
      </c>
      <c r="B2" s="2"/>
      <c r="C2" s="4"/>
      <c r="D2" s="4"/>
      <c r="E2" s="4"/>
      <c r="F2" s="2"/>
      <c r="G2" s="40"/>
    </row>
    <row r="3" spans="1:9">
      <c r="A3" s="41" t="s">
        <v>2</v>
      </c>
      <c r="B3" s="4" t="s">
        <v>3</v>
      </c>
      <c r="C3" s="4" t="s">
        <v>4</v>
      </c>
      <c r="D3" s="4" t="s">
        <v>5</v>
      </c>
      <c r="E3" s="4" t="s">
        <v>6</v>
      </c>
      <c r="F3" s="2" t="s">
        <v>14</v>
      </c>
      <c r="G3" s="40" t="s">
        <v>15</v>
      </c>
    </row>
    <row r="4" spans="1:9">
      <c r="A4" s="42">
        <v>43358</v>
      </c>
      <c r="B4" s="12">
        <v>1.9</v>
      </c>
      <c r="C4" s="12">
        <v>1.89</v>
      </c>
      <c r="D4" s="12">
        <v>4.4999999999999998E-2</v>
      </c>
      <c r="E4" s="12">
        <v>1.9350000000000001</v>
      </c>
      <c r="F4" s="2">
        <v>99.028888888888886</v>
      </c>
      <c r="G4" s="40">
        <v>99.034000000000006</v>
      </c>
    </row>
    <row r="5" spans="1:9">
      <c r="A5" s="42">
        <v>43539</v>
      </c>
      <c r="B5" s="12">
        <v>1.978</v>
      </c>
      <c r="C5" s="12">
        <v>1.968</v>
      </c>
      <c r="D5" s="12">
        <v>8.0000000000000002E-3</v>
      </c>
      <c r="E5" s="12">
        <v>2.0339999999999998</v>
      </c>
      <c r="F5" s="2">
        <v>97.994527777777776</v>
      </c>
      <c r="G5" s="40">
        <v>98.031999999999996</v>
      </c>
    </row>
    <row r="6" spans="1:9">
      <c r="A6" s="46"/>
      <c r="B6" s="2"/>
      <c r="C6" s="2"/>
      <c r="D6" s="2"/>
      <c r="E6" s="2"/>
      <c r="F6" s="2"/>
      <c r="G6" s="40"/>
    </row>
    <row r="7" spans="1:9">
      <c r="A7" s="41" t="s">
        <v>8</v>
      </c>
      <c r="B7" s="4"/>
      <c r="C7" s="4"/>
      <c r="D7" s="4"/>
      <c r="E7" s="4"/>
      <c r="F7" s="4"/>
      <c r="G7" s="40"/>
    </row>
    <row r="8" spans="1:9">
      <c r="A8" s="41" t="s">
        <v>2</v>
      </c>
      <c r="B8" s="4" t="s">
        <v>9</v>
      </c>
      <c r="C8" s="8" t="s">
        <v>3</v>
      </c>
      <c r="D8" s="8" t="s">
        <v>4</v>
      </c>
      <c r="E8" s="4" t="s">
        <v>5</v>
      </c>
      <c r="F8" s="4" t="s">
        <v>10</v>
      </c>
      <c r="G8" s="40"/>
    </row>
    <row r="9" spans="1:9">
      <c r="A9" s="42">
        <v>43723</v>
      </c>
      <c r="B9" s="12">
        <v>0.875</v>
      </c>
      <c r="C9" s="12">
        <v>98.046899999999994</v>
      </c>
      <c r="D9" s="12">
        <v>98.0625</v>
      </c>
      <c r="E9" s="12">
        <v>1.5599999999999999E-2</v>
      </c>
      <c r="F9" s="12">
        <v>2.1949999999999998</v>
      </c>
      <c r="G9" s="114">
        <v>1.5</v>
      </c>
    </row>
    <row r="10" spans="1:9">
      <c r="A10" s="42">
        <v>43905</v>
      </c>
      <c r="B10" s="12">
        <v>1.625</v>
      </c>
      <c r="C10" s="12">
        <v>98.710899999999995</v>
      </c>
      <c r="D10" s="12">
        <v>98.726600000000005</v>
      </c>
      <c r="E10" s="12">
        <v>7.7999999999999996E-3</v>
      </c>
      <c r="F10" s="12">
        <v>2.2799999999999998</v>
      </c>
      <c r="G10" s="114">
        <v>2</v>
      </c>
    </row>
    <row r="11" spans="1:9">
      <c r="A11" s="42">
        <v>44089</v>
      </c>
      <c r="B11" s="12">
        <v>1.375</v>
      </c>
      <c r="C11" s="12">
        <v>97.648399999999995</v>
      </c>
      <c r="D11" s="12">
        <v>97.664100000000005</v>
      </c>
      <c r="E11" s="12">
        <v>1.5599999999999999E-2</v>
      </c>
      <c r="F11" s="12">
        <v>2.343</v>
      </c>
      <c r="G11" s="114">
        <v>2.5</v>
      </c>
    </row>
    <row r="12" spans="1:9">
      <c r="A12" s="42">
        <v>44270</v>
      </c>
      <c r="B12" s="12">
        <v>2.375</v>
      </c>
      <c r="C12" s="12">
        <v>99.898399999999995</v>
      </c>
      <c r="D12" s="12">
        <v>99.914100000000005</v>
      </c>
      <c r="E12" s="12">
        <v>4.6899999999999997E-2</v>
      </c>
      <c r="F12" s="12">
        <v>2.4049999999999998</v>
      </c>
      <c r="G12" s="114">
        <v>3</v>
      </c>
    </row>
    <row r="13" spans="1:9">
      <c r="A13" s="42">
        <v>44454</v>
      </c>
      <c r="B13" s="12">
        <v>1.125</v>
      </c>
      <c r="C13" s="12">
        <v>95.382800000000003</v>
      </c>
      <c r="D13" s="12">
        <v>95.398399999999995</v>
      </c>
      <c r="E13" s="12">
        <v>5.4699999999999999E-2</v>
      </c>
      <c r="F13" s="12">
        <v>2.4900000000000002</v>
      </c>
      <c r="G13" s="114">
        <v>3.5</v>
      </c>
    </row>
    <row r="14" spans="1:9">
      <c r="A14" s="43">
        <v>44635</v>
      </c>
      <c r="B14" s="44">
        <v>1.75</v>
      </c>
      <c r="C14" s="44">
        <v>97</v>
      </c>
      <c r="D14" s="44">
        <v>97.015600000000006</v>
      </c>
      <c r="E14" s="44">
        <v>7.8100000000000003E-2</v>
      </c>
      <c r="F14" s="44">
        <v>2.5310000000000001</v>
      </c>
      <c r="G14" s="115">
        <v>4</v>
      </c>
    </row>
    <row r="15" spans="1:9">
      <c r="B15" s="16"/>
    </row>
    <row r="16" spans="1:9" ht="28">
      <c r="A16" s="105" t="s">
        <v>124</v>
      </c>
      <c r="B16" s="106"/>
      <c r="C16" s="47"/>
      <c r="D16" s="47"/>
      <c r="E16" s="47"/>
      <c r="F16" s="47"/>
      <c r="G16" s="47"/>
      <c r="H16" s="47"/>
      <c r="I16" s="48"/>
    </row>
    <row r="17" spans="1:12">
      <c r="A17" s="107"/>
      <c r="B17" s="108">
        <v>0.5</v>
      </c>
      <c r="C17" s="108">
        <v>1</v>
      </c>
      <c r="D17" s="108">
        <v>1.5</v>
      </c>
      <c r="E17" s="108">
        <v>2</v>
      </c>
      <c r="F17" s="108">
        <v>2.5</v>
      </c>
      <c r="G17" s="108">
        <v>3</v>
      </c>
      <c r="H17" s="108">
        <v>3.5</v>
      </c>
      <c r="I17" s="109">
        <v>4</v>
      </c>
    </row>
    <row r="18" spans="1:12">
      <c r="A18" s="107">
        <v>0.5</v>
      </c>
      <c r="B18" s="108">
        <v>100</v>
      </c>
      <c r="C18" s="108">
        <v>0</v>
      </c>
      <c r="D18" s="108">
        <v>0</v>
      </c>
      <c r="E18" s="108">
        <v>0</v>
      </c>
      <c r="F18" s="108">
        <v>0</v>
      </c>
      <c r="G18" s="108">
        <v>0</v>
      </c>
      <c r="H18" s="108">
        <v>0</v>
      </c>
      <c r="I18" s="109">
        <v>0</v>
      </c>
    </row>
    <row r="19" spans="1:12">
      <c r="A19" s="107">
        <v>1</v>
      </c>
      <c r="B19" s="108">
        <v>0</v>
      </c>
      <c r="C19" s="108">
        <v>100</v>
      </c>
      <c r="D19" s="108">
        <v>0</v>
      </c>
      <c r="E19" s="108">
        <v>0</v>
      </c>
      <c r="F19" s="108">
        <v>0</v>
      </c>
      <c r="G19" s="108">
        <v>0</v>
      </c>
      <c r="H19" s="108">
        <v>0</v>
      </c>
      <c r="I19" s="109">
        <v>0</v>
      </c>
    </row>
    <row r="20" spans="1:12">
      <c r="A20" s="107">
        <v>1.5</v>
      </c>
      <c r="B20" s="108">
        <f>$B$9/2</f>
        <v>0.4375</v>
      </c>
      <c r="C20" s="108">
        <f>$B$9/2</f>
        <v>0.4375</v>
      </c>
      <c r="D20" s="108">
        <f>100+B9/2</f>
        <v>100.4375</v>
      </c>
      <c r="E20" s="108">
        <v>0</v>
      </c>
      <c r="F20" s="108">
        <v>0</v>
      </c>
      <c r="G20" s="108">
        <v>0</v>
      </c>
      <c r="H20" s="108">
        <v>0</v>
      </c>
      <c r="I20" s="109">
        <v>0</v>
      </c>
    </row>
    <row r="21" spans="1:12">
      <c r="A21" s="107">
        <v>2</v>
      </c>
      <c r="B21" s="108">
        <f>$B$10/2</f>
        <v>0.8125</v>
      </c>
      <c r="C21" s="108">
        <f t="shared" ref="C21" si="0">$B$10/2</f>
        <v>0.8125</v>
      </c>
      <c r="D21" s="108">
        <f>$B$10/2</f>
        <v>0.8125</v>
      </c>
      <c r="E21" s="108">
        <f>100+B10/2</f>
        <v>100.8125</v>
      </c>
      <c r="F21" s="108">
        <v>0</v>
      </c>
      <c r="G21" s="108">
        <v>0</v>
      </c>
      <c r="H21" s="108">
        <v>0</v>
      </c>
      <c r="I21" s="109">
        <v>0</v>
      </c>
    </row>
    <row r="22" spans="1:12">
      <c r="A22" s="107">
        <v>2.5</v>
      </c>
      <c r="B22" s="108">
        <f>$B$11/2</f>
        <v>0.6875</v>
      </c>
      <c r="C22" s="108">
        <f t="shared" ref="C22:E22" si="1">$B$11/2</f>
        <v>0.6875</v>
      </c>
      <c r="D22" s="108">
        <f t="shared" si="1"/>
        <v>0.6875</v>
      </c>
      <c r="E22" s="108">
        <f t="shared" si="1"/>
        <v>0.6875</v>
      </c>
      <c r="F22" s="108">
        <f>100+B11/2</f>
        <v>100.6875</v>
      </c>
      <c r="G22" s="108">
        <v>0</v>
      </c>
      <c r="H22" s="108">
        <v>0</v>
      </c>
      <c r="I22" s="109">
        <v>0</v>
      </c>
    </row>
    <row r="23" spans="1:12">
      <c r="A23" s="107">
        <v>3</v>
      </c>
      <c r="B23" s="108">
        <f>$B$12/2</f>
        <v>1.1875</v>
      </c>
      <c r="C23" s="108">
        <f t="shared" ref="C23:F23" si="2">$B$12/2</f>
        <v>1.1875</v>
      </c>
      <c r="D23" s="108">
        <f t="shared" si="2"/>
        <v>1.1875</v>
      </c>
      <c r="E23" s="108">
        <f t="shared" si="2"/>
        <v>1.1875</v>
      </c>
      <c r="F23" s="108">
        <f t="shared" si="2"/>
        <v>1.1875</v>
      </c>
      <c r="G23" s="108">
        <f>100+B12/2</f>
        <v>101.1875</v>
      </c>
      <c r="H23" s="108">
        <v>0</v>
      </c>
      <c r="I23" s="109">
        <v>0</v>
      </c>
    </row>
    <row r="24" spans="1:12">
      <c r="A24" s="107">
        <v>3.5</v>
      </c>
      <c r="B24" s="108">
        <f>$B$13/2</f>
        <v>0.5625</v>
      </c>
      <c r="C24" s="108">
        <f t="shared" ref="C24:G24" si="3">$B$13/2</f>
        <v>0.5625</v>
      </c>
      <c r="D24" s="108">
        <f t="shared" si="3"/>
        <v>0.5625</v>
      </c>
      <c r="E24" s="108">
        <f t="shared" si="3"/>
        <v>0.5625</v>
      </c>
      <c r="F24" s="108">
        <f t="shared" si="3"/>
        <v>0.5625</v>
      </c>
      <c r="G24" s="108">
        <f t="shared" si="3"/>
        <v>0.5625</v>
      </c>
      <c r="H24" s="108">
        <f>100+B13/2</f>
        <v>100.5625</v>
      </c>
      <c r="I24" s="109">
        <v>0</v>
      </c>
    </row>
    <row r="25" spans="1:12">
      <c r="A25" s="110">
        <v>4</v>
      </c>
      <c r="B25" s="111">
        <f>$B$14/2</f>
        <v>0.875</v>
      </c>
      <c r="C25" s="111">
        <f t="shared" ref="C25:H25" si="4">$B$14/2</f>
        <v>0.875</v>
      </c>
      <c r="D25" s="111">
        <f t="shared" si="4"/>
        <v>0.875</v>
      </c>
      <c r="E25" s="111">
        <f t="shared" si="4"/>
        <v>0.875</v>
      </c>
      <c r="F25" s="111">
        <f t="shared" si="4"/>
        <v>0.875</v>
      </c>
      <c r="G25" s="111">
        <f t="shared" si="4"/>
        <v>0.875</v>
      </c>
      <c r="H25" s="111">
        <f t="shared" si="4"/>
        <v>0.875</v>
      </c>
      <c r="I25" s="112">
        <f>100+B14/2</f>
        <v>100.875</v>
      </c>
    </row>
    <row r="26" spans="1:12">
      <c r="A26" s="15"/>
      <c r="B26" s="9"/>
    </row>
    <row r="27" spans="1:12">
      <c r="A27" s="15"/>
      <c r="B27" s="9"/>
    </row>
    <row r="28" spans="1:12">
      <c r="A28" s="105" t="s">
        <v>17</v>
      </c>
      <c r="B28" s="47"/>
      <c r="C28" s="47"/>
      <c r="D28" s="47"/>
      <c r="E28" s="47"/>
      <c r="F28" s="47"/>
      <c r="G28" s="47"/>
      <c r="H28" s="47"/>
      <c r="I28" s="48"/>
      <c r="K28" s="98" t="s">
        <v>18</v>
      </c>
      <c r="L28" s="98"/>
    </row>
    <row r="29" spans="1:12">
      <c r="A29" s="116">
        <v>99.034000000000006</v>
      </c>
      <c r="B29" s="12">
        <f t="array" ref="B29:I36">MINVERSE(B18:I25)</f>
        <v>0.01</v>
      </c>
      <c r="C29" s="14">
        <v>0</v>
      </c>
      <c r="D29" s="14">
        <v>0</v>
      </c>
      <c r="E29" s="14">
        <v>0</v>
      </c>
      <c r="F29" s="14">
        <v>0</v>
      </c>
      <c r="G29" s="14">
        <v>0</v>
      </c>
      <c r="H29" s="14">
        <v>0</v>
      </c>
      <c r="I29" s="69">
        <v>0</v>
      </c>
      <c r="K29" s="91">
        <f t="array" ref="K29:K36">MMULT(B29:I36,A29:A36)</f>
        <v>0.99034000000000011</v>
      </c>
      <c r="L29" s="91"/>
    </row>
    <row r="30" spans="1:12">
      <c r="A30" s="116">
        <v>98.031999999999996</v>
      </c>
      <c r="B30" s="14">
        <v>0</v>
      </c>
      <c r="C30" s="14">
        <v>0.01</v>
      </c>
      <c r="D30" s="14">
        <v>0</v>
      </c>
      <c r="E30" s="14">
        <v>0</v>
      </c>
      <c r="F30" s="14">
        <v>0</v>
      </c>
      <c r="G30" s="14">
        <v>0</v>
      </c>
      <c r="H30" s="14">
        <v>0</v>
      </c>
      <c r="I30" s="69">
        <v>0</v>
      </c>
      <c r="K30" s="91">
        <v>0.98031999999999997</v>
      </c>
      <c r="L30" s="91"/>
    </row>
    <row r="31" spans="1:12">
      <c r="A31" s="116">
        <f>D9</f>
        <v>98.0625</v>
      </c>
      <c r="B31" s="14">
        <v>-4.3559427504667084E-5</v>
      </c>
      <c r="C31" s="14">
        <v>-4.3559427504667084E-5</v>
      </c>
      <c r="D31" s="14">
        <v>9.9564405724953328E-3</v>
      </c>
      <c r="E31" s="14">
        <v>0</v>
      </c>
      <c r="F31" s="14">
        <v>0</v>
      </c>
      <c r="G31" s="14">
        <v>0</v>
      </c>
      <c r="H31" s="14">
        <v>0</v>
      </c>
      <c r="I31" s="69">
        <v>0</v>
      </c>
      <c r="K31" s="91">
        <v>0.96776937149968878</v>
      </c>
      <c r="L31" s="91"/>
    </row>
    <row r="32" spans="1:12">
      <c r="A32" s="116">
        <f t="shared" ref="A32:A36" si="5">D10</f>
        <v>98.726600000000005</v>
      </c>
      <c r="B32" s="14">
        <v>-8.0244096368530275E-5</v>
      </c>
      <c r="C32" s="14">
        <v>-8.0244096368530275E-5</v>
      </c>
      <c r="D32" s="14">
        <v>-8.0244096368530275E-5</v>
      </c>
      <c r="E32" s="14">
        <v>9.9194048357098569E-3</v>
      </c>
      <c r="F32" s="14">
        <v>0</v>
      </c>
      <c r="G32" s="14">
        <v>0</v>
      </c>
      <c r="H32" s="14">
        <v>0</v>
      </c>
      <c r="I32" s="69">
        <v>0</v>
      </c>
      <c r="K32" s="91">
        <v>0.955626793658093</v>
      </c>
      <c r="L32" s="91"/>
    </row>
    <row r="33" spans="1:15">
      <c r="A33" s="116">
        <f t="shared" si="5"/>
        <v>97.664100000000005</v>
      </c>
      <c r="B33" s="14">
        <v>-6.7435233542765266E-5</v>
      </c>
      <c r="C33" s="14">
        <v>-6.7435233542765266E-5</v>
      </c>
      <c r="D33" s="14">
        <v>-6.7435233542765266E-5</v>
      </c>
      <c r="E33" s="14">
        <v>-6.7730262689514852E-5</v>
      </c>
      <c r="F33" s="14">
        <v>9.9317194289261328E-3</v>
      </c>
      <c r="G33" s="14">
        <v>0</v>
      </c>
      <c r="H33" s="14">
        <v>0</v>
      </c>
      <c r="I33" s="69">
        <v>0</v>
      </c>
      <c r="K33" s="91">
        <v>0.9433836016035162</v>
      </c>
      <c r="L33" s="91"/>
    </row>
    <row r="34" spans="1:15">
      <c r="A34" s="116">
        <f t="shared" si="5"/>
        <v>99.914100000000005</v>
      </c>
      <c r="B34" s="14">
        <v>-1.1511208376102328E-4</v>
      </c>
      <c r="C34" s="14">
        <v>-1.1511208376102328E-4</v>
      </c>
      <c r="D34" s="14">
        <v>-1.1511208376102328E-4</v>
      </c>
      <c r="E34" s="14">
        <v>-1.1561569912747778E-4</v>
      </c>
      <c r="F34" s="14">
        <v>-1.1655507668288853E-4</v>
      </c>
      <c r="G34" s="14">
        <v>9.8826436071649173E-3</v>
      </c>
      <c r="H34" s="14">
        <v>0</v>
      </c>
      <c r="I34" s="69">
        <v>0</v>
      </c>
      <c r="K34" s="91">
        <v>0.93064499347222707</v>
      </c>
      <c r="L34" s="91"/>
    </row>
    <row r="35" spans="1:15">
      <c r="A35" s="116">
        <f t="shared" si="5"/>
        <v>95.398399999999995</v>
      </c>
      <c r="B35" s="14">
        <v>-5.4221779011440101E-5</v>
      </c>
      <c r="C35" s="14">
        <v>-5.4221779011440101E-5</v>
      </c>
      <c r="D35" s="14">
        <v>-5.4221779011440107E-5</v>
      </c>
      <c r="E35" s="14">
        <v>-5.4458999294615148E-5</v>
      </c>
      <c r="F35" s="14">
        <v>-5.4901478663883908E-5</v>
      </c>
      <c r="G35" s="14">
        <v>-5.5278926329698103E-5</v>
      </c>
      <c r="H35" s="14">
        <v>9.9440646364201361E-3</v>
      </c>
      <c r="I35" s="69">
        <v>0</v>
      </c>
      <c r="K35" s="91">
        <v>0.9163838639887496</v>
      </c>
      <c r="L35" s="91"/>
    </row>
    <row r="36" spans="1:15">
      <c r="A36" s="117">
        <f t="shared" si="5"/>
        <v>97.015600000000006</v>
      </c>
      <c r="B36" s="70">
        <v>-8.3613372563421358E-5</v>
      </c>
      <c r="C36" s="70">
        <v>-8.3613372563421358E-5</v>
      </c>
      <c r="D36" s="70">
        <v>-8.3613372563421358E-5</v>
      </c>
      <c r="E36" s="70">
        <v>-8.3979181068386308E-5</v>
      </c>
      <c r="F36" s="70">
        <v>-8.4661511914566938E-5</v>
      </c>
      <c r="G36" s="70">
        <v>-8.5243559808979592E-5</v>
      </c>
      <c r="H36" s="70">
        <v>-8.6255827081711231E-5</v>
      </c>
      <c r="I36" s="71">
        <v>9.9132589838909543E-3</v>
      </c>
      <c r="K36" s="91">
        <v>0.90375900821616373</v>
      </c>
      <c r="L36" s="91"/>
    </row>
    <row r="37" spans="1:15">
      <c r="A37" s="15"/>
    </row>
    <row r="39" spans="1:15" ht="16">
      <c r="A39" s="99" t="s">
        <v>112</v>
      </c>
      <c r="B39" s="100"/>
      <c r="C39" s="103" t="s">
        <v>113</v>
      </c>
      <c r="D39" s="104"/>
      <c r="E39" s="104"/>
      <c r="F39" s="104"/>
      <c r="G39" s="104"/>
      <c r="H39" s="104"/>
      <c r="I39" s="104"/>
      <c r="J39" s="104"/>
      <c r="K39" s="104"/>
      <c r="L39" s="104"/>
      <c r="M39" s="104"/>
      <c r="N39" s="104"/>
      <c r="O39" s="100"/>
    </row>
    <row r="40" spans="1:15" ht="16">
      <c r="A40" s="101" t="s">
        <v>114</v>
      </c>
      <c r="B40" s="80">
        <v>0.99034000000000011</v>
      </c>
      <c r="C40" s="198" t="s">
        <v>122</v>
      </c>
      <c r="D40" s="199"/>
      <c r="E40" s="199"/>
      <c r="F40" s="199"/>
      <c r="G40" s="199"/>
      <c r="H40" s="199"/>
      <c r="I40" s="199"/>
      <c r="J40" s="199"/>
      <c r="K40" s="199"/>
      <c r="L40" s="199"/>
      <c r="M40" s="199"/>
      <c r="N40" s="199"/>
      <c r="O40" s="200"/>
    </row>
    <row r="41" spans="1:15" ht="16">
      <c r="A41" s="101" t="s">
        <v>115</v>
      </c>
      <c r="B41" s="80">
        <v>0.98031999999999997</v>
      </c>
      <c r="C41" s="201" t="s">
        <v>123</v>
      </c>
      <c r="D41" s="202"/>
      <c r="E41" s="202"/>
      <c r="F41" s="202"/>
      <c r="G41" s="202"/>
      <c r="H41" s="202"/>
      <c r="I41" s="202"/>
      <c r="J41" s="202"/>
      <c r="K41" s="86"/>
      <c r="L41" s="86"/>
      <c r="M41" s="86"/>
      <c r="N41" s="86"/>
      <c r="O41" s="88"/>
    </row>
    <row r="42" spans="1:15" ht="16">
      <c r="A42" s="101" t="s">
        <v>116</v>
      </c>
      <c r="B42" s="80">
        <v>0.96776845675171119</v>
      </c>
    </row>
    <row r="43" spans="1:15" ht="16">
      <c r="A43" s="101" t="s">
        <v>117</v>
      </c>
      <c r="B43" s="80">
        <v>0.95562510853206928</v>
      </c>
    </row>
    <row r="44" spans="1:15" ht="16">
      <c r="A44" s="101" t="s">
        <v>118</v>
      </c>
      <c r="B44" s="80">
        <v>0.94338218546361174</v>
      </c>
    </row>
    <row r="45" spans="1:15" ht="16">
      <c r="A45" s="101" t="s">
        <v>119</v>
      </c>
      <c r="B45" s="80">
        <v>0.93064257611846801</v>
      </c>
    </row>
    <row r="46" spans="1:15" ht="16">
      <c r="A46" s="101" t="s">
        <v>120</v>
      </c>
      <c r="B46" s="80">
        <v>0.91638272533139042</v>
      </c>
    </row>
    <row r="47" spans="1:15" ht="16">
      <c r="A47" s="102" t="s">
        <v>121</v>
      </c>
      <c r="B47" s="88">
        <v>0.90375725233533999</v>
      </c>
    </row>
  </sheetData>
  <mergeCells count="2">
    <mergeCell ref="C40:O40"/>
    <mergeCell ref="C41:J4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0"/>
  <sheetViews>
    <sheetView workbookViewId="0">
      <selection activeCell="R3" sqref="R3:R4"/>
    </sheetView>
  </sheetViews>
  <sheetFormatPr baseColWidth="10" defaultColWidth="8.83203125" defaultRowHeight="14"/>
  <cols>
    <col min="1" max="1" width="19.1640625" customWidth="1"/>
    <col min="2" max="2" width="11.5" customWidth="1"/>
    <col min="4" max="4" width="11.5" customWidth="1"/>
    <col min="6" max="7" width="13.1640625" customWidth="1"/>
    <col min="18" max="18" width="13" bestFit="1" customWidth="1"/>
  </cols>
  <sheetData>
    <row r="1" spans="1:18">
      <c r="A1" s="118" t="s">
        <v>1</v>
      </c>
      <c r="B1" s="45"/>
      <c r="C1" s="37"/>
      <c r="D1" s="37"/>
      <c r="E1" s="37"/>
      <c r="F1" s="38"/>
      <c r="G1" s="2"/>
      <c r="I1" t="s">
        <v>124</v>
      </c>
    </row>
    <row r="2" spans="1:18">
      <c r="A2" s="41" t="s">
        <v>2</v>
      </c>
      <c r="B2" s="4" t="s">
        <v>3</v>
      </c>
      <c r="C2" s="4" t="s">
        <v>4</v>
      </c>
      <c r="D2" s="4" t="s">
        <v>5</v>
      </c>
      <c r="E2" s="4" t="s">
        <v>6</v>
      </c>
      <c r="F2" s="40" t="s">
        <v>19</v>
      </c>
      <c r="G2" s="2"/>
      <c r="J2" s="19">
        <v>0.5</v>
      </c>
      <c r="K2" s="19">
        <v>1</v>
      </c>
      <c r="L2" s="19">
        <v>1.5</v>
      </c>
      <c r="M2" s="19">
        <v>2</v>
      </c>
      <c r="N2" s="19">
        <v>2.5</v>
      </c>
      <c r="O2" s="19">
        <v>3</v>
      </c>
      <c r="P2" s="19">
        <v>3.5</v>
      </c>
      <c r="Q2" s="19">
        <v>4</v>
      </c>
      <c r="R2" s="20" t="s">
        <v>17</v>
      </c>
    </row>
    <row r="3" spans="1:18">
      <c r="A3" s="42">
        <v>43358</v>
      </c>
      <c r="B3" s="12">
        <v>1.9</v>
      </c>
      <c r="C3" s="12">
        <v>1.89</v>
      </c>
      <c r="D3" s="12">
        <v>4.4999999999999998E-2</v>
      </c>
      <c r="E3" s="12">
        <v>1.9350000000000001</v>
      </c>
      <c r="F3" s="119">
        <f>99.055</f>
        <v>99.055000000000007</v>
      </c>
      <c r="G3" s="25"/>
      <c r="I3">
        <v>0.5</v>
      </c>
      <c r="J3">
        <v>100</v>
      </c>
      <c r="K3">
        <v>0</v>
      </c>
      <c r="L3">
        <v>0</v>
      </c>
      <c r="M3">
        <v>0</v>
      </c>
      <c r="N3">
        <v>0</v>
      </c>
      <c r="O3">
        <v>0</v>
      </c>
      <c r="P3">
        <v>0</v>
      </c>
      <c r="Q3">
        <v>0</v>
      </c>
      <c r="R3">
        <v>99.034000000000006</v>
      </c>
    </row>
    <row r="4" spans="1:18">
      <c r="A4" s="42">
        <v>43539</v>
      </c>
      <c r="B4" s="12">
        <v>1.978</v>
      </c>
      <c r="C4" s="12">
        <v>1.968</v>
      </c>
      <c r="D4" s="12">
        <v>8.0000000000000002E-3</v>
      </c>
      <c r="E4" s="12">
        <v>2.0339999999999998</v>
      </c>
      <c r="F4" s="40">
        <v>98.031999999999996</v>
      </c>
      <c r="G4" s="2"/>
      <c r="I4">
        <v>1</v>
      </c>
      <c r="J4">
        <v>0</v>
      </c>
      <c r="K4">
        <v>100</v>
      </c>
      <c r="L4">
        <v>0</v>
      </c>
      <c r="M4">
        <v>0</v>
      </c>
      <c r="N4">
        <v>0</v>
      </c>
      <c r="O4">
        <v>0</v>
      </c>
      <c r="P4">
        <v>0</v>
      </c>
      <c r="Q4">
        <v>0</v>
      </c>
      <c r="R4">
        <v>98.031999999999996</v>
      </c>
    </row>
    <row r="5" spans="1:18">
      <c r="A5" s="46"/>
      <c r="B5" s="2"/>
      <c r="C5" s="2"/>
      <c r="D5" s="2"/>
      <c r="E5" s="2"/>
      <c r="F5" s="40"/>
      <c r="G5" s="2"/>
      <c r="I5">
        <v>1.5</v>
      </c>
      <c r="J5">
        <v>0.4375</v>
      </c>
      <c r="K5">
        <v>0.4375</v>
      </c>
      <c r="L5">
        <v>100.4375</v>
      </c>
      <c r="M5">
        <v>0</v>
      </c>
      <c r="N5">
        <v>0</v>
      </c>
      <c r="O5">
        <v>0</v>
      </c>
      <c r="P5">
        <v>0</v>
      </c>
      <c r="Q5">
        <v>0</v>
      </c>
      <c r="R5">
        <v>98.0625</v>
      </c>
    </row>
    <row r="6" spans="1:18">
      <c r="A6" s="41" t="s">
        <v>8</v>
      </c>
      <c r="B6" s="4"/>
      <c r="C6" s="4"/>
      <c r="D6" s="4"/>
      <c r="E6" s="4"/>
      <c r="F6" s="49"/>
      <c r="G6" s="4"/>
      <c r="I6">
        <v>2</v>
      </c>
      <c r="J6">
        <v>0.8125</v>
      </c>
      <c r="K6">
        <v>0.8125</v>
      </c>
      <c r="L6">
        <v>0.8125</v>
      </c>
      <c r="M6">
        <v>100.8125</v>
      </c>
      <c r="N6">
        <v>0</v>
      </c>
      <c r="O6">
        <v>0</v>
      </c>
      <c r="P6">
        <v>0</v>
      </c>
      <c r="Q6">
        <v>0</v>
      </c>
      <c r="R6">
        <v>98.726600000000005</v>
      </c>
    </row>
    <row r="7" spans="1:18">
      <c r="A7" s="41" t="s">
        <v>2</v>
      </c>
      <c r="B7" s="4" t="s">
        <v>9</v>
      </c>
      <c r="C7" s="8" t="s">
        <v>3</v>
      </c>
      <c r="D7" s="8" t="s">
        <v>4</v>
      </c>
      <c r="E7" s="4" t="s">
        <v>5</v>
      </c>
      <c r="F7" s="49" t="s">
        <v>10</v>
      </c>
      <c r="G7" s="4"/>
      <c r="I7">
        <v>2.5</v>
      </c>
      <c r="J7">
        <v>0.6875</v>
      </c>
      <c r="K7">
        <v>0.6875</v>
      </c>
      <c r="L7">
        <v>0.6875</v>
      </c>
      <c r="M7">
        <v>0.6875</v>
      </c>
      <c r="N7">
        <v>100.6875</v>
      </c>
      <c r="O7">
        <v>0</v>
      </c>
      <c r="P7">
        <v>0</v>
      </c>
      <c r="Q7">
        <v>0</v>
      </c>
      <c r="R7">
        <v>97.664100000000005</v>
      </c>
    </row>
    <row r="8" spans="1:18">
      <c r="A8" s="42">
        <v>43723</v>
      </c>
      <c r="B8" s="12">
        <v>0.875</v>
      </c>
      <c r="C8" s="12">
        <v>98.046899999999994</v>
      </c>
      <c r="D8" s="12">
        <v>98.0625</v>
      </c>
      <c r="E8" s="12">
        <v>1.5599999999999999E-2</v>
      </c>
      <c r="F8" s="120">
        <v>2.1949999999999998</v>
      </c>
      <c r="G8" s="12"/>
      <c r="I8">
        <v>3</v>
      </c>
      <c r="J8">
        <v>1.1875</v>
      </c>
      <c r="K8">
        <v>1.1875</v>
      </c>
      <c r="L8">
        <v>1.1875</v>
      </c>
      <c r="M8">
        <v>1.1875</v>
      </c>
      <c r="N8">
        <v>1.1875</v>
      </c>
      <c r="O8">
        <v>101.1875</v>
      </c>
      <c r="P8">
        <v>0</v>
      </c>
      <c r="Q8">
        <v>0</v>
      </c>
      <c r="R8">
        <v>99.914100000000005</v>
      </c>
    </row>
    <row r="9" spans="1:18">
      <c r="A9" s="42">
        <v>43905</v>
      </c>
      <c r="B9" s="12">
        <v>1.625</v>
      </c>
      <c r="C9" s="12">
        <v>98.710899999999995</v>
      </c>
      <c r="D9" s="12">
        <v>98.726600000000005</v>
      </c>
      <c r="E9" s="12">
        <v>7.7999999999999996E-3</v>
      </c>
      <c r="F9" s="120">
        <v>2.2799999999999998</v>
      </c>
      <c r="G9" s="12"/>
      <c r="I9">
        <v>3.5</v>
      </c>
      <c r="J9">
        <v>0.5625</v>
      </c>
      <c r="K9">
        <v>0.5625</v>
      </c>
      <c r="L9">
        <v>0.5625</v>
      </c>
      <c r="M9">
        <v>0.5625</v>
      </c>
      <c r="N9">
        <v>0.5625</v>
      </c>
      <c r="O9">
        <v>0.5625</v>
      </c>
      <c r="P9">
        <v>100.5625</v>
      </c>
      <c r="Q9">
        <v>0</v>
      </c>
      <c r="R9">
        <v>95.398399999999995</v>
      </c>
    </row>
    <row r="10" spans="1:18">
      <c r="A10" s="42">
        <v>44089</v>
      </c>
      <c r="B10" s="12">
        <v>1.375</v>
      </c>
      <c r="C10" s="12">
        <v>97.648399999999995</v>
      </c>
      <c r="D10" s="12">
        <v>97.664100000000005</v>
      </c>
      <c r="E10" s="12">
        <v>1.5599999999999999E-2</v>
      </c>
      <c r="F10" s="120">
        <v>2.343</v>
      </c>
      <c r="G10" s="12"/>
      <c r="I10">
        <v>4</v>
      </c>
      <c r="J10">
        <v>0.875</v>
      </c>
      <c r="K10">
        <v>0.875</v>
      </c>
      <c r="L10">
        <v>0.875</v>
      </c>
      <c r="M10">
        <v>0.875</v>
      </c>
      <c r="N10">
        <v>0.875</v>
      </c>
      <c r="O10">
        <v>0.875</v>
      </c>
      <c r="P10">
        <v>0.875</v>
      </c>
      <c r="Q10">
        <v>100.875</v>
      </c>
      <c r="R10">
        <v>97.015600000000006</v>
      </c>
    </row>
    <row r="11" spans="1:18">
      <c r="A11" s="42">
        <v>44270</v>
      </c>
      <c r="B11" s="12">
        <v>2.375</v>
      </c>
      <c r="C11" s="12">
        <v>99.898399999999995</v>
      </c>
      <c r="D11" s="12">
        <v>99.914100000000005</v>
      </c>
      <c r="E11" s="12">
        <v>4.6899999999999997E-2</v>
      </c>
      <c r="F11" s="120">
        <v>2.4049999999999998</v>
      </c>
      <c r="G11" s="12"/>
      <c r="I11" s="17">
        <v>0.5</v>
      </c>
      <c r="J11">
        <f>B19/2+100</f>
        <v>100.5</v>
      </c>
      <c r="K11" s="17">
        <v>0</v>
      </c>
      <c r="L11" s="17">
        <v>0</v>
      </c>
      <c r="M11" s="17">
        <v>0</v>
      </c>
      <c r="N11" s="17">
        <v>0</v>
      </c>
      <c r="O11" s="17">
        <v>0</v>
      </c>
      <c r="P11" s="17">
        <v>0</v>
      </c>
      <c r="Q11" s="17">
        <v>0</v>
      </c>
      <c r="R11" s="17">
        <f>D19</f>
        <v>99.539100000000005</v>
      </c>
    </row>
    <row r="12" spans="1:18">
      <c r="A12" s="42">
        <v>44454</v>
      </c>
      <c r="B12" s="12">
        <v>1.125</v>
      </c>
      <c r="C12" s="12">
        <v>95.382800000000003</v>
      </c>
      <c r="D12" s="12">
        <v>95.398399999999995</v>
      </c>
      <c r="E12" s="12">
        <v>5.4699999999999999E-2</v>
      </c>
      <c r="F12" s="120">
        <v>2.4900000000000002</v>
      </c>
      <c r="G12" s="12"/>
      <c r="I12" s="17">
        <v>1</v>
      </c>
      <c r="J12">
        <f>B20/2</f>
        <v>0.5</v>
      </c>
      <c r="K12">
        <f>B20/2+100</f>
        <v>100.5</v>
      </c>
      <c r="L12">
        <v>0</v>
      </c>
      <c r="M12">
        <v>0</v>
      </c>
      <c r="N12">
        <v>0</v>
      </c>
      <c r="O12">
        <v>0</v>
      </c>
      <c r="P12">
        <v>0</v>
      </c>
      <c r="Q12">
        <v>0</v>
      </c>
      <c r="R12" s="17">
        <f t="shared" ref="R12:R15" si="0">D20</f>
        <v>98.921899999999994</v>
      </c>
    </row>
    <row r="13" spans="1:18">
      <c r="A13" s="42">
        <v>44635</v>
      </c>
      <c r="B13" s="12">
        <v>1.75</v>
      </c>
      <c r="C13" s="12">
        <v>97</v>
      </c>
      <c r="D13" s="12">
        <v>97.015600000000006</v>
      </c>
      <c r="E13" s="12">
        <v>7.8100000000000003E-2</v>
      </c>
      <c r="F13" s="120">
        <v>2.5310000000000001</v>
      </c>
      <c r="G13" s="12"/>
      <c r="I13" s="17">
        <v>1.5</v>
      </c>
      <c r="J13">
        <f>$B$21/2</f>
        <v>0.5</v>
      </c>
      <c r="K13">
        <f>$B$21/2</f>
        <v>0.5</v>
      </c>
      <c r="L13">
        <f>B21/2+100</f>
        <v>100.5</v>
      </c>
      <c r="M13">
        <v>0</v>
      </c>
      <c r="N13">
        <v>0</v>
      </c>
      <c r="O13">
        <v>0</v>
      </c>
      <c r="P13">
        <v>0</v>
      </c>
      <c r="Q13">
        <v>0</v>
      </c>
      <c r="R13" s="17">
        <f t="shared" si="0"/>
        <v>98.203100000000006</v>
      </c>
    </row>
    <row r="14" spans="1:18">
      <c r="A14" s="46"/>
      <c r="B14" s="2"/>
      <c r="C14" s="2"/>
      <c r="D14" s="2"/>
      <c r="E14" s="2"/>
      <c r="F14" s="40"/>
      <c r="G14" s="2"/>
      <c r="I14" s="17">
        <v>2</v>
      </c>
      <c r="J14">
        <f>$B$22/2</f>
        <v>0.5625</v>
      </c>
      <c r="K14">
        <f t="shared" ref="K14:L14" si="1">$B$22/2</f>
        <v>0.5625</v>
      </c>
      <c r="L14">
        <f t="shared" si="1"/>
        <v>0.5625</v>
      </c>
      <c r="M14">
        <f>B22/2+100</f>
        <v>100.5625</v>
      </c>
      <c r="N14">
        <v>0</v>
      </c>
      <c r="O14">
        <v>0</v>
      </c>
      <c r="P14">
        <v>0</v>
      </c>
      <c r="Q14">
        <v>0</v>
      </c>
      <c r="R14" s="17">
        <f t="shared" si="0"/>
        <v>97.703100000000006</v>
      </c>
    </row>
    <row r="15" spans="1:18">
      <c r="A15" s="46"/>
      <c r="B15" s="2"/>
      <c r="C15" s="2"/>
      <c r="D15" s="2"/>
      <c r="E15" s="2"/>
      <c r="F15" s="40"/>
      <c r="G15" s="2"/>
      <c r="I15" s="17">
        <v>2</v>
      </c>
      <c r="J15">
        <f>$B$23/2</f>
        <v>0.6875</v>
      </c>
      <c r="K15">
        <f t="shared" ref="K15:L15" si="2">$B$23/2</f>
        <v>0.6875</v>
      </c>
      <c r="L15">
        <f t="shared" si="2"/>
        <v>0.6875</v>
      </c>
      <c r="M15">
        <f>B23/2+100</f>
        <v>100.6875</v>
      </c>
      <c r="N15">
        <v>0</v>
      </c>
      <c r="O15">
        <v>0</v>
      </c>
      <c r="P15">
        <v>0</v>
      </c>
      <c r="Q15">
        <v>0</v>
      </c>
      <c r="R15" s="17">
        <f t="shared" si="0"/>
        <v>98.1875</v>
      </c>
    </row>
    <row r="16" spans="1:18">
      <c r="A16" s="39" t="s">
        <v>11</v>
      </c>
      <c r="B16" s="2"/>
      <c r="C16" s="2"/>
      <c r="D16" s="2"/>
      <c r="E16" s="2"/>
      <c r="F16" s="40"/>
      <c r="G16" s="2"/>
    </row>
    <row r="17" spans="1:17">
      <c r="A17" s="41" t="s">
        <v>8</v>
      </c>
      <c r="B17" s="4"/>
      <c r="C17" s="4"/>
      <c r="D17" s="4"/>
      <c r="E17" s="4"/>
      <c r="F17" s="49"/>
      <c r="G17" s="4"/>
      <c r="I17" t="s">
        <v>21</v>
      </c>
    </row>
    <row r="18" spans="1:17" ht="15" thickBot="1">
      <c r="A18" s="41" t="s">
        <v>2</v>
      </c>
      <c r="B18" s="4" t="s">
        <v>9</v>
      </c>
      <c r="C18" s="8" t="s">
        <v>3</v>
      </c>
      <c r="D18" s="8" t="s">
        <v>4</v>
      </c>
      <c r="E18" s="4" t="s">
        <v>5</v>
      </c>
      <c r="F18" s="49" t="s">
        <v>10</v>
      </c>
      <c r="G18" s="4"/>
    </row>
    <row r="19" spans="1:17">
      <c r="A19" s="42">
        <v>43358</v>
      </c>
      <c r="B19" s="12">
        <v>1</v>
      </c>
      <c r="C19" s="12">
        <v>99.523399999999995</v>
      </c>
      <c r="D19" s="12">
        <v>99.539100000000005</v>
      </c>
      <c r="E19" s="13" t="s">
        <v>7</v>
      </c>
      <c r="F19" s="120">
        <v>1.931</v>
      </c>
      <c r="G19" s="12"/>
      <c r="I19" s="24" t="s">
        <v>22</v>
      </c>
      <c r="J19" s="24"/>
    </row>
    <row r="20" spans="1:17">
      <c r="A20" s="42">
        <v>43539</v>
      </c>
      <c r="B20" s="12">
        <v>1</v>
      </c>
      <c r="C20" s="12">
        <v>98.906300000000002</v>
      </c>
      <c r="D20" s="12">
        <v>98.921899999999994</v>
      </c>
      <c r="E20" s="12">
        <v>2.3400000000000001E-2</v>
      </c>
      <c r="F20" s="120">
        <v>2.0950000000000002</v>
      </c>
      <c r="G20" s="12"/>
      <c r="I20" s="21" t="s">
        <v>23</v>
      </c>
      <c r="J20" s="21">
        <v>0.9999999710094154</v>
      </c>
    </row>
    <row r="21" spans="1:17">
      <c r="A21" s="42">
        <v>43723</v>
      </c>
      <c r="B21" s="12">
        <v>1</v>
      </c>
      <c r="C21" s="12">
        <v>98.1875</v>
      </c>
      <c r="D21" s="12">
        <v>98.203100000000006</v>
      </c>
      <c r="E21" s="12">
        <v>7.7999999999999996E-3</v>
      </c>
      <c r="F21" s="120">
        <v>2.19</v>
      </c>
      <c r="G21" s="12"/>
      <c r="I21" s="21" t="s">
        <v>24</v>
      </c>
      <c r="J21" s="21">
        <v>0.99999994201883169</v>
      </c>
    </row>
    <row r="22" spans="1:17">
      <c r="A22" s="42">
        <v>43905</v>
      </c>
      <c r="B22" s="12">
        <v>1.125</v>
      </c>
      <c r="C22" s="12">
        <v>97.6875</v>
      </c>
      <c r="D22" s="12">
        <v>97.703100000000006</v>
      </c>
      <c r="E22" s="12">
        <v>1.5599999999999999E-2</v>
      </c>
      <c r="F22" s="120">
        <v>2.2810000000000001</v>
      </c>
      <c r="G22" s="12"/>
      <c r="I22" s="21" t="s">
        <v>25</v>
      </c>
      <c r="J22" s="21">
        <v>0.79999986084519603</v>
      </c>
    </row>
    <row r="23" spans="1:17">
      <c r="A23" s="43">
        <v>43905</v>
      </c>
      <c r="B23" s="44">
        <v>1.375</v>
      </c>
      <c r="C23" s="44">
        <v>98.171899999999994</v>
      </c>
      <c r="D23" s="44">
        <v>98.1875</v>
      </c>
      <c r="E23" s="44">
        <v>7.7999999999999996E-3</v>
      </c>
      <c r="F23" s="121">
        <v>2.2879999999999998</v>
      </c>
      <c r="G23" s="12"/>
      <c r="I23" s="21" t="s">
        <v>26</v>
      </c>
      <c r="J23" s="21">
        <v>3.8124319135715547E-2</v>
      </c>
    </row>
    <row r="24" spans="1:17" ht="15" thickBot="1">
      <c r="I24" s="22" t="s">
        <v>27</v>
      </c>
      <c r="J24" s="22">
        <v>13</v>
      </c>
    </row>
    <row r="25" spans="1:17" ht="16">
      <c r="A25" s="89" t="s">
        <v>125</v>
      </c>
      <c r="B25" s="91"/>
      <c r="C25" s="91"/>
      <c r="D25" s="91"/>
      <c r="E25" s="91"/>
      <c r="F25" s="91"/>
      <c r="G25" s="91"/>
    </row>
    <row r="26" spans="1:17" ht="15" thickBot="1">
      <c r="A26" s="91" t="s">
        <v>126</v>
      </c>
      <c r="B26" s="189">
        <v>0.99038870969982629</v>
      </c>
      <c r="C26" s="91"/>
      <c r="D26" s="91"/>
      <c r="E26" s="91"/>
      <c r="F26" s="91"/>
      <c r="G26" s="91"/>
      <c r="I26" t="s">
        <v>28</v>
      </c>
    </row>
    <row r="27" spans="1:17">
      <c r="A27" s="91" t="s">
        <v>127</v>
      </c>
      <c r="B27" s="189">
        <v>0.97984297639196738</v>
      </c>
      <c r="C27" s="91"/>
      <c r="D27" s="91"/>
      <c r="E27" s="91"/>
      <c r="F27" s="91"/>
      <c r="G27" s="91"/>
      <c r="I27" s="23"/>
      <c r="J27" s="23" t="s">
        <v>33</v>
      </c>
      <c r="K27" s="23" t="s">
        <v>34</v>
      </c>
      <c r="L27" s="23" t="s">
        <v>35</v>
      </c>
      <c r="M27" s="23" t="s">
        <v>36</v>
      </c>
      <c r="N27" s="23" t="s">
        <v>37</v>
      </c>
    </row>
    <row r="28" spans="1:17">
      <c r="A28" s="91" t="s">
        <v>128</v>
      </c>
      <c r="B28" s="189">
        <v>0.96755735730333814</v>
      </c>
      <c r="C28" s="91"/>
      <c r="D28" s="91"/>
      <c r="E28" s="91"/>
      <c r="F28" s="91"/>
      <c r="G28" s="91"/>
      <c r="I28" s="21" t="s">
        <v>29</v>
      </c>
      <c r="J28" s="21">
        <v>8</v>
      </c>
      <c r="K28" s="21">
        <v>125339.28402392147</v>
      </c>
      <c r="L28" s="21">
        <v>15667.410502990184</v>
      </c>
      <c r="M28" s="21">
        <v>10779361.328335309</v>
      </c>
      <c r="N28" s="21">
        <v>2.1515620147283533E-14</v>
      </c>
    </row>
    <row r="29" spans="1:17">
      <c r="A29" s="91" t="s">
        <v>129</v>
      </c>
      <c r="B29" s="189">
        <v>0.95529260486246803</v>
      </c>
      <c r="C29" s="91"/>
      <c r="D29" s="91"/>
      <c r="E29" s="91"/>
      <c r="F29" s="91"/>
      <c r="G29" s="91"/>
      <c r="I29" s="21" t="s">
        <v>30</v>
      </c>
      <c r="J29" s="21">
        <v>5</v>
      </c>
      <c r="K29" s="21">
        <v>7.2673185478094324E-3</v>
      </c>
      <c r="L29" s="21">
        <v>1.4534637095618866E-3</v>
      </c>
      <c r="M29" s="21"/>
      <c r="N29" s="21"/>
    </row>
    <row r="30" spans="1:17" ht="15" thickBot="1">
      <c r="A30" s="91" t="s">
        <v>130</v>
      </c>
      <c r="B30" s="189">
        <v>0.943390255660563</v>
      </c>
      <c r="C30" s="91"/>
      <c r="D30" s="91"/>
      <c r="E30" s="91"/>
      <c r="F30" s="91"/>
      <c r="G30" s="91"/>
      <c r="I30" s="22" t="s">
        <v>31</v>
      </c>
      <c r="J30" s="22">
        <v>13</v>
      </c>
      <c r="K30" s="22">
        <v>125339.29129124002</v>
      </c>
      <c r="L30" s="22"/>
      <c r="M30" s="22"/>
      <c r="N30" s="22"/>
    </row>
    <row r="31" spans="1:17" ht="15" thickBot="1">
      <c r="A31" s="91" t="s">
        <v>131</v>
      </c>
      <c r="B31" s="189">
        <v>0.9306563519614296</v>
      </c>
      <c r="C31" s="91"/>
      <c r="D31" s="91"/>
      <c r="E31" s="91"/>
      <c r="F31" s="91"/>
      <c r="G31" s="91"/>
    </row>
    <row r="32" spans="1:17">
      <c r="A32" s="91" t="s">
        <v>132</v>
      </c>
      <c r="B32" s="189">
        <v>0.91638921423063069</v>
      </c>
      <c r="C32" s="91"/>
      <c r="D32" s="91"/>
      <c r="E32" s="91"/>
      <c r="F32" s="91"/>
      <c r="G32" s="91"/>
      <c r="I32" s="23"/>
      <c r="J32" s="23" t="s">
        <v>38</v>
      </c>
      <c r="K32" s="23" t="s">
        <v>26</v>
      </c>
      <c r="L32" s="23" t="s">
        <v>39</v>
      </c>
      <c r="M32" s="23" t="s">
        <v>40</v>
      </c>
      <c r="N32" s="23" t="s">
        <v>41</v>
      </c>
      <c r="O32" s="23" t="s">
        <v>42</v>
      </c>
      <c r="P32" s="23" t="s">
        <v>43</v>
      </c>
      <c r="Q32" s="23" t="s">
        <v>44</v>
      </c>
    </row>
    <row r="33" spans="1:17">
      <c r="A33" s="91" t="s">
        <v>133</v>
      </c>
      <c r="B33" s="189">
        <v>0.90376725862357932</v>
      </c>
      <c r="C33" s="91"/>
      <c r="D33" s="91"/>
      <c r="E33" s="91"/>
      <c r="F33" s="91"/>
      <c r="G33" s="91"/>
      <c r="I33" s="21" t="s">
        <v>32</v>
      </c>
      <c r="J33" s="21">
        <v>0</v>
      </c>
      <c r="K33" s="21" t="e">
        <v>#N/A</v>
      </c>
      <c r="L33" s="21" t="e">
        <v>#N/A</v>
      </c>
      <c r="M33" s="21" t="e">
        <v>#N/A</v>
      </c>
      <c r="N33" s="21" t="e">
        <v>#N/A</v>
      </c>
      <c r="O33" s="21" t="e">
        <v>#N/A</v>
      </c>
      <c r="P33" s="21" t="e">
        <v>#N/A</v>
      </c>
      <c r="Q33" s="21" t="e">
        <v>#N/A</v>
      </c>
    </row>
    <row r="34" spans="1:17" ht="16">
      <c r="A34" s="89" t="s">
        <v>134</v>
      </c>
      <c r="B34" s="97"/>
      <c r="C34" s="91"/>
      <c r="D34" s="91"/>
      <c r="E34" s="91"/>
      <c r="F34" s="122"/>
      <c r="G34" s="122"/>
      <c r="I34" s="21" t="s">
        <v>45</v>
      </c>
      <c r="J34" s="21">
        <v>0.99038870969982629</v>
      </c>
      <c r="K34" s="21">
        <v>2.6890549320662235E-4</v>
      </c>
      <c r="L34" s="21">
        <v>3683.036363034907</v>
      </c>
      <c r="M34" s="21">
        <v>2.8007444570934494E-17</v>
      </c>
      <c r="N34" s="21">
        <v>0.98969746612348652</v>
      </c>
      <c r="O34" s="21">
        <v>0.99107995327616605</v>
      </c>
      <c r="P34" s="21">
        <v>0.98969746612348652</v>
      </c>
      <c r="Q34" s="21">
        <v>0.99107995327616605</v>
      </c>
    </row>
    <row r="35" spans="1:17">
      <c r="A35" s="91" t="s">
        <v>135</v>
      </c>
      <c r="B35" s="91">
        <f>2*((B26^(-1))-1)</f>
        <v>1.9409127357856715E-2</v>
      </c>
      <c r="C35" s="91"/>
      <c r="D35" s="91" t="s">
        <v>135</v>
      </c>
      <c r="E35" s="91">
        <f>B35</f>
        <v>1.9409127357856715E-2</v>
      </c>
      <c r="F35" s="91"/>
      <c r="G35" s="91"/>
      <c r="I35" s="21" t="s">
        <v>46</v>
      </c>
      <c r="J35" s="21">
        <v>0.97984297639196738</v>
      </c>
      <c r="K35" s="21">
        <v>2.6890716547576496E-4</v>
      </c>
      <c r="L35" s="21">
        <v>3643.7964553989354</v>
      </c>
      <c r="M35" s="21">
        <v>2.9548331733080224E-17</v>
      </c>
      <c r="N35" s="21">
        <v>0.97915172851692289</v>
      </c>
      <c r="O35" s="21">
        <v>0.98053422426701187</v>
      </c>
      <c r="P35" s="21">
        <v>0.97915172851692289</v>
      </c>
      <c r="Q35" s="21">
        <v>0.98053422426701187</v>
      </c>
    </row>
    <row r="36" spans="1:17">
      <c r="A36" s="91" t="s">
        <v>150</v>
      </c>
      <c r="B36" s="91">
        <f>2*((B27^(-1/2))-1)</f>
        <v>2.0466963452415499E-2</v>
      </c>
      <c r="C36" s="91"/>
      <c r="D36" s="91" t="s">
        <v>137</v>
      </c>
      <c r="E36" s="91">
        <f>((1+B36/2)^2/(1+B35/2)-1)*2</f>
        <v>2.1525353677976256E-2</v>
      </c>
      <c r="F36" s="91"/>
      <c r="G36" s="91"/>
      <c r="I36" s="21" t="s">
        <v>48</v>
      </c>
      <c r="J36" s="21">
        <v>0.96755735730333814</v>
      </c>
      <c r="K36" s="21">
        <v>2.68327524867104E-4</v>
      </c>
      <c r="L36" s="21">
        <v>3605.8818706077413</v>
      </c>
      <c r="M36" s="21">
        <v>3.1134796296553874E-17</v>
      </c>
      <c r="N36" s="21">
        <v>0.96686759944191347</v>
      </c>
      <c r="O36" s="21">
        <v>0.96824711516476281</v>
      </c>
      <c r="P36" s="21">
        <v>0.96686759944191347</v>
      </c>
      <c r="Q36" s="21">
        <v>0.96824711516476281</v>
      </c>
    </row>
    <row r="37" spans="1:17">
      <c r="A37" s="91" t="s">
        <v>151</v>
      </c>
      <c r="B37" s="91">
        <f>2*((B28^(-1/3)-1))</f>
        <v>2.2108349539211591E-2</v>
      </c>
      <c r="C37" s="91"/>
      <c r="D37" s="91" t="s">
        <v>139</v>
      </c>
      <c r="E37" s="91">
        <f>((1+B37/2)^3/(1+B36/2)^2-1)*2</f>
        <v>2.5395123081633386E-2</v>
      </c>
      <c r="F37" s="91"/>
      <c r="G37" s="91"/>
      <c r="I37" s="21" t="s">
        <v>47</v>
      </c>
      <c r="J37" s="21">
        <v>0.95529260486246825</v>
      </c>
      <c r="K37" s="21">
        <v>2.1863074011560336E-4</v>
      </c>
      <c r="L37" s="21">
        <v>4369.4340711527893</v>
      </c>
      <c r="M37" s="21">
        <v>1.1917294285493273E-17</v>
      </c>
      <c r="N37" s="21">
        <v>0.95473059665321536</v>
      </c>
      <c r="O37" s="21">
        <v>0.95585461307172115</v>
      </c>
      <c r="P37" s="21">
        <v>0.95473059665321536</v>
      </c>
      <c r="Q37" s="21">
        <v>0.95585461307172115</v>
      </c>
    </row>
    <row r="38" spans="1:17">
      <c r="A38" s="91" t="s">
        <v>152</v>
      </c>
      <c r="B38" s="91">
        <f>2*((B29^(-1/4)-1))</f>
        <v>2.3000041674414717E-2</v>
      </c>
      <c r="C38" s="91"/>
      <c r="D38" s="91" t="s">
        <v>141</v>
      </c>
      <c r="E38" s="91">
        <f>((1+B38/2)^4/(1+B37/2)^3-1)*2</f>
        <v>2.5677478038545587E-2</v>
      </c>
      <c r="F38" s="91"/>
      <c r="G38" s="91"/>
      <c r="I38" s="21" t="s">
        <v>49</v>
      </c>
      <c r="J38" s="21">
        <v>0.943390255660563</v>
      </c>
      <c r="K38" s="21">
        <v>3.7865603402672751E-4</v>
      </c>
      <c r="L38" s="21">
        <v>2491.4174630423918</v>
      </c>
      <c r="M38" s="21">
        <v>1.977291006538059E-16</v>
      </c>
      <c r="N38" s="21">
        <v>0.94241688933753986</v>
      </c>
      <c r="O38" s="21">
        <v>0.94436362198358614</v>
      </c>
      <c r="P38" s="21">
        <v>0.94241688933753986</v>
      </c>
      <c r="Q38" s="21">
        <v>0.94436362198358614</v>
      </c>
    </row>
    <row r="39" spans="1:17">
      <c r="A39" s="91" t="s">
        <v>153</v>
      </c>
      <c r="B39" s="91">
        <f>2*((B30^(-1/5)-1))</f>
        <v>2.344646427044772E-2</v>
      </c>
      <c r="C39" s="91"/>
      <c r="D39" s="91" t="s">
        <v>143</v>
      </c>
      <c r="E39" s="91">
        <f>((1+B39/2)^5/(1+B38/2)^4-1)*2</f>
        <v>2.5233140008577681E-2</v>
      </c>
      <c r="F39" s="91"/>
      <c r="G39" s="91"/>
      <c r="I39" s="21" t="s">
        <v>50</v>
      </c>
      <c r="J39" s="21">
        <v>0.9306563519614296</v>
      </c>
      <c r="K39" s="21">
        <v>3.7684208889447838E-4</v>
      </c>
      <c r="L39" s="21">
        <v>2469.6189183422866</v>
      </c>
      <c r="M39" s="21">
        <v>2.0661097253285533E-16</v>
      </c>
      <c r="N39" s="21">
        <v>0.92968764853281416</v>
      </c>
      <c r="O39" s="21">
        <v>0.93162505539004503</v>
      </c>
      <c r="P39" s="21">
        <v>0.92968764853281416</v>
      </c>
      <c r="Q39" s="21">
        <v>0.93162505539004503</v>
      </c>
    </row>
    <row r="40" spans="1:17">
      <c r="A40" s="91" t="s">
        <v>154</v>
      </c>
      <c r="B40" s="91">
        <f>2*((B31^(-1/6)-1))</f>
        <v>2.4099098064263469E-2</v>
      </c>
      <c r="C40" s="91"/>
      <c r="D40" s="91" t="s">
        <v>145</v>
      </c>
      <c r="E40" s="91">
        <f>((1+B40/2)^6/(1+B39/2)^5-1)*2</f>
        <v>2.7365425857342363E-2</v>
      </c>
      <c r="F40" s="91"/>
      <c r="G40" s="91"/>
      <c r="I40" s="21" t="s">
        <v>51</v>
      </c>
      <c r="J40" s="21">
        <v>0.91638921423063069</v>
      </c>
      <c r="K40" s="21">
        <v>3.7913265570555513E-4</v>
      </c>
      <c r="L40" s="21">
        <v>2417.0674840057136</v>
      </c>
      <c r="M40" s="21">
        <v>2.3006957241208805E-16</v>
      </c>
      <c r="N40" s="21">
        <v>0.91541462271257745</v>
      </c>
      <c r="O40" s="21">
        <v>0.91736380574868392</v>
      </c>
      <c r="P40" s="21">
        <v>0.91541462271257745</v>
      </c>
      <c r="Q40" s="21">
        <v>0.91736380574868392</v>
      </c>
    </row>
    <row r="41" spans="1:17" ht="15" thickBot="1">
      <c r="A41" s="91" t="s">
        <v>155</v>
      </c>
      <c r="B41" s="91">
        <f>2*((B32^(-1/7)-1))</f>
        <v>2.5103120890551001E-2</v>
      </c>
      <c r="C41" s="91"/>
      <c r="D41" s="91" t="s">
        <v>147</v>
      </c>
      <c r="E41" s="91">
        <f>((1+B41/2)^7/(1+B40/2)^6-1)*2</f>
        <v>3.1137725126494598E-2</v>
      </c>
      <c r="F41" s="91"/>
      <c r="G41" s="91"/>
      <c r="I41" s="22" t="s">
        <v>52</v>
      </c>
      <c r="J41" s="22">
        <v>0.90376725862357932</v>
      </c>
      <c r="K41" s="22">
        <v>3.7800293825923382E-4</v>
      </c>
      <c r="L41" s="22">
        <v>2390.9000887283505</v>
      </c>
      <c r="M41" s="22">
        <v>2.4293825466232555E-16</v>
      </c>
      <c r="N41" s="22">
        <v>0.90279557113667297</v>
      </c>
      <c r="O41" s="22">
        <v>0.90473894611048566</v>
      </c>
      <c r="P41" s="22">
        <v>0.90279557113667297</v>
      </c>
      <c r="Q41" s="22">
        <v>0.90473894611048566</v>
      </c>
    </row>
    <row r="42" spans="1:17">
      <c r="A42" s="91" t="s">
        <v>156</v>
      </c>
      <c r="B42" s="91">
        <f>2*((B33^(-1/8)-1))</f>
        <v>2.5456498856117005E-2</v>
      </c>
      <c r="C42" s="91"/>
      <c r="D42" s="91" t="s">
        <v>149</v>
      </c>
      <c r="E42" s="91">
        <f>((1+B42/2)^8/(1+B41/2)^7-1)*2</f>
        <v>2.7931871810169095E-2</v>
      </c>
      <c r="F42" s="91"/>
      <c r="G42" s="91"/>
    </row>
    <row r="43" spans="1:17">
      <c r="A43" s="91"/>
      <c r="B43" s="91"/>
      <c r="C43" s="91"/>
      <c r="D43" s="91"/>
      <c r="E43" s="91"/>
      <c r="F43" s="91"/>
      <c r="G43" s="91"/>
    </row>
    <row r="44" spans="1:17">
      <c r="A44" s="91"/>
      <c r="B44" s="91"/>
      <c r="C44" s="91"/>
      <c r="D44" s="91"/>
      <c r="E44" s="91"/>
      <c r="F44" s="91"/>
      <c r="G44" s="91"/>
    </row>
    <row r="45" spans="1:17">
      <c r="A45" s="91"/>
      <c r="B45" s="91"/>
      <c r="C45" s="91"/>
      <c r="D45" s="91"/>
      <c r="E45" s="91"/>
      <c r="F45" s="91"/>
      <c r="G45" s="91"/>
      <c r="I45" s="21"/>
    </row>
    <row r="46" spans="1:17">
      <c r="A46" s="91"/>
      <c r="B46" s="91"/>
      <c r="C46" s="91"/>
      <c r="D46" s="91"/>
      <c r="E46" s="91"/>
      <c r="F46" s="91"/>
      <c r="G46" s="91"/>
      <c r="I46" s="21"/>
    </row>
    <row r="47" spans="1:17">
      <c r="A47" s="91"/>
      <c r="B47" s="91"/>
      <c r="C47" s="91"/>
      <c r="D47" s="91"/>
      <c r="E47" s="91"/>
      <c r="F47" s="91"/>
      <c r="G47" s="91"/>
      <c r="I47" s="21"/>
    </row>
    <row r="48" spans="1:17">
      <c r="A48" s="91"/>
      <c r="B48" s="91"/>
      <c r="C48" s="91"/>
      <c r="D48" s="91"/>
      <c r="E48" s="91"/>
      <c r="F48" s="91"/>
      <c r="G48" s="91"/>
      <c r="I48" s="21"/>
    </row>
    <row r="49" spans="1:9">
      <c r="A49" s="91"/>
      <c r="B49" s="91"/>
      <c r="C49" s="91"/>
      <c r="D49" s="91"/>
      <c r="E49" s="91"/>
      <c r="F49" s="91"/>
      <c r="G49" s="91"/>
      <c r="I49" s="21"/>
    </row>
    <row r="50" spans="1:9">
      <c r="A50" s="91"/>
      <c r="B50" s="91"/>
      <c r="C50" s="91"/>
      <c r="D50" s="91"/>
      <c r="E50" s="91"/>
      <c r="F50" s="91"/>
      <c r="G50" s="91"/>
      <c r="I50" s="21"/>
    </row>
    <row r="51" spans="1:9">
      <c r="A51" s="91"/>
      <c r="B51" s="91"/>
      <c r="C51" s="91"/>
      <c r="D51" s="91"/>
      <c r="E51" s="91"/>
      <c r="F51" s="91"/>
      <c r="G51" s="91"/>
    </row>
    <row r="52" spans="1:9">
      <c r="A52" s="91"/>
      <c r="B52" s="91"/>
      <c r="C52" s="91"/>
      <c r="D52" s="91"/>
      <c r="E52" s="91"/>
      <c r="F52" s="91"/>
      <c r="G52" s="91"/>
    </row>
    <row r="53" spans="1:9">
      <c r="A53" s="91"/>
      <c r="B53" s="91"/>
      <c r="C53" s="91"/>
      <c r="D53" s="91"/>
      <c r="E53" s="91"/>
      <c r="F53" s="91"/>
      <c r="G53" s="91"/>
    </row>
    <row r="54" spans="1:9">
      <c r="A54" s="91"/>
      <c r="B54" s="91"/>
      <c r="C54" s="91"/>
      <c r="D54" s="91"/>
      <c r="E54" s="91"/>
      <c r="F54" s="91"/>
      <c r="G54" s="91"/>
    </row>
    <row r="55" spans="1:9">
      <c r="A55" s="91"/>
      <c r="B55" s="91"/>
      <c r="C55" s="91"/>
      <c r="D55" s="91"/>
      <c r="E55" s="91"/>
      <c r="F55" s="91"/>
      <c r="G55" s="91"/>
    </row>
    <row r="56" spans="1:9">
      <c r="A56" s="91"/>
      <c r="B56" s="91"/>
      <c r="C56" s="91"/>
      <c r="D56" s="91"/>
      <c r="E56" s="91"/>
      <c r="F56" s="91"/>
      <c r="G56" s="91"/>
    </row>
    <row r="57" spans="1:9">
      <c r="A57" s="91"/>
      <c r="B57" s="91"/>
      <c r="C57" s="91"/>
      <c r="D57" s="91"/>
      <c r="E57" s="91"/>
      <c r="F57" s="91"/>
      <c r="G57" s="91"/>
    </row>
    <row r="58" spans="1:9">
      <c r="A58" s="91"/>
      <c r="B58" s="91"/>
      <c r="C58" s="91"/>
      <c r="D58" s="91"/>
      <c r="E58" s="91"/>
      <c r="F58" s="91"/>
      <c r="G58" s="91"/>
    </row>
    <row r="59" spans="1:9">
      <c r="A59" s="98" t="s">
        <v>158</v>
      </c>
      <c r="B59" s="91"/>
      <c r="C59" s="91"/>
      <c r="D59" s="91"/>
      <c r="E59" s="91"/>
      <c r="F59" s="91"/>
      <c r="G59" s="91"/>
      <c r="H59" s="91"/>
      <c r="I59" s="91"/>
    </row>
    <row r="60" spans="1:9">
      <c r="A60" s="98" t="s">
        <v>160</v>
      </c>
      <c r="B60" s="98" t="s">
        <v>159</v>
      </c>
      <c r="C60" s="91"/>
      <c r="D60" s="91"/>
      <c r="E60" s="91"/>
      <c r="F60" s="91"/>
      <c r="G60" s="91"/>
    </row>
    <row r="61" spans="1:9">
      <c r="A61" s="189">
        <v>0.99034000000000011</v>
      </c>
      <c r="B61" s="91">
        <v>1.9409127357856715E-2</v>
      </c>
      <c r="C61" s="91"/>
      <c r="D61" s="91"/>
      <c r="E61" s="91"/>
      <c r="F61" s="91"/>
      <c r="G61" s="91"/>
    </row>
    <row r="62" spans="1:9">
      <c r="A62" s="189">
        <v>0.98031999999999997</v>
      </c>
      <c r="B62" s="91">
        <v>2.0466963452415499E-2</v>
      </c>
      <c r="C62" s="91"/>
      <c r="D62" s="91"/>
      <c r="E62" s="91"/>
      <c r="F62" s="91"/>
      <c r="G62" s="91"/>
    </row>
    <row r="63" spans="1:9">
      <c r="A63" s="189">
        <v>0.96776845675171119</v>
      </c>
      <c r="B63" s="91">
        <v>2.2108349539211591E-2</v>
      </c>
      <c r="C63" s="91"/>
      <c r="D63" s="91"/>
      <c r="E63" s="91"/>
      <c r="F63" s="91"/>
      <c r="G63" s="91"/>
    </row>
    <row r="64" spans="1:9">
      <c r="A64" s="189">
        <v>0.95562510853206928</v>
      </c>
      <c r="B64" s="91">
        <v>2.3000041674414717E-2</v>
      </c>
      <c r="C64" s="91"/>
      <c r="D64" s="91"/>
      <c r="E64" s="91"/>
      <c r="F64" s="91"/>
      <c r="G64" s="91"/>
    </row>
    <row r="65" spans="1:14">
      <c r="A65" s="189">
        <v>0.94338218546361174</v>
      </c>
      <c r="B65" s="91">
        <v>2.344646427044772E-2</v>
      </c>
      <c r="C65" s="91"/>
      <c r="D65" s="91"/>
      <c r="E65" s="91"/>
      <c r="F65" s="91"/>
      <c r="G65" s="91"/>
    </row>
    <row r="66" spans="1:14">
      <c r="A66" s="189">
        <v>0.93064257611846801</v>
      </c>
      <c r="B66" s="91">
        <v>2.4099098064263469E-2</v>
      </c>
      <c r="C66" s="91"/>
      <c r="D66" s="91"/>
      <c r="E66" s="91"/>
      <c r="F66" s="91"/>
      <c r="G66" s="91"/>
    </row>
    <row r="67" spans="1:14">
      <c r="A67" s="189">
        <v>0.91638272533139042</v>
      </c>
      <c r="B67" s="91">
        <v>2.5103120890551001E-2</v>
      </c>
      <c r="C67" s="91"/>
      <c r="D67" s="91"/>
      <c r="E67" s="91"/>
      <c r="F67" s="91"/>
      <c r="G67" s="91"/>
    </row>
    <row r="68" spans="1:14">
      <c r="A68" s="189">
        <v>0.90375725233533999</v>
      </c>
      <c r="B68" s="91">
        <v>2.5456498856117005E-2</v>
      </c>
      <c r="C68" s="91"/>
      <c r="D68" s="91"/>
      <c r="E68" s="91"/>
      <c r="F68" s="91"/>
      <c r="G68" s="91"/>
    </row>
    <row r="69" spans="1:14">
      <c r="A69" s="98" t="s">
        <v>161</v>
      </c>
      <c r="B69" s="98"/>
      <c r="C69" s="98"/>
      <c r="D69" s="98"/>
      <c r="E69" s="98"/>
      <c r="F69" s="98"/>
      <c r="G69" s="98"/>
      <c r="H69" s="20"/>
      <c r="I69" s="20"/>
      <c r="J69" s="20"/>
      <c r="K69" s="20"/>
      <c r="L69" s="20"/>
      <c r="M69" s="20"/>
      <c r="N69" s="20"/>
    </row>
    <row r="70" spans="1:14">
      <c r="A70" s="98" t="s">
        <v>162</v>
      </c>
      <c r="B70" s="98"/>
      <c r="C70" s="98"/>
      <c r="D70" s="98"/>
      <c r="E70" s="98"/>
      <c r="F70" s="98"/>
      <c r="G70" s="98"/>
      <c r="H70" s="98"/>
      <c r="I70" s="98"/>
      <c r="J70" s="98"/>
      <c r="K70" s="98"/>
      <c r="L70" s="98"/>
      <c r="M70" s="98"/>
      <c r="N70" s="98"/>
    </row>
  </sheetData>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1"/>
  <sheetViews>
    <sheetView workbookViewId="0">
      <selection activeCell="H50" sqref="H50:P50"/>
    </sheetView>
  </sheetViews>
  <sheetFormatPr baseColWidth="10" defaultColWidth="10.83203125" defaultRowHeight="14"/>
  <sheetData>
    <row r="1" spans="1:21">
      <c r="A1" s="5" t="s">
        <v>0</v>
      </c>
      <c r="B1" s="2"/>
      <c r="C1" s="2"/>
      <c r="D1" s="2"/>
      <c r="E1" s="2"/>
      <c r="F1" s="2"/>
    </row>
    <row r="2" spans="1:21">
      <c r="A2" s="4" t="s">
        <v>1</v>
      </c>
      <c r="B2" s="2"/>
      <c r="C2" s="4"/>
      <c r="D2" s="4"/>
      <c r="E2" s="4"/>
      <c r="F2" s="2"/>
    </row>
    <row r="3" spans="1:21">
      <c r="A3" s="4" t="s">
        <v>2</v>
      </c>
      <c r="B3" s="4" t="s">
        <v>3</v>
      </c>
      <c r="C3" s="4" t="s">
        <v>4</v>
      </c>
      <c r="D3" s="4" t="s">
        <v>5</v>
      </c>
      <c r="E3" s="4" t="s">
        <v>6</v>
      </c>
      <c r="F3" t="s">
        <v>16</v>
      </c>
      <c r="T3" s="20"/>
    </row>
    <row r="4" spans="1:21">
      <c r="A4" s="11">
        <v>43358</v>
      </c>
      <c r="B4" s="12">
        <v>1.9</v>
      </c>
      <c r="C4" s="12">
        <v>1.89</v>
      </c>
      <c r="D4" s="12">
        <v>4.4999999999999998E-2</v>
      </c>
      <c r="E4" s="12">
        <v>1.9350000000000001</v>
      </c>
      <c r="F4">
        <v>99.055000000000007</v>
      </c>
      <c r="I4" s="19">
        <v>0.5</v>
      </c>
      <c r="J4" s="19">
        <v>1</v>
      </c>
      <c r="K4" s="19">
        <v>1.5</v>
      </c>
      <c r="L4" s="19">
        <v>2</v>
      </c>
      <c r="M4">
        <v>2.5</v>
      </c>
      <c r="N4" s="19">
        <v>3</v>
      </c>
      <c r="O4" s="19">
        <v>3.5</v>
      </c>
      <c r="P4" s="19">
        <v>4</v>
      </c>
      <c r="Q4" s="19">
        <v>4.5</v>
      </c>
      <c r="R4" s="20">
        <v>5</v>
      </c>
      <c r="S4" s="20">
        <v>5.5</v>
      </c>
      <c r="T4" s="19">
        <v>6</v>
      </c>
      <c r="U4" t="s">
        <v>16</v>
      </c>
    </row>
    <row r="5" spans="1:21">
      <c r="A5" s="11">
        <v>43539</v>
      </c>
      <c r="B5" s="12">
        <v>1.978</v>
      </c>
      <c r="C5" s="12">
        <v>1.968</v>
      </c>
      <c r="D5" s="12">
        <v>8.0000000000000002E-3</v>
      </c>
      <c r="E5" s="12">
        <v>2.0339999999999998</v>
      </c>
      <c r="F5">
        <v>98.031999999999996</v>
      </c>
      <c r="H5">
        <v>0.5</v>
      </c>
      <c r="I5">
        <v>100</v>
      </c>
      <c r="J5">
        <v>0</v>
      </c>
      <c r="K5">
        <v>0</v>
      </c>
      <c r="L5">
        <v>0</v>
      </c>
      <c r="M5">
        <v>0</v>
      </c>
      <c r="N5">
        <v>0</v>
      </c>
      <c r="O5">
        <v>0</v>
      </c>
      <c r="P5">
        <v>0</v>
      </c>
      <c r="Q5">
        <v>0</v>
      </c>
      <c r="R5">
        <v>0</v>
      </c>
      <c r="S5">
        <v>0</v>
      </c>
      <c r="T5">
        <v>0</v>
      </c>
      <c r="U5">
        <v>99.034000000000006</v>
      </c>
    </row>
    <row r="6" spans="1:21">
      <c r="A6" s="2"/>
      <c r="B6" s="2"/>
      <c r="C6" s="2"/>
      <c r="D6" s="2"/>
      <c r="E6" s="2"/>
      <c r="F6" s="2"/>
      <c r="H6">
        <v>1</v>
      </c>
      <c r="I6">
        <v>0</v>
      </c>
      <c r="J6">
        <v>100</v>
      </c>
      <c r="K6">
        <v>0</v>
      </c>
      <c r="L6">
        <v>0</v>
      </c>
      <c r="M6">
        <v>0</v>
      </c>
      <c r="N6">
        <v>0</v>
      </c>
      <c r="O6">
        <v>0</v>
      </c>
      <c r="P6">
        <v>0</v>
      </c>
      <c r="Q6">
        <v>0</v>
      </c>
      <c r="R6">
        <v>0</v>
      </c>
      <c r="S6">
        <v>0</v>
      </c>
      <c r="T6">
        <v>0</v>
      </c>
      <c r="U6">
        <v>98.031999999999996</v>
      </c>
    </row>
    <row r="7" spans="1:21">
      <c r="A7" s="4" t="s">
        <v>8</v>
      </c>
      <c r="B7" s="4"/>
      <c r="C7" s="4"/>
      <c r="D7" s="4"/>
      <c r="E7" s="4"/>
      <c r="F7" s="4"/>
      <c r="H7">
        <v>1.5</v>
      </c>
      <c r="I7">
        <v>0.4375</v>
      </c>
      <c r="J7">
        <v>0.4375</v>
      </c>
      <c r="K7">
        <v>100.4375</v>
      </c>
      <c r="L7">
        <v>0</v>
      </c>
      <c r="M7">
        <v>0</v>
      </c>
      <c r="N7">
        <v>0</v>
      </c>
      <c r="O7">
        <v>0</v>
      </c>
      <c r="P7">
        <v>0</v>
      </c>
      <c r="Q7">
        <v>0</v>
      </c>
      <c r="R7">
        <v>0</v>
      </c>
      <c r="S7">
        <v>0</v>
      </c>
      <c r="T7">
        <v>0</v>
      </c>
      <c r="U7">
        <v>98.0625</v>
      </c>
    </row>
    <row r="8" spans="1:21">
      <c r="A8" s="4" t="s">
        <v>2</v>
      </c>
      <c r="B8" s="4" t="s">
        <v>9</v>
      </c>
      <c r="C8" s="8" t="s">
        <v>3</v>
      </c>
      <c r="D8" s="8" t="s">
        <v>4</v>
      </c>
      <c r="E8" s="4" t="s">
        <v>5</v>
      </c>
      <c r="F8" s="4" t="s">
        <v>10</v>
      </c>
      <c r="H8">
        <v>2</v>
      </c>
      <c r="I8">
        <v>0.8125</v>
      </c>
      <c r="J8">
        <v>0.8125</v>
      </c>
      <c r="K8">
        <v>0.8125</v>
      </c>
      <c r="L8">
        <v>100.8125</v>
      </c>
      <c r="M8">
        <v>0</v>
      </c>
      <c r="N8">
        <v>0</v>
      </c>
      <c r="O8">
        <v>0</v>
      </c>
      <c r="P8">
        <v>0</v>
      </c>
      <c r="Q8">
        <v>0</v>
      </c>
      <c r="R8">
        <v>0</v>
      </c>
      <c r="S8">
        <v>0</v>
      </c>
      <c r="T8">
        <v>0</v>
      </c>
      <c r="U8">
        <v>98.726600000000005</v>
      </c>
    </row>
    <row r="9" spans="1:21">
      <c r="A9" s="11">
        <v>43723</v>
      </c>
      <c r="B9" s="12">
        <v>0.875</v>
      </c>
      <c r="C9" s="12">
        <v>98.046899999999994</v>
      </c>
      <c r="D9" s="12">
        <v>98.0625</v>
      </c>
      <c r="E9" s="12">
        <v>1.5599999999999999E-2</v>
      </c>
      <c r="F9" s="12">
        <v>2.1949999999999998</v>
      </c>
      <c r="H9">
        <v>2.5</v>
      </c>
      <c r="I9">
        <v>0.6875</v>
      </c>
      <c r="J9">
        <v>0.6875</v>
      </c>
      <c r="K9">
        <v>0.6875</v>
      </c>
      <c r="L9">
        <v>0.6875</v>
      </c>
      <c r="M9">
        <v>100.6875</v>
      </c>
      <c r="N9">
        <v>0</v>
      </c>
      <c r="O9">
        <v>0</v>
      </c>
      <c r="P9">
        <v>0</v>
      </c>
      <c r="Q9">
        <v>0</v>
      </c>
      <c r="R9">
        <v>0</v>
      </c>
      <c r="S9">
        <v>0</v>
      </c>
      <c r="T9">
        <v>0</v>
      </c>
      <c r="U9">
        <v>97.664100000000005</v>
      </c>
    </row>
    <row r="10" spans="1:21">
      <c r="A10" s="11">
        <v>43905</v>
      </c>
      <c r="B10" s="12">
        <v>1.625</v>
      </c>
      <c r="C10" s="12">
        <v>98.710899999999995</v>
      </c>
      <c r="D10" s="12">
        <v>98.726600000000005</v>
      </c>
      <c r="E10" s="12">
        <v>7.7999999999999996E-3</v>
      </c>
      <c r="F10" s="12">
        <v>2.2799999999999998</v>
      </c>
      <c r="H10">
        <v>3</v>
      </c>
      <c r="I10">
        <v>1.1875</v>
      </c>
      <c r="J10">
        <v>1.1875</v>
      </c>
      <c r="K10">
        <v>1.1875</v>
      </c>
      <c r="L10">
        <v>1.1875</v>
      </c>
      <c r="M10">
        <v>1.1875</v>
      </c>
      <c r="N10">
        <v>101.1875</v>
      </c>
      <c r="O10">
        <v>0</v>
      </c>
      <c r="P10">
        <v>0</v>
      </c>
      <c r="Q10">
        <v>0</v>
      </c>
      <c r="R10">
        <v>0</v>
      </c>
      <c r="S10">
        <v>0</v>
      </c>
      <c r="T10">
        <v>0</v>
      </c>
      <c r="U10">
        <v>99.914100000000005</v>
      </c>
    </row>
    <row r="11" spans="1:21">
      <c r="A11" s="11">
        <v>44089</v>
      </c>
      <c r="B11" s="12">
        <v>1.375</v>
      </c>
      <c r="C11" s="12">
        <v>97.648399999999995</v>
      </c>
      <c r="D11" s="12">
        <v>97.664100000000005</v>
      </c>
      <c r="E11" s="12">
        <v>1.5599999999999999E-2</v>
      </c>
      <c r="F11" s="12">
        <v>2.343</v>
      </c>
      <c r="H11">
        <v>3.5</v>
      </c>
      <c r="I11">
        <v>0.5625</v>
      </c>
      <c r="J11">
        <v>0.5625</v>
      </c>
      <c r="K11">
        <v>0.5625</v>
      </c>
      <c r="L11">
        <v>0.5625</v>
      </c>
      <c r="M11">
        <v>0.5625</v>
      </c>
      <c r="N11">
        <v>0.5625</v>
      </c>
      <c r="O11">
        <v>100.5625</v>
      </c>
      <c r="P11">
        <v>0</v>
      </c>
      <c r="Q11">
        <v>0</v>
      </c>
      <c r="R11">
        <v>0</v>
      </c>
      <c r="S11">
        <v>0</v>
      </c>
      <c r="T11">
        <v>0</v>
      </c>
      <c r="U11">
        <v>95.398399999999995</v>
      </c>
    </row>
    <row r="12" spans="1:21">
      <c r="A12" s="11">
        <v>44270</v>
      </c>
      <c r="B12" s="12">
        <v>2.375</v>
      </c>
      <c r="C12" s="12">
        <v>99.898399999999995</v>
      </c>
      <c r="D12" s="12">
        <v>99.914100000000005</v>
      </c>
      <c r="E12" s="12">
        <v>4.6899999999999997E-2</v>
      </c>
      <c r="F12" s="12">
        <v>2.4049999999999998</v>
      </c>
      <c r="H12">
        <v>4</v>
      </c>
      <c r="I12">
        <v>0.875</v>
      </c>
      <c r="J12">
        <v>0.875</v>
      </c>
      <c r="K12">
        <v>0.875</v>
      </c>
      <c r="L12">
        <v>0.875</v>
      </c>
      <c r="M12">
        <v>0.875</v>
      </c>
      <c r="N12">
        <v>0.875</v>
      </c>
      <c r="O12">
        <v>0.875</v>
      </c>
      <c r="P12">
        <v>100.875</v>
      </c>
      <c r="Q12">
        <v>0</v>
      </c>
      <c r="R12">
        <v>0</v>
      </c>
      <c r="S12">
        <v>0</v>
      </c>
      <c r="T12">
        <v>0</v>
      </c>
      <c r="U12">
        <v>97.015600000000006</v>
      </c>
    </row>
    <row r="13" spans="1:21">
      <c r="A13" s="11">
        <v>44454</v>
      </c>
      <c r="B13" s="12">
        <v>1.125</v>
      </c>
      <c r="C13" s="12">
        <v>95.382800000000003</v>
      </c>
      <c r="D13" s="12">
        <v>95.398399999999995</v>
      </c>
      <c r="E13" s="12">
        <v>5.4699999999999999E-2</v>
      </c>
      <c r="F13" s="12">
        <v>2.4900000000000002</v>
      </c>
      <c r="H13" s="17">
        <v>0.5</v>
      </c>
      <c r="I13">
        <f>B21/2+100</f>
        <v>100.5</v>
      </c>
      <c r="J13" s="17">
        <v>0</v>
      </c>
      <c r="K13" s="17">
        <v>0</v>
      </c>
      <c r="L13" s="17">
        <v>0</v>
      </c>
      <c r="M13" s="17">
        <v>0</v>
      </c>
      <c r="N13" s="17">
        <v>0</v>
      </c>
      <c r="O13" s="17">
        <v>0</v>
      </c>
      <c r="P13" s="17">
        <v>0</v>
      </c>
      <c r="Q13">
        <v>0</v>
      </c>
      <c r="R13">
        <v>0</v>
      </c>
      <c r="S13">
        <v>0</v>
      </c>
      <c r="T13">
        <v>0</v>
      </c>
      <c r="U13">
        <v>99.539100000000005</v>
      </c>
    </row>
    <row r="14" spans="1:21">
      <c r="A14" s="11">
        <v>44635</v>
      </c>
      <c r="B14" s="12">
        <v>1.75</v>
      </c>
      <c r="C14" s="12">
        <v>97</v>
      </c>
      <c r="D14" s="12">
        <v>97.015600000000006</v>
      </c>
      <c r="E14" s="12">
        <v>7.8100000000000003E-2</v>
      </c>
      <c r="F14" s="12">
        <v>2.5310000000000001</v>
      </c>
      <c r="H14" s="17">
        <v>1</v>
      </c>
      <c r="I14">
        <f>B22/2</f>
        <v>0.5</v>
      </c>
      <c r="J14">
        <f>B22/2+100</f>
        <v>100.5</v>
      </c>
      <c r="K14">
        <v>0</v>
      </c>
      <c r="L14">
        <v>0</v>
      </c>
      <c r="M14">
        <v>0</v>
      </c>
      <c r="N14">
        <v>0</v>
      </c>
      <c r="O14">
        <v>0</v>
      </c>
      <c r="P14">
        <v>0</v>
      </c>
      <c r="Q14">
        <v>0</v>
      </c>
      <c r="R14">
        <v>0</v>
      </c>
      <c r="S14">
        <v>0</v>
      </c>
      <c r="T14">
        <v>0</v>
      </c>
      <c r="U14">
        <v>98.921899999999994</v>
      </c>
    </row>
    <row r="15" spans="1:21">
      <c r="A15" s="2"/>
      <c r="B15" s="2"/>
      <c r="C15" s="2"/>
      <c r="D15" s="2"/>
      <c r="E15" s="2"/>
      <c r="F15" s="2"/>
      <c r="H15" s="17">
        <v>1.5</v>
      </c>
      <c r="I15">
        <f>$B$21/2</f>
        <v>0.5</v>
      </c>
      <c r="J15">
        <f>$B$21/2</f>
        <v>0.5</v>
      </c>
      <c r="K15">
        <f>B23/2+100</f>
        <v>100.5625</v>
      </c>
      <c r="L15">
        <v>0</v>
      </c>
      <c r="M15">
        <v>0</v>
      </c>
      <c r="N15">
        <v>0</v>
      </c>
      <c r="O15">
        <v>0</v>
      </c>
      <c r="P15">
        <v>0</v>
      </c>
      <c r="Q15">
        <v>0</v>
      </c>
      <c r="R15">
        <v>0</v>
      </c>
      <c r="S15">
        <v>0</v>
      </c>
      <c r="T15">
        <v>0</v>
      </c>
      <c r="U15">
        <v>98.203100000000006</v>
      </c>
    </row>
    <row r="16" spans="1:21">
      <c r="A16" s="2"/>
      <c r="B16" s="2"/>
      <c r="C16" s="2"/>
      <c r="D16" s="2"/>
      <c r="E16" s="2"/>
      <c r="F16" s="2"/>
      <c r="H16" s="17">
        <v>2</v>
      </c>
      <c r="I16">
        <f>$B$22/2</f>
        <v>0.5</v>
      </c>
      <c r="J16">
        <f t="shared" ref="J16:K16" si="0">$B$22/2</f>
        <v>0.5</v>
      </c>
      <c r="K16">
        <f t="shared" si="0"/>
        <v>0.5</v>
      </c>
      <c r="L16">
        <f>B24/2+100</f>
        <v>100.6875</v>
      </c>
      <c r="M16">
        <v>0</v>
      </c>
      <c r="N16">
        <v>0</v>
      </c>
      <c r="O16">
        <v>0</v>
      </c>
      <c r="P16">
        <v>0</v>
      </c>
      <c r="Q16">
        <v>0</v>
      </c>
      <c r="R16">
        <v>0</v>
      </c>
      <c r="S16">
        <v>0</v>
      </c>
      <c r="T16">
        <v>0</v>
      </c>
      <c r="U16">
        <v>97.703100000000006</v>
      </c>
    </row>
    <row r="17" spans="1:21">
      <c r="A17" s="5" t="s">
        <v>11</v>
      </c>
      <c r="B17" s="2"/>
      <c r="C17" s="2"/>
      <c r="D17" s="2"/>
      <c r="E17" s="2"/>
      <c r="F17" s="2"/>
      <c r="H17" s="17">
        <v>2</v>
      </c>
      <c r="I17">
        <f>$B$23/2</f>
        <v>0.5625</v>
      </c>
      <c r="J17">
        <f t="shared" ref="J17:K17" si="1">$B$23/2</f>
        <v>0.5625</v>
      </c>
      <c r="K17">
        <f t="shared" si="1"/>
        <v>0.5625</v>
      </c>
      <c r="L17">
        <f>B25/2+100</f>
        <v>100</v>
      </c>
      <c r="M17">
        <v>0</v>
      </c>
      <c r="N17">
        <v>0</v>
      </c>
      <c r="O17">
        <v>0</v>
      </c>
      <c r="P17">
        <v>0</v>
      </c>
      <c r="Q17">
        <v>0</v>
      </c>
      <c r="R17">
        <v>0</v>
      </c>
      <c r="S17">
        <v>0</v>
      </c>
      <c r="T17">
        <v>0</v>
      </c>
      <c r="U17">
        <v>98.1875</v>
      </c>
    </row>
    <row r="18" spans="1:21">
      <c r="A18" s="4" t="s">
        <v>8</v>
      </c>
      <c r="B18" s="4"/>
      <c r="C18" s="4"/>
      <c r="D18" s="4"/>
      <c r="E18" s="4"/>
      <c r="F18" s="4"/>
      <c r="H18" s="17">
        <v>5</v>
      </c>
      <c r="I18">
        <f>$B$29/2</f>
        <v>1</v>
      </c>
      <c r="J18">
        <f t="shared" ref="J18:Q18" si="2">$B$29/2</f>
        <v>1</v>
      </c>
      <c r="K18">
        <f t="shared" si="2"/>
        <v>1</v>
      </c>
      <c r="L18">
        <f t="shared" si="2"/>
        <v>1</v>
      </c>
      <c r="M18">
        <f t="shared" si="2"/>
        <v>1</v>
      </c>
      <c r="N18">
        <f t="shared" si="2"/>
        <v>1</v>
      </c>
      <c r="O18">
        <f t="shared" si="2"/>
        <v>1</v>
      </c>
      <c r="P18">
        <f t="shared" si="2"/>
        <v>1</v>
      </c>
      <c r="Q18">
        <f t="shared" si="2"/>
        <v>1</v>
      </c>
      <c r="R18">
        <f>B29/2+100</f>
        <v>101</v>
      </c>
      <c r="S18">
        <v>0</v>
      </c>
      <c r="T18">
        <v>0</v>
      </c>
      <c r="U18">
        <f>D29</f>
        <v>97.226600000000005</v>
      </c>
    </row>
    <row r="19" spans="1:21">
      <c r="A19" s="4" t="s">
        <v>2</v>
      </c>
      <c r="B19" s="4" t="s">
        <v>9</v>
      </c>
      <c r="C19" s="8" t="s">
        <v>3</v>
      </c>
      <c r="D19" s="8" t="s">
        <v>4</v>
      </c>
      <c r="E19" s="4" t="s">
        <v>5</v>
      </c>
      <c r="F19" s="4" t="s">
        <v>10</v>
      </c>
      <c r="H19" s="17">
        <v>5</v>
      </c>
      <c r="I19">
        <f>$B$30/2</f>
        <v>3.5625</v>
      </c>
      <c r="J19">
        <f t="shared" ref="J19:Q19" si="3">$B$30/2</f>
        <v>3.5625</v>
      </c>
      <c r="K19">
        <f t="shared" si="3"/>
        <v>3.5625</v>
      </c>
      <c r="L19">
        <f t="shared" si="3"/>
        <v>3.5625</v>
      </c>
      <c r="M19">
        <f t="shared" si="3"/>
        <v>3.5625</v>
      </c>
      <c r="N19">
        <f t="shared" si="3"/>
        <v>3.5625</v>
      </c>
      <c r="O19">
        <f t="shared" si="3"/>
        <v>3.5625</v>
      </c>
      <c r="P19">
        <f t="shared" si="3"/>
        <v>3.5625</v>
      </c>
      <c r="Q19">
        <f t="shared" si="3"/>
        <v>3.5625</v>
      </c>
      <c r="R19">
        <f>100+B30/2</f>
        <v>103.5625</v>
      </c>
      <c r="S19">
        <v>0</v>
      </c>
      <c r="T19">
        <v>0</v>
      </c>
      <c r="U19">
        <f t="shared" ref="U19:U21" si="4">D30</f>
        <v>120.875</v>
      </c>
    </row>
    <row r="20" spans="1:21">
      <c r="A20" s="11">
        <v>43358</v>
      </c>
      <c r="B20" s="12">
        <v>1</v>
      </c>
      <c r="C20" s="12">
        <v>99.523399999999995</v>
      </c>
      <c r="D20" s="12">
        <v>99.539100000000005</v>
      </c>
      <c r="E20" s="13" t="s">
        <v>7</v>
      </c>
      <c r="F20" s="12">
        <v>1.931</v>
      </c>
      <c r="H20" s="17">
        <v>6</v>
      </c>
      <c r="I20">
        <f>$B$31/2</f>
        <v>1.375</v>
      </c>
      <c r="J20">
        <f>$B$31/2</f>
        <v>1.375</v>
      </c>
      <c r="K20">
        <f t="shared" ref="K20:S20" si="5">$B$31/2</f>
        <v>1.375</v>
      </c>
      <c r="L20">
        <f t="shared" si="5"/>
        <v>1.375</v>
      </c>
      <c r="M20">
        <f t="shared" si="5"/>
        <v>1.375</v>
      </c>
      <c r="N20">
        <f t="shared" si="5"/>
        <v>1.375</v>
      </c>
      <c r="O20">
        <f t="shared" si="5"/>
        <v>1.375</v>
      </c>
      <c r="P20">
        <f t="shared" si="5"/>
        <v>1.375</v>
      </c>
      <c r="Q20">
        <f t="shared" si="5"/>
        <v>1.375</v>
      </c>
      <c r="R20">
        <f t="shared" si="5"/>
        <v>1.375</v>
      </c>
      <c r="S20">
        <f t="shared" si="5"/>
        <v>1.375</v>
      </c>
      <c r="T20">
        <f>100+B31/2</f>
        <v>101.375</v>
      </c>
      <c r="U20">
        <f t="shared" si="4"/>
        <v>100.4141</v>
      </c>
    </row>
    <row r="21" spans="1:21">
      <c r="A21" s="11">
        <v>43539</v>
      </c>
      <c r="B21" s="12">
        <v>1</v>
      </c>
      <c r="C21" s="12">
        <v>98.906300000000002</v>
      </c>
      <c r="D21" s="12">
        <v>98.921899999999994</v>
      </c>
      <c r="E21" s="12">
        <v>2.3400000000000001E-2</v>
      </c>
      <c r="F21" s="12">
        <v>2.0950000000000002</v>
      </c>
      <c r="H21" s="17">
        <v>6</v>
      </c>
      <c r="I21">
        <f>$B$32/2</f>
        <v>1.0625</v>
      </c>
      <c r="J21">
        <f t="shared" ref="J21:S21" si="6">$B$32/2</f>
        <v>1.0625</v>
      </c>
      <c r="K21">
        <f t="shared" si="6"/>
        <v>1.0625</v>
      </c>
      <c r="L21">
        <f t="shared" si="6"/>
        <v>1.0625</v>
      </c>
      <c r="M21">
        <f t="shared" si="6"/>
        <v>1.0625</v>
      </c>
      <c r="N21">
        <f t="shared" si="6"/>
        <v>1.0625</v>
      </c>
      <c r="O21">
        <f t="shared" si="6"/>
        <v>1.0625</v>
      </c>
      <c r="P21">
        <f t="shared" si="6"/>
        <v>1.0625</v>
      </c>
      <c r="Q21">
        <f t="shared" si="6"/>
        <v>1.0625</v>
      </c>
      <c r="R21">
        <f t="shared" si="6"/>
        <v>1.0625</v>
      </c>
      <c r="S21">
        <f t="shared" si="6"/>
        <v>1.0625</v>
      </c>
      <c r="T21">
        <f>100+B32/2</f>
        <v>101.0625</v>
      </c>
      <c r="U21">
        <f t="shared" si="4"/>
        <v>96.929699999999997</v>
      </c>
    </row>
    <row r="22" spans="1:21">
      <c r="A22" s="11">
        <v>43723</v>
      </c>
      <c r="B22" s="12">
        <v>1</v>
      </c>
      <c r="C22" s="12">
        <v>98.1875</v>
      </c>
      <c r="D22" s="12">
        <v>98.203100000000006</v>
      </c>
      <c r="E22" s="12">
        <v>7.7999999999999996E-3</v>
      </c>
      <c r="F22" s="12">
        <v>2.19</v>
      </c>
    </row>
    <row r="23" spans="1:21">
      <c r="A23" s="11">
        <v>43905</v>
      </c>
      <c r="B23" s="12">
        <v>1.125</v>
      </c>
      <c r="C23" s="12">
        <v>97.6875</v>
      </c>
      <c r="D23" s="12">
        <v>97.703100000000006</v>
      </c>
      <c r="E23" s="12">
        <v>1.5599999999999999E-2</v>
      </c>
      <c r="F23" s="12">
        <v>2.2810000000000001</v>
      </c>
      <c r="H23" t="s">
        <v>21</v>
      </c>
      <c r="Q23" s="14"/>
    </row>
    <row r="24" spans="1:21" ht="15" thickBot="1">
      <c r="A24" s="11">
        <v>43905</v>
      </c>
      <c r="B24" s="12">
        <v>1.375</v>
      </c>
      <c r="C24" s="12">
        <v>98.171899999999994</v>
      </c>
      <c r="D24" s="12">
        <v>98.1875</v>
      </c>
      <c r="E24" s="12">
        <v>7.7999999999999996E-3</v>
      </c>
      <c r="F24" s="12">
        <v>2.2879999999999998</v>
      </c>
      <c r="Q24" s="14"/>
    </row>
    <row r="25" spans="1:21">
      <c r="A25" s="6"/>
      <c r="B25" s="7"/>
      <c r="C25" s="7"/>
      <c r="D25" s="7"/>
      <c r="E25" s="7"/>
      <c r="F25" s="7"/>
      <c r="H25" s="24" t="s">
        <v>22</v>
      </c>
      <c r="I25" s="24"/>
      <c r="Q25" s="14"/>
    </row>
    <row r="26" spans="1:21">
      <c r="A26" s="5" t="s">
        <v>12</v>
      </c>
      <c r="B26" s="2"/>
      <c r="C26" s="2"/>
      <c r="D26" s="2"/>
      <c r="E26" s="2"/>
      <c r="F26" s="2"/>
      <c r="H26" s="21" t="s">
        <v>23</v>
      </c>
      <c r="I26" s="21">
        <v>0.99999812383102216</v>
      </c>
      <c r="Q26" s="14"/>
    </row>
    <row r="27" spans="1:21">
      <c r="A27" s="4" t="s">
        <v>8</v>
      </c>
      <c r="B27" s="4"/>
      <c r="C27" s="4"/>
      <c r="D27" s="4"/>
      <c r="E27" s="4"/>
      <c r="F27" s="4"/>
      <c r="H27" s="21" t="s">
        <v>24</v>
      </c>
      <c r="I27" s="21">
        <v>0.99999624766556428</v>
      </c>
      <c r="Q27" s="14"/>
    </row>
    <row r="28" spans="1:21">
      <c r="A28" s="4" t="s">
        <v>2</v>
      </c>
      <c r="B28" s="4" t="s">
        <v>9</v>
      </c>
      <c r="C28" s="8" t="s">
        <v>3</v>
      </c>
      <c r="D28" s="8" t="s">
        <v>4</v>
      </c>
      <c r="E28" s="4" t="s">
        <v>5</v>
      </c>
      <c r="F28" s="4" t="s">
        <v>10</v>
      </c>
      <c r="H28" s="21" t="s">
        <v>25</v>
      </c>
      <c r="I28" s="21">
        <v>0.79998799252980568</v>
      </c>
      <c r="Q28" s="14"/>
    </row>
    <row r="29" spans="1:21">
      <c r="A29" s="11">
        <v>45000</v>
      </c>
      <c r="B29" s="12">
        <v>2</v>
      </c>
      <c r="C29" s="12">
        <v>97.210899999999995</v>
      </c>
      <c r="D29" s="12">
        <v>97.226600000000005</v>
      </c>
      <c r="E29" s="12">
        <v>0.1172</v>
      </c>
      <c r="F29" s="12">
        <v>2.6040000000000001</v>
      </c>
      <c r="H29" s="21" t="s">
        <v>26</v>
      </c>
      <c r="I29" s="21">
        <v>0.35600550379310342</v>
      </c>
      <c r="Q29" s="14"/>
    </row>
    <row r="30" spans="1:21" ht="15" thickBot="1">
      <c r="A30" s="11">
        <v>45000</v>
      </c>
      <c r="B30" s="12">
        <v>7.125</v>
      </c>
      <c r="C30" s="12">
        <v>120.85939999999999</v>
      </c>
      <c r="D30" s="12">
        <v>120.875</v>
      </c>
      <c r="E30" s="12">
        <v>0.1016</v>
      </c>
      <c r="F30" s="12">
        <v>2.581</v>
      </c>
      <c r="H30" s="22" t="s">
        <v>27</v>
      </c>
      <c r="I30" s="22">
        <v>17</v>
      </c>
      <c r="Q30" s="14"/>
    </row>
    <row r="31" spans="1:21">
      <c r="A31" s="11">
        <v>45366</v>
      </c>
      <c r="B31" s="12">
        <v>2.75</v>
      </c>
      <c r="C31" s="12">
        <v>100.3984</v>
      </c>
      <c r="D31" s="12">
        <v>100.4141</v>
      </c>
      <c r="E31" s="12">
        <v>0.1719</v>
      </c>
      <c r="F31" s="12">
        <v>2.6739999999999999</v>
      </c>
      <c r="Q31" s="14"/>
    </row>
    <row r="32" spans="1:21" ht="15" thickBot="1">
      <c r="A32" s="11">
        <v>45366</v>
      </c>
      <c r="B32" s="12">
        <v>2.125</v>
      </c>
      <c r="C32" s="12">
        <v>96.914100000000005</v>
      </c>
      <c r="D32" s="12">
        <v>96.929699999999997</v>
      </c>
      <c r="E32" s="12">
        <v>0.1953</v>
      </c>
      <c r="F32" s="12">
        <v>2.6859999999999999</v>
      </c>
      <c r="H32" t="s">
        <v>28</v>
      </c>
      <c r="Q32" s="14"/>
    </row>
    <row r="33" spans="7:17">
      <c r="H33" s="23"/>
      <c r="I33" s="23" t="s">
        <v>33</v>
      </c>
      <c r="J33" s="23" t="s">
        <v>34</v>
      </c>
      <c r="K33" s="23" t="s">
        <v>35</v>
      </c>
      <c r="L33" s="23" t="s">
        <v>36</v>
      </c>
      <c r="M33" s="23" t="s">
        <v>37</v>
      </c>
      <c r="Q33" s="14"/>
    </row>
    <row r="34" spans="7:17">
      <c r="H34" s="21" t="s">
        <v>29</v>
      </c>
      <c r="I34" s="21">
        <v>12</v>
      </c>
      <c r="J34" s="21">
        <v>168880.79318510636</v>
      </c>
      <c r="K34" s="21">
        <v>14073.399432092197</v>
      </c>
      <c r="L34" s="21">
        <v>111041.56901003265</v>
      </c>
      <c r="M34" s="21">
        <v>1.8923377486671005E-10</v>
      </c>
      <c r="Q34" s="14"/>
    </row>
    <row r="35" spans="7:17">
      <c r="H35" s="21" t="s">
        <v>30</v>
      </c>
      <c r="I35" s="21">
        <v>5</v>
      </c>
      <c r="J35" s="21">
        <v>0.6336995936549068</v>
      </c>
      <c r="K35" s="21">
        <v>0.12673991873098137</v>
      </c>
      <c r="L35" s="21"/>
      <c r="M35" s="21"/>
      <c r="Q35" s="14"/>
    </row>
    <row r="36" spans="7:17" ht="15" thickBot="1">
      <c r="H36" s="22" t="s">
        <v>31</v>
      </c>
      <c r="I36" s="22">
        <v>17</v>
      </c>
      <c r="J36" s="22">
        <v>168881.42688470002</v>
      </c>
      <c r="K36" s="22"/>
      <c r="L36" s="22"/>
      <c r="M36" s="22"/>
      <c r="Q36" s="14"/>
    </row>
    <row r="37" spans="7:17" ht="15" thickBot="1">
      <c r="Q37" s="14"/>
    </row>
    <row r="38" spans="7:17">
      <c r="H38" s="23"/>
      <c r="I38" s="23" t="s">
        <v>38</v>
      </c>
      <c r="J38" s="23" t="s">
        <v>26</v>
      </c>
      <c r="K38" s="23" t="s">
        <v>39</v>
      </c>
      <c r="L38" s="23" t="s">
        <v>40</v>
      </c>
      <c r="M38" s="23" t="s">
        <v>41</v>
      </c>
      <c r="N38" s="23" t="s">
        <v>42</v>
      </c>
      <c r="O38" s="23" t="s">
        <v>43</v>
      </c>
      <c r="P38" s="23" t="s">
        <v>44</v>
      </c>
      <c r="Q38" s="26"/>
    </row>
    <row r="39" spans="7:17">
      <c r="H39" s="21" t="s">
        <v>32</v>
      </c>
      <c r="I39" s="21">
        <v>0</v>
      </c>
      <c r="J39" s="21" t="e">
        <v>#N/A</v>
      </c>
      <c r="K39" s="21" t="e">
        <v>#N/A</v>
      </c>
      <c r="L39" s="21" t="e">
        <v>#N/A</v>
      </c>
      <c r="M39" s="21" t="e">
        <v>#N/A</v>
      </c>
      <c r="N39" s="21" t="e">
        <v>#N/A</v>
      </c>
      <c r="O39" s="21" t="e">
        <v>#N/A</v>
      </c>
      <c r="P39" s="21" t="e">
        <v>#N/A</v>
      </c>
      <c r="Q39" s="21"/>
    </row>
    <row r="40" spans="7:17">
      <c r="H40" s="21" t="s">
        <v>45</v>
      </c>
      <c r="I40" s="21">
        <v>0.99038536152500167</v>
      </c>
      <c r="J40" s="21">
        <v>2.5110423919442477E-3</v>
      </c>
      <c r="K40" s="21">
        <v>394.41204366054808</v>
      </c>
      <c r="L40" s="21">
        <v>1.9884886215794015E-12</v>
      </c>
      <c r="M40" s="21">
        <v>0.98393052156375704</v>
      </c>
      <c r="N40" s="21">
        <v>0.9968402014862463</v>
      </c>
      <c r="O40" s="21">
        <v>0.98393052156375704</v>
      </c>
      <c r="P40" s="21">
        <v>0.9968402014862463</v>
      </c>
      <c r="Q40" s="21"/>
    </row>
    <row r="41" spans="7:17">
      <c r="H41" s="21" t="s">
        <v>46</v>
      </c>
      <c r="I41" s="21">
        <v>0.97983962817539527</v>
      </c>
      <c r="J41" s="21">
        <v>2.5110580075937854E-3</v>
      </c>
      <c r="K41" s="21">
        <v>390.2098737712252</v>
      </c>
      <c r="L41" s="21">
        <v>2.0978867017249032E-12</v>
      </c>
      <c r="M41" s="21">
        <v>0.97338474807284558</v>
      </c>
      <c r="N41" s="21">
        <v>0.98629450827794496</v>
      </c>
      <c r="O41" s="21">
        <v>0.97338474807284558</v>
      </c>
      <c r="P41" s="21">
        <v>0.98629450827794496</v>
      </c>
      <c r="Q41" s="21"/>
    </row>
    <row r="42" spans="7:17">
      <c r="H42" s="21" t="s">
        <v>48</v>
      </c>
      <c r="I42" s="21">
        <v>0.96725301471408009</v>
      </c>
      <c r="J42" s="21">
        <v>2.5048658510903438E-3</v>
      </c>
      <c r="K42" s="21">
        <v>386.14962725171262</v>
      </c>
      <c r="L42" s="21">
        <v>2.2105205498082339E-12</v>
      </c>
      <c r="M42" s="21">
        <v>0.96081405205656156</v>
      </c>
      <c r="N42" s="21">
        <v>0.97369197737159863</v>
      </c>
      <c r="O42" s="21">
        <v>0.96081405205656156</v>
      </c>
      <c r="P42" s="21">
        <v>0.97369197737159863</v>
      </c>
      <c r="Q42" s="21"/>
    </row>
    <row r="43" spans="7:17">
      <c r="H43" s="21" t="s">
        <v>47</v>
      </c>
      <c r="I43" s="21">
        <v>0.95888758830192389</v>
      </c>
      <c r="J43" s="21">
        <v>2.0453372176170393E-3</v>
      </c>
      <c r="K43" s="21">
        <v>468.81637905122307</v>
      </c>
      <c r="L43" s="21">
        <v>8.3804783753366329E-13</v>
      </c>
      <c r="M43" s="21">
        <v>0.95362988160256656</v>
      </c>
      <c r="N43" s="21">
        <v>0.96414529500128121</v>
      </c>
      <c r="O43" s="21">
        <v>0.95362988160256656</v>
      </c>
      <c r="P43" s="21">
        <v>0.96414529500128121</v>
      </c>
      <c r="Q43" s="21"/>
    </row>
    <row r="44" spans="7:17">
      <c r="H44" s="21" t="s">
        <v>49</v>
      </c>
      <c r="I44" s="21">
        <v>0.94336783270026003</v>
      </c>
      <c r="J44" s="21">
        <v>3.535896347201356E-3</v>
      </c>
      <c r="K44" s="21">
        <v>266.79736623131811</v>
      </c>
      <c r="L44" s="21">
        <v>1.4038826379252577E-11</v>
      </c>
      <c r="M44" s="21">
        <v>0.93427852177745141</v>
      </c>
      <c r="N44" s="21">
        <v>0.95245714362306866</v>
      </c>
      <c r="O44" s="21">
        <v>0.93427852177745141</v>
      </c>
      <c r="P44" s="21">
        <v>0.95245714362306866</v>
      </c>
      <c r="Q44" s="21"/>
    </row>
    <row r="45" spans="7:17">
      <c r="H45" s="21" t="s">
        <v>50</v>
      </c>
      <c r="I45" s="21">
        <v>0.93061807592160817</v>
      </c>
      <c r="J45" s="21">
        <v>3.5189581340233341E-3</v>
      </c>
      <c r="K45" s="21">
        <v>264.45841083582417</v>
      </c>
      <c r="L45" s="21">
        <v>1.4670685676965903E-11</v>
      </c>
      <c r="M45" s="21">
        <v>0.92157230606192309</v>
      </c>
      <c r="N45" s="21">
        <v>0.93966384578129325</v>
      </c>
      <c r="O45" s="21">
        <v>0.92157230606192309</v>
      </c>
      <c r="P45" s="21">
        <v>0.93966384578129325</v>
      </c>
      <c r="Q45" s="21"/>
    </row>
    <row r="46" spans="7:17">
      <c r="H46" s="21" t="s">
        <v>51</v>
      </c>
      <c r="I46" s="21">
        <v>0.91637118488996605</v>
      </c>
      <c r="J46" s="21">
        <v>3.5403469680365569E-3</v>
      </c>
      <c r="K46" s="21">
        <v>258.83654714164271</v>
      </c>
      <c r="L46" s="21">
        <v>1.633452168263311E-11</v>
      </c>
      <c r="M46" s="21">
        <v>0.90727043328208112</v>
      </c>
      <c r="N46" s="21">
        <v>0.92547193649785098</v>
      </c>
      <c r="O46" s="21">
        <v>0.90727043328208112</v>
      </c>
      <c r="P46" s="21">
        <v>0.92547193649785098</v>
      </c>
      <c r="Q46" s="21"/>
    </row>
    <row r="47" spans="7:17">
      <c r="H47" s="21" t="s">
        <v>52</v>
      </c>
      <c r="I47" s="21">
        <v>0.90373945625328767</v>
      </c>
      <c r="J47" s="21">
        <v>3.5297978504546606E-3</v>
      </c>
      <c r="K47" s="21">
        <v>256.03150507241662</v>
      </c>
      <c r="L47" s="21">
        <v>1.7249075943689061E-11</v>
      </c>
      <c r="M47" s="21">
        <v>0.89466582201544076</v>
      </c>
      <c r="N47" s="21">
        <v>0.91281309049113457</v>
      </c>
      <c r="O47" s="21">
        <v>0.89466582201544076</v>
      </c>
      <c r="P47" s="21">
        <v>0.91281309049113457</v>
      </c>
      <c r="Q47" s="21"/>
    </row>
    <row r="48" spans="7:17">
      <c r="G48" t="s">
        <v>176</v>
      </c>
      <c r="H48" s="27" t="s">
        <v>53</v>
      </c>
      <c r="I48" s="28">
        <v>0.75820219898188435</v>
      </c>
      <c r="J48" s="28">
        <v>0.20114693863321817</v>
      </c>
      <c r="K48" s="28">
        <v>3.7693946730376533</v>
      </c>
      <c r="L48" s="28">
        <v>1.3031023800930937E-2</v>
      </c>
      <c r="M48" s="28">
        <v>0.24113753223748113</v>
      </c>
      <c r="N48" s="28">
        <v>1.2752668657262876</v>
      </c>
      <c r="O48" s="28">
        <v>0.24113753223748113</v>
      </c>
      <c r="P48" s="28">
        <v>1.2752668657262876</v>
      </c>
      <c r="Q48" s="21"/>
    </row>
    <row r="49" spans="7:17">
      <c r="H49" s="21" t="s">
        <v>55</v>
      </c>
      <c r="I49" s="21">
        <v>0.8799795609756097</v>
      </c>
      <c r="J49" s="21">
        <v>5.1406361575420806E-3</v>
      </c>
      <c r="K49" s="21">
        <v>171.18106281156435</v>
      </c>
      <c r="L49" s="21">
        <v>1.2908223840543619E-10</v>
      </c>
      <c r="M49" s="21">
        <v>0.86676513504541675</v>
      </c>
      <c r="N49" s="21">
        <v>0.89319398690580265</v>
      </c>
      <c r="O49" s="21">
        <v>0.86676513504541675</v>
      </c>
      <c r="P49" s="21">
        <v>0.89319398690580265</v>
      </c>
      <c r="Q49" s="21"/>
    </row>
    <row r="50" spans="7:17">
      <c r="G50" t="s">
        <v>176</v>
      </c>
      <c r="H50" s="27" t="s">
        <v>56</v>
      </c>
      <c r="I50" s="28">
        <v>1.0706086975609879</v>
      </c>
      <c r="J50" s="28">
        <v>1.6425274744186957</v>
      </c>
      <c r="K50" s="28">
        <v>0.65180565575616034</v>
      </c>
      <c r="L50" s="28">
        <v>0.543295805581538</v>
      </c>
      <c r="M50" s="28">
        <v>-3.151642592713304</v>
      </c>
      <c r="N50" s="28">
        <v>5.2928599878352793</v>
      </c>
      <c r="O50" s="28">
        <v>-3.151642592713304</v>
      </c>
      <c r="P50" s="28">
        <v>5.2928599878352793</v>
      </c>
      <c r="Q50" s="14"/>
    </row>
    <row r="51" spans="7:17" ht="15" thickBot="1">
      <c r="H51" s="22" t="s">
        <v>57</v>
      </c>
      <c r="I51" s="22">
        <v>0.85082740000000001</v>
      </c>
      <c r="J51" s="22">
        <v>1.9795954857399371E-2</v>
      </c>
      <c r="K51" s="22">
        <v>42.979861599450764</v>
      </c>
      <c r="L51" s="22">
        <v>1.2866580902525888E-7</v>
      </c>
      <c r="M51" s="22">
        <v>0.79994027802449275</v>
      </c>
      <c r="N51" s="22">
        <v>0.90171452197550728</v>
      </c>
      <c r="O51" s="22">
        <v>0.79994027802449275</v>
      </c>
      <c r="P51" s="22">
        <v>0.90171452197550728</v>
      </c>
      <c r="Q51" s="14"/>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4"/>
  <sheetViews>
    <sheetView tabSelected="1" workbookViewId="0">
      <selection activeCell="M6" sqref="M6"/>
    </sheetView>
  </sheetViews>
  <sheetFormatPr baseColWidth="10" defaultColWidth="10.83203125" defaultRowHeight="14"/>
  <sheetData>
    <row r="1" spans="1:13">
      <c r="A1" s="14" t="s">
        <v>54</v>
      </c>
      <c r="B1" s="14" t="s">
        <v>102</v>
      </c>
      <c r="C1" t="s">
        <v>101</v>
      </c>
      <c r="D1" t="s">
        <v>100</v>
      </c>
      <c r="E1" t="s">
        <v>99</v>
      </c>
      <c r="F1" t="s">
        <v>70</v>
      </c>
      <c r="H1" s="127" t="s">
        <v>102</v>
      </c>
      <c r="I1" s="98"/>
      <c r="J1" s="98"/>
      <c r="K1" s="98"/>
      <c r="L1" s="98"/>
      <c r="M1" s="98"/>
    </row>
    <row r="2" spans="1:13">
      <c r="A2" s="80">
        <v>0.99034000000000011</v>
      </c>
      <c r="B2" s="14">
        <v>0.5</v>
      </c>
      <c r="C2">
        <f t="shared" ref="C2:C13" si="0">B2</f>
        <v>0.5</v>
      </c>
      <c r="D2">
        <f t="shared" ref="D2:D13" si="1">B2^2</f>
        <v>0.25</v>
      </c>
      <c r="E2">
        <f>B2^3</f>
        <v>0.125</v>
      </c>
      <c r="F2">
        <f>2*((A2^(-1/1))-1)</f>
        <v>1.9508451642869851E-2</v>
      </c>
      <c r="H2" s="127">
        <v>0.5</v>
      </c>
      <c r="I2" s="98" t="s">
        <v>93</v>
      </c>
      <c r="J2" s="98">
        <f>F2</f>
        <v>1.9508451642869851E-2</v>
      </c>
      <c r="K2" s="98"/>
      <c r="L2" s="98" t="s">
        <v>135</v>
      </c>
      <c r="M2" s="98">
        <f>J2</f>
        <v>1.9508451642869851E-2</v>
      </c>
    </row>
    <row r="3" spans="1:13">
      <c r="A3" s="80">
        <v>0.98031999999999997</v>
      </c>
      <c r="B3" s="14">
        <v>1</v>
      </c>
      <c r="C3">
        <f t="shared" si="0"/>
        <v>1</v>
      </c>
      <c r="D3">
        <f t="shared" si="1"/>
        <v>1</v>
      </c>
      <c r="E3">
        <f t="shared" ref="E3:E13" si="2">B3^3</f>
        <v>1</v>
      </c>
      <c r="F3">
        <f>2*((A3^(-1/2))-1)</f>
        <v>1.9975324132159855E-2</v>
      </c>
      <c r="H3" s="127">
        <v>1</v>
      </c>
      <c r="I3" s="98" t="s">
        <v>91</v>
      </c>
      <c r="J3" s="98">
        <f>F3</f>
        <v>1.9975324132159855E-2</v>
      </c>
      <c r="K3" s="98"/>
      <c r="L3" s="98" t="s">
        <v>137</v>
      </c>
      <c r="M3" s="98">
        <f>((1+J3/2)^2/(1+J2/2)^1-1)*2</f>
        <v>2.0442304553615731E-2</v>
      </c>
    </row>
    <row r="4" spans="1:13">
      <c r="A4" s="21">
        <v>0.9672525283451342</v>
      </c>
      <c r="B4" s="14">
        <v>1.5</v>
      </c>
      <c r="C4">
        <f t="shared" si="0"/>
        <v>1.5</v>
      </c>
      <c r="D4">
        <f t="shared" si="1"/>
        <v>2.25</v>
      </c>
      <c r="E4">
        <f t="shared" si="2"/>
        <v>3.375</v>
      </c>
      <c r="F4">
        <f>2*((A4^(-1/3))-1)</f>
        <v>2.2320749239206794E-2</v>
      </c>
      <c r="H4" s="127">
        <v>1.5</v>
      </c>
      <c r="I4" s="98" t="s">
        <v>89</v>
      </c>
      <c r="J4" s="98">
        <f t="shared" ref="J3:J7" si="3">F4</f>
        <v>2.2320749239206794E-2</v>
      </c>
      <c r="K4" s="98"/>
      <c r="L4" s="98" t="s">
        <v>139</v>
      </c>
      <c r="M4" s="98">
        <f>((1+J4/2)^3/(1+J3/2)^2-1)*2</f>
        <v>2.7019772545278986E-2</v>
      </c>
    </row>
    <row r="5" spans="1:13">
      <c r="A5" s="21">
        <v>0.95888694301098876</v>
      </c>
      <c r="B5" s="14">
        <v>2</v>
      </c>
      <c r="C5">
        <f t="shared" si="0"/>
        <v>2</v>
      </c>
      <c r="D5">
        <f t="shared" si="1"/>
        <v>4</v>
      </c>
      <c r="E5">
        <f t="shared" si="2"/>
        <v>8</v>
      </c>
      <c r="F5">
        <f>2*((A5^(-1/4))-1)</f>
        <v>2.1101593222265347E-2</v>
      </c>
      <c r="H5" s="127">
        <v>2</v>
      </c>
      <c r="I5" s="98" t="s">
        <v>87</v>
      </c>
      <c r="J5" s="98">
        <f t="shared" si="3"/>
        <v>2.1101593222265347E-2</v>
      </c>
      <c r="K5" s="98"/>
      <c r="L5" s="98" t="s">
        <v>141</v>
      </c>
      <c r="M5" s="98">
        <f>((1+J5/2)^4/(1+J4/2)^3-1)*2</f>
        <v>1.7448533208465733E-2</v>
      </c>
    </row>
    <row r="6" spans="1:13">
      <c r="A6" s="21">
        <v>0.94336712884878171</v>
      </c>
      <c r="B6" s="14">
        <v>2.5</v>
      </c>
      <c r="C6">
        <f t="shared" si="0"/>
        <v>2.5</v>
      </c>
      <c r="D6">
        <f t="shared" si="1"/>
        <v>6.25</v>
      </c>
      <c r="E6">
        <f t="shared" si="2"/>
        <v>15.625</v>
      </c>
      <c r="F6">
        <f>2*((A6^(-1/5))-1)</f>
        <v>2.3456385202653252E-2</v>
      </c>
      <c r="H6" s="127">
        <v>2.5</v>
      </c>
      <c r="I6" s="98" t="s">
        <v>85</v>
      </c>
      <c r="J6" s="98">
        <f t="shared" si="3"/>
        <v>2.3456385202653252E-2</v>
      </c>
      <c r="K6" s="98"/>
      <c r="L6" s="98" t="s">
        <v>143</v>
      </c>
      <c r="M6" s="98">
        <f>((1+J6/2)^5/(1+J5/2)^4-1)*2</f>
        <v>3.2903020865579613E-2</v>
      </c>
    </row>
    <row r="7" spans="1:13">
      <c r="A7" s="21">
        <v>0.93061687444567276</v>
      </c>
      <c r="B7" s="14">
        <v>3</v>
      </c>
      <c r="C7">
        <f t="shared" si="0"/>
        <v>3</v>
      </c>
      <c r="D7">
        <f t="shared" si="1"/>
        <v>9</v>
      </c>
      <c r="E7">
        <f t="shared" si="2"/>
        <v>27</v>
      </c>
      <c r="F7">
        <f>2*((A7^(-1/6))-1)</f>
        <v>2.4113408463077857E-2</v>
      </c>
      <c r="H7" s="127">
        <v>3</v>
      </c>
      <c r="I7" s="98" t="s">
        <v>83</v>
      </c>
      <c r="J7" s="98">
        <f t="shared" si="3"/>
        <v>2.4113408463077857E-2</v>
      </c>
      <c r="K7" s="98"/>
      <c r="L7" s="98" t="s">
        <v>145</v>
      </c>
      <c r="M7" s="98">
        <f>((1+J7/2)^6/(1+J6/2)^5-1)*2</f>
        <v>2.7401726216716771E-2</v>
      </c>
    </row>
    <row r="8" spans="1:13">
      <c r="A8" s="21">
        <v>0.91637061895318017</v>
      </c>
      <c r="B8" s="14">
        <v>3.5</v>
      </c>
      <c r="C8">
        <f t="shared" si="0"/>
        <v>3.5</v>
      </c>
      <c r="D8">
        <f t="shared" si="1"/>
        <v>12.25</v>
      </c>
      <c r="E8">
        <f t="shared" si="2"/>
        <v>42.875</v>
      </c>
      <c r="F8">
        <f>2*((A8^(-1/7))-1)</f>
        <v>2.5108991414072079E-2</v>
      </c>
      <c r="H8" s="127">
        <v>3.5</v>
      </c>
      <c r="I8" s="98" t="s">
        <v>81</v>
      </c>
      <c r="J8" s="98">
        <f>F8</f>
        <v>2.5108991414072079E-2</v>
      </c>
      <c r="K8" s="98"/>
      <c r="L8" s="98" t="s">
        <v>147</v>
      </c>
      <c r="M8" s="98">
        <f>((1+J8/2)^7/(1+J7/2)^6-1)*2</f>
        <v>3.1092781016413884E-2</v>
      </c>
    </row>
    <row r="9" spans="1:13">
      <c r="A9" s="21">
        <v>0.90373858354338776</v>
      </c>
      <c r="B9" s="14">
        <v>4</v>
      </c>
      <c r="C9">
        <f t="shared" si="0"/>
        <v>4</v>
      </c>
      <c r="D9">
        <f t="shared" si="1"/>
        <v>16</v>
      </c>
      <c r="E9">
        <f t="shared" si="2"/>
        <v>64</v>
      </c>
      <c r="F9">
        <f>2*((A9^(-1/8))-1)</f>
        <v>2.5464532058742773E-2</v>
      </c>
      <c r="H9" s="127">
        <v>4</v>
      </c>
      <c r="I9" s="98" t="s">
        <v>79</v>
      </c>
      <c r="J9" s="98">
        <f>F9</f>
        <v>2.5464532058742773E-2</v>
      </c>
      <c r="K9" s="98"/>
      <c r="L9" s="98" t="s">
        <v>149</v>
      </c>
      <c r="M9" s="98">
        <f>((1+J9/2)^8/(1+J8/2)^7-1)*2</f>
        <v>2.795506497081135E-2</v>
      </c>
    </row>
    <row r="10" spans="1:13">
      <c r="A10" s="21">
        <v>0.8799795609756097</v>
      </c>
      <c r="B10" s="2">
        <v>5</v>
      </c>
      <c r="C10">
        <f t="shared" si="0"/>
        <v>5</v>
      </c>
      <c r="D10">
        <f t="shared" si="1"/>
        <v>25</v>
      </c>
      <c r="E10">
        <f t="shared" si="2"/>
        <v>125</v>
      </c>
      <c r="F10">
        <f>2*((A10^(-1/10))-1)</f>
        <v>2.5735491621576401E-2</v>
      </c>
      <c r="H10" s="127">
        <v>4.5</v>
      </c>
      <c r="I10" s="98" t="s">
        <v>163</v>
      </c>
      <c r="J10" s="98">
        <f>F12</f>
        <v>2.5774974963942654E-2</v>
      </c>
      <c r="K10" s="98"/>
      <c r="L10" s="98" t="s">
        <v>168</v>
      </c>
      <c r="M10" s="98">
        <f>((1+J10/2)^9/(1+J9/2)^8-1)*2</f>
        <v>2.8260231755064869E-2</v>
      </c>
    </row>
    <row r="11" spans="1:13" ht="15" thickBot="1">
      <c r="A11" s="22">
        <v>0.85082739999999901</v>
      </c>
      <c r="B11" s="2">
        <v>6</v>
      </c>
      <c r="C11">
        <f t="shared" si="0"/>
        <v>6</v>
      </c>
      <c r="D11">
        <f t="shared" si="1"/>
        <v>36</v>
      </c>
      <c r="E11">
        <f t="shared" si="2"/>
        <v>216</v>
      </c>
      <c r="F11">
        <f>2*((A11^(-1/12))-1)</f>
        <v>2.710637777023317E-2</v>
      </c>
      <c r="H11" s="127">
        <v>5</v>
      </c>
      <c r="I11" s="98" t="s">
        <v>164</v>
      </c>
      <c r="J11" s="98">
        <f>F10</f>
        <v>2.5735491621576401E-2</v>
      </c>
      <c r="K11" s="98"/>
      <c r="L11" s="98" t="s">
        <v>170</v>
      </c>
      <c r="M11" s="98">
        <f>((1+J11/2)^10/(1+J10/2)^9-1)*2</f>
        <v>2.538017616821131E-2</v>
      </c>
    </row>
    <row r="12" spans="1:13">
      <c r="A12" s="123">
        <f>B31+B32*C12+B33*D12+B34*E12</f>
        <v>0.89114657911660278</v>
      </c>
      <c r="B12" s="2">
        <v>4.5</v>
      </c>
      <c r="C12">
        <f t="shared" si="0"/>
        <v>4.5</v>
      </c>
      <c r="D12">
        <f t="shared" si="1"/>
        <v>20.25</v>
      </c>
      <c r="E12">
        <f t="shared" si="2"/>
        <v>91.125</v>
      </c>
      <c r="F12">
        <f>2*((A12^(-1/9))-1)</f>
        <v>2.5774974963942654E-2</v>
      </c>
      <c r="H12" s="127">
        <v>5.5</v>
      </c>
      <c r="I12" s="98" t="s">
        <v>165</v>
      </c>
      <c r="J12" s="98">
        <f>F13</f>
        <v>2.6630602298170825E-2</v>
      </c>
      <c r="K12" s="98"/>
      <c r="L12" s="98" t="s">
        <v>172</v>
      </c>
      <c r="M12" s="98">
        <f>((1+J12/2)^11/(1+J11/2)^10-1)*2</f>
        <v>3.5603491641144291E-2</v>
      </c>
    </row>
    <row r="13" spans="1:13">
      <c r="A13" s="123">
        <f>B31+B32*C13+B33*D13+B34*E13</f>
        <v>0.86458837842349512</v>
      </c>
      <c r="B13" s="2">
        <v>5.5</v>
      </c>
      <c r="C13">
        <f t="shared" si="0"/>
        <v>5.5</v>
      </c>
      <c r="D13">
        <f t="shared" si="1"/>
        <v>30.25</v>
      </c>
      <c r="E13">
        <f t="shared" si="2"/>
        <v>166.375</v>
      </c>
      <c r="F13">
        <f>2*((A13^(-1/11))-1)</f>
        <v>2.6630602298170825E-2</v>
      </c>
      <c r="H13" s="127">
        <v>6</v>
      </c>
      <c r="I13" s="98" t="s">
        <v>166</v>
      </c>
      <c r="J13" s="98">
        <f>F11</f>
        <v>2.710637777023317E-2</v>
      </c>
      <c r="K13" s="98"/>
      <c r="L13" s="98" t="s">
        <v>174</v>
      </c>
      <c r="M13" s="98">
        <f>((1+J13/2)^12/(1+J12/2)^11-1)*2</f>
        <v>3.2347285532872139E-2</v>
      </c>
    </row>
    <row r="14" spans="1:13">
      <c r="H14" s="98"/>
      <c r="I14" s="98"/>
      <c r="J14" s="98"/>
      <c r="K14" s="98"/>
      <c r="L14" s="98"/>
      <c r="M14" s="98"/>
    </row>
    <row r="15" spans="1:13">
      <c r="A15" t="s">
        <v>21</v>
      </c>
      <c r="J15" s="98"/>
      <c r="K15" s="98"/>
      <c r="L15" s="98"/>
      <c r="M15" s="98"/>
    </row>
    <row r="16" spans="1:13" ht="15" thickBot="1">
      <c r="J16" s="98"/>
      <c r="K16" s="98"/>
      <c r="L16" s="98"/>
      <c r="M16" s="98"/>
    </row>
    <row r="17" spans="1:9">
      <c r="A17" s="24" t="s">
        <v>22</v>
      </c>
      <c r="B17" s="24"/>
    </row>
    <row r="18" spans="1:9">
      <c r="A18" s="21" t="s">
        <v>23</v>
      </c>
      <c r="B18" s="21">
        <v>0.99954651155720609</v>
      </c>
    </row>
    <row r="19" spans="1:9">
      <c r="A19" s="21" t="s">
        <v>24</v>
      </c>
      <c r="B19" s="21">
        <v>0.99909322876618001</v>
      </c>
    </row>
    <row r="20" spans="1:9">
      <c r="A20" s="21" t="s">
        <v>25</v>
      </c>
      <c r="B20" s="21">
        <v>0.9986398431492699</v>
      </c>
    </row>
    <row r="21" spans="1:9">
      <c r="A21" s="21" t="s">
        <v>26</v>
      </c>
      <c r="B21" s="21">
        <v>1.6572427631578077E-3</v>
      </c>
    </row>
    <row r="22" spans="1:9" ht="15" thickBot="1">
      <c r="A22" s="22" t="s">
        <v>27</v>
      </c>
      <c r="B22" s="22">
        <v>10</v>
      </c>
    </row>
    <row r="24" spans="1:9" ht="15" thickBot="1">
      <c r="A24" t="s">
        <v>28</v>
      </c>
    </row>
    <row r="25" spans="1:9">
      <c r="A25" s="23"/>
      <c r="B25" s="23" t="s">
        <v>33</v>
      </c>
      <c r="C25" s="23" t="s">
        <v>34</v>
      </c>
      <c r="D25" s="23" t="s">
        <v>35</v>
      </c>
      <c r="E25" s="23" t="s">
        <v>36</v>
      </c>
      <c r="F25" s="23" t="s">
        <v>37</v>
      </c>
    </row>
    <row r="26" spans="1:9">
      <c r="A26" s="21" t="s">
        <v>29</v>
      </c>
      <c r="B26" s="21">
        <v>3</v>
      </c>
      <c r="C26" s="21">
        <v>1.8156485794424665E-2</v>
      </c>
      <c r="D26" s="21">
        <v>6.052161931474888E-3</v>
      </c>
      <c r="E26" s="21">
        <v>2203.6279747366498</v>
      </c>
      <c r="F26" s="21">
        <v>1.6303976297894876E-9</v>
      </c>
    </row>
    <row r="27" spans="1:9">
      <c r="A27" s="21" t="s">
        <v>30</v>
      </c>
      <c r="B27" s="21">
        <v>6</v>
      </c>
      <c r="C27" s="21">
        <v>1.6478721456233554E-5</v>
      </c>
      <c r="D27" s="21">
        <v>2.7464535760389259E-6</v>
      </c>
      <c r="E27" s="21"/>
      <c r="F27" s="21"/>
    </row>
    <row r="28" spans="1:9" ht="15" thickBot="1">
      <c r="A28" s="22" t="s">
        <v>31</v>
      </c>
      <c r="B28" s="22">
        <v>9</v>
      </c>
      <c r="C28" s="22">
        <v>1.8172964515880897E-2</v>
      </c>
      <c r="D28" s="22"/>
      <c r="E28" s="22"/>
      <c r="F28" s="22"/>
    </row>
    <row r="29" spans="1:9" ht="15" thickBot="1"/>
    <row r="30" spans="1:9">
      <c r="A30" s="23"/>
      <c r="B30" s="23" t="s">
        <v>38</v>
      </c>
      <c r="C30" s="23" t="s">
        <v>26</v>
      </c>
      <c r="D30" s="23" t="s">
        <v>39</v>
      </c>
      <c r="E30" s="23" t="s">
        <v>40</v>
      </c>
      <c r="F30" s="23" t="s">
        <v>41</v>
      </c>
      <c r="G30" s="23" t="s">
        <v>42</v>
      </c>
      <c r="H30" s="23" t="s">
        <v>43</v>
      </c>
      <c r="I30" s="23" t="s">
        <v>44</v>
      </c>
    </row>
    <row r="31" spans="1:9">
      <c r="A31" s="21" t="s">
        <v>32</v>
      </c>
      <c r="B31" s="21">
        <v>1.0008828196977317</v>
      </c>
      <c r="C31" s="21">
        <v>2.7886118918619891E-3</v>
      </c>
      <c r="D31" s="21">
        <v>358.91793426636735</v>
      </c>
      <c r="E31" s="21">
        <v>3.1570373455123417E-14</v>
      </c>
      <c r="F31" s="21">
        <v>0.99405933221129084</v>
      </c>
      <c r="G31" s="21">
        <v>1.0077063071841725</v>
      </c>
      <c r="H31" s="21">
        <v>0.99405933221129084</v>
      </c>
      <c r="I31" s="21">
        <v>1.0077063071841725</v>
      </c>
    </row>
    <row r="32" spans="1:9">
      <c r="A32" s="21" t="s">
        <v>78</v>
      </c>
      <c r="B32" s="21">
        <v>-1.9475447638753241E-2</v>
      </c>
      <c r="C32" s="21">
        <v>3.6659517645200789E-3</v>
      </c>
      <c r="D32" s="21">
        <v>-5.3125215195794677</v>
      </c>
      <c r="E32" s="21">
        <v>1.8080455909734821E-3</v>
      </c>
      <c r="F32" s="21">
        <v>-2.8445708457083236E-2</v>
      </c>
      <c r="G32" s="21">
        <v>-1.0505186820423246E-2</v>
      </c>
      <c r="H32" s="21">
        <v>-2.8445708457083236E-2</v>
      </c>
      <c r="I32" s="21">
        <v>-1.0505186820423246E-2</v>
      </c>
    </row>
    <row r="33" spans="1:9">
      <c r="A33" s="21" t="s">
        <v>77</v>
      </c>
      <c r="B33" s="21">
        <v>-1.6608309763968593E-3</v>
      </c>
      <c r="C33" s="21">
        <v>1.3135168795997288E-3</v>
      </c>
      <c r="D33" s="21">
        <v>-1.2644154043174294</v>
      </c>
      <c r="E33" s="21">
        <v>0.25297604008510471</v>
      </c>
      <c r="F33" s="21">
        <v>-4.8748909957683963E-3</v>
      </c>
      <c r="G33" s="21">
        <v>1.5532290429746776E-3</v>
      </c>
      <c r="H33" s="21">
        <v>-4.8748909957683963E-3</v>
      </c>
      <c r="I33" s="21">
        <v>1.5532290429746776E-3</v>
      </c>
    </row>
    <row r="34" spans="1:9" ht="15" thickBot="1">
      <c r="A34" s="22" t="s">
        <v>76</v>
      </c>
      <c r="B34" s="22">
        <v>1.2658547122410988E-4</v>
      </c>
      <c r="C34" s="22">
        <v>1.340502495463782E-4</v>
      </c>
      <c r="D34" s="22">
        <v>0.94431358130604837</v>
      </c>
      <c r="E34" s="22">
        <v>0.3814649653782532</v>
      </c>
      <c r="F34" s="22">
        <v>-2.0142367303986353E-4</v>
      </c>
      <c r="G34" s="22">
        <v>4.545946154880833E-4</v>
      </c>
      <c r="H34" s="22">
        <v>-2.0142367303986353E-4</v>
      </c>
      <c r="I34" s="22">
        <v>4.545946154880833E-4</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0"/>
  <sheetViews>
    <sheetView workbookViewId="0">
      <selection activeCell="B20" sqref="B20"/>
    </sheetView>
  </sheetViews>
  <sheetFormatPr baseColWidth="10" defaultColWidth="10.83203125" defaultRowHeight="14"/>
  <cols>
    <col min="7" max="7" width="16" customWidth="1"/>
    <col min="8" max="8" width="13.1640625" customWidth="1"/>
    <col min="9" max="9" width="14.1640625" bestFit="1" customWidth="1"/>
  </cols>
  <sheetData>
    <row r="1" spans="1:18" ht="16">
      <c r="A1" s="14" t="s">
        <v>54</v>
      </c>
      <c r="B1" s="14" t="s">
        <v>58</v>
      </c>
      <c r="C1" s="14" t="s">
        <v>59</v>
      </c>
      <c r="D1" s="14" t="s">
        <v>60</v>
      </c>
      <c r="E1" s="14" t="s">
        <v>61</v>
      </c>
      <c r="G1" t="s">
        <v>67</v>
      </c>
      <c r="I1" t="s">
        <v>68</v>
      </c>
      <c r="K1" s="31" t="s">
        <v>70</v>
      </c>
      <c r="M1" s="93" t="s">
        <v>58</v>
      </c>
      <c r="N1" s="128" t="s">
        <v>70</v>
      </c>
      <c r="O1" s="128"/>
      <c r="P1" s="89"/>
      <c r="Q1" s="89" t="s">
        <v>179</v>
      </c>
    </row>
    <row r="2" spans="1:18">
      <c r="A2" s="21">
        <v>0.99034000000000011</v>
      </c>
      <c r="B2" s="14">
        <v>0.5</v>
      </c>
      <c r="C2" s="14">
        <f t="shared" ref="C2:C13" si="0">EXP(-$B$20*B2)</f>
        <v>0.9901696944895414</v>
      </c>
      <c r="D2" s="14">
        <f t="shared" ref="D2:D13" si="1">EXP(-2*$B$20*B2)</f>
        <v>0.98043602388551176</v>
      </c>
      <c r="E2" s="14">
        <f t="shared" ref="E2:E13" si="2">EXP(-3*$B$20*B2)</f>
        <v>0.97079803823725785</v>
      </c>
      <c r="G2">
        <f t="shared" ref="G2:G13" si="3">$B$16+$B$17*C2+$B$18*D2+$B$19*E2</f>
        <v>0.99561892516821959</v>
      </c>
      <c r="I2">
        <f t="shared" ref="I2:I11" si="4">(A2-G2)^2</f>
        <v>2.7867050931661106E-5</v>
      </c>
      <c r="K2" s="31">
        <f>2*((A2^(-1/1))-1)</f>
        <v>1.9508451642869851E-2</v>
      </c>
      <c r="M2" s="93">
        <v>0.5</v>
      </c>
      <c r="N2" s="128">
        <f t="shared" ref="N2:N9" si="5">K2</f>
        <v>1.9508451642869851E-2</v>
      </c>
      <c r="O2" s="128"/>
      <c r="P2" s="90" t="s">
        <v>93</v>
      </c>
      <c r="Q2" s="128">
        <f>N2</f>
        <v>1.9508451642869851E-2</v>
      </c>
    </row>
    <row r="3" spans="1:18">
      <c r="A3" s="21">
        <v>0.98031999999999997</v>
      </c>
      <c r="B3" s="14">
        <v>1</v>
      </c>
      <c r="C3" s="14">
        <f t="shared" si="0"/>
        <v>0.98043602388551176</v>
      </c>
      <c r="D3" s="14">
        <f t="shared" si="1"/>
        <v>0.96125479693243177</v>
      </c>
      <c r="E3" s="14">
        <f t="shared" si="2"/>
        <v>0.94244883104530841</v>
      </c>
      <c r="G3">
        <f t="shared" si="3"/>
        <v>0.98147639422492217</v>
      </c>
      <c r="I3">
        <f t="shared" si="4"/>
        <v>1.3372476034334088E-6</v>
      </c>
      <c r="K3" s="31">
        <f>2*((A3^(-1/2))-1)</f>
        <v>1.9975324132159855E-2</v>
      </c>
      <c r="M3" s="93">
        <v>1</v>
      </c>
      <c r="N3" s="128">
        <f t="shared" si="5"/>
        <v>1.9975324132159855E-2</v>
      </c>
      <c r="O3" s="128"/>
      <c r="P3" s="90" t="s">
        <v>136</v>
      </c>
      <c r="Q3" s="90">
        <f>((1+N4/2)^2/(1+N3/2)^1-1)*2</f>
        <v>2.4668897656220601E-2</v>
      </c>
    </row>
    <row r="4" spans="1:18">
      <c r="A4" s="21">
        <v>0.9672525283451342</v>
      </c>
      <c r="B4" s="14">
        <v>1.5</v>
      </c>
      <c r="C4" s="14">
        <f t="shared" si="0"/>
        <v>0.97079803823725785</v>
      </c>
      <c r="D4" s="14">
        <f t="shared" si="1"/>
        <v>0.94244883104530841</v>
      </c>
      <c r="E4" s="14">
        <f t="shared" si="2"/>
        <v>0.91492747631778226</v>
      </c>
      <c r="G4">
        <f t="shared" si="3"/>
        <v>0.96765258943996124</v>
      </c>
      <c r="I4">
        <f t="shared" si="4"/>
        <v>1.6004887959421166E-7</v>
      </c>
      <c r="K4" s="31">
        <f>2*((A4^(-1/3))-1)</f>
        <v>2.2320749239206794E-2</v>
      </c>
      <c r="M4" s="93">
        <v>1.5</v>
      </c>
      <c r="N4" s="128">
        <f t="shared" si="5"/>
        <v>2.2320749239206794E-2</v>
      </c>
      <c r="O4" s="128"/>
      <c r="P4" s="90" t="s">
        <v>138</v>
      </c>
      <c r="Q4" s="90">
        <f>((1+N5/3)^4/(1+N4/2)^2-1)*2</f>
        <v>1.1713879182882803E-2</v>
      </c>
    </row>
    <row r="5" spans="1:18">
      <c r="A5" s="21">
        <v>0.95888694301098876</v>
      </c>
      <c r="B5" s="14">
        <v>2</v>
      </c>
      <c r="C5" s="14">
        <f t="shared" si="0"/>
        <v>0.96125479693243177</v>
      </c>
      <c r="D5" s="14">
        <f t="shared" si="1"/>
        <v>0.92401078462561059</v>
      </c>
      <c r="E5" s="14">
        <f t="shared" si="2"/>
        <v>0.88820979913866827</v>
      </c>
      <c r="G5">
        <f t="shared" si="3"/>
        <v>0.95413957814658579</v>
      </c>
      <c r="I5">
        <f t="shared" si="4"/>
        <v>2.2537473155767829E-5</v>
      </c>
      <c r="K5" s="31">
        <f>2*((A5^(-1/4))-1)</f>
        <v>2.1101593222265347E-2</v>
      </c>
      <c r="M5" s="93">
        <v>2</v>
      </c>
      <c r="N5" s="128">
        <f t="shared" si="5"/>
        <v>2.1101593222265347E-2</v>
      </c>
      <c r="O5" s="128"/>
      <c r="P5" s="90" t="s">
        <v>140</v>
      </c>
      <c r="Q5" s="90">
        <f>((1+N6/2)^4/(1+N5/2)^3-1)*2</f>
        <v>3.0537235388092832E-2</v>
      </c>
    </row>
    <row r="6" spans="1:18">
      <c r="A6" s="21">
        <v>0.94336712884878171</v>
      </c>
      <c r="B6" s="14">
        <v>2.5</v>
      </c>
      <c r="C6" s="14">
        <f t="shared" si="0"/>
        <v>0.95180536860519216</v>
      </c>
      <c r="D6" s="14">
        <f t="shared" si="1"/>
        <v>0.90593345970566563</v>
      </c>
      <c r="E6" s="14">
        <f t="shared" si="2"/>
        <v>0.86227233054692798</v>
      </c>
      <c r="G6">
        <f t="shared" si="3"/>
        <v>0.94092963704606558</v>
      </c>
      <c r="I6">
        <f t="shared" si="4"/>
        <v>5.9413662883083277E-6</v>
      </c>
      <c r="K6" s="31">
        <f>2*((A6^(-1/5))-1)</f>
        <v>2.3456385202653252E-2</v>
      </c>
      <c r="M6" s="93">
        <v>2.5</v>
      </c>
      <c r="N6" s="128">
        <f t="shared" si="5"/>
        <v>2.3456385202653252E-2</v>
      </c>
      <c r="O6" s="128"/>
      <c r="P6" s="90" t="s">
        <v>142</v>
      </c>
      <c r="Q6" s="90">
        <f>((1+N7/2)^5/(1+N6/2)^4-1)*2</f>
        <v>2.6743635574769442E-2</v>
      </c>
    </row>
    <row r="7" spans="1:18">
      <c r="A7" s="21">
        <v>0.93061687444567276</v>
      </c>
      <c r="B7" s="14">
        <v>3</v>
      </c>
      <c r="C7" s="14">
        <f t="shared" si="0"/>
        <v>0.94244883104530841</v>
      </c>
      <c r="D7" s="14">
        <f t="shared" si="1"/>
        <v>0.88820979913866827</v>
      </c>
      <c r="E7" s="14">
        <f t="shared" si="2"/>
        <v>0.83709228692122606</v>
      </c>
      <c r="G7">
        <f t="shared" si="3"/>
        <v>0.92801524648428724</v>
      </c>
      <c r="I7">
        <f t="shared" si="4"/>
        <v>6.7684680494629875E-6</v>
      </c>
      <c r="K7" s="31">
        <f>2*((A7^(-1/6))-1)</f>
        <v>2.4113408463077857E-2</v>
      </c>
      <c r="M7" s="93">
        <v>3</v>
      </c>
      <c r="N7" s="128">
        <f t="shared" si="5"/>
        <v>2.4113408463077857E-2</v>
      </c>
      <c r="O7" s="128"/>
      <c r="P7" s="90" t="s">
        <v>144</v>
      </c>
      <c r="Q7" s="90">
        <f>((1+N8/2)^6/(1+N7/2)^5-1)*2</f>
        <v>3.0094256318117907E-2</v>
      </c>
    </row>
    <row r="8" spans="1:18">
      <c r="A8" s="21">
        <v>0.91637061895318017</v>
      </c>
      <c r="B8" s="14">
        <v>3.5</v>
      </c>
      <c r="C8" s="14">
        <f t="shared" si="0"/>
        <v>0.93318427110815849</v>
      </c>
      <c r="D8" s="14">
        <f t="shared" si="1"/>
        <v>0.87083288384366497</v>
      </c>
      <c r="E8" s="14">
        <f t="shared" si="2"/>
        <v>0.81264754996666611</v>
      </c>
      <c r="G8">
        <f t="shared" si="3"/>
        <v>0.91538908488828707</v>
      </c>
      <c r="I8">
        <f t="shared" si="4"/>
        <v>9.634091205455663E-7</v>
      </c>
      <c r="K8" s="31">
        <f>2*((A8^(-1/7))-1)</f>
        <v>2.5108991414072079E-2</v>
      </c>
      <c r="M8" s="93">
        <v>3.5</v>
      </c>
      <c r="N8" s="128">
        <f t="shared" si="5"/>
        <v>2.5108991414072079E-2</v>
      </c>
      <c r="O8" s="128"/>
      <c r="P8" s="90" t="s">
        <v>146</v>
      </c>
      <c r="Q8" s="90">
        <f>((1+N9/2)^7/(1+N8/2)^6-1)*2</f>
        <v>2.7599087149549728E-2</v>
      </c>
    </row>
    <row r="9" spans="1:18">
      <c r="A9" s="21">
        <v>0.90373858354338776</v>
      </c>
      <c r="B9" s="14">
        <v>4</v>
      </c>
      <c r="C9" s="14">
        <f t="shared" si="0"/>
        <v>0.92401078462561059</v>
      </c>
      <c r="D9" s="14">
        <f t="shared" si="1"/>
        <v>0.85379593010443655</v>
      </c>
      <c r="E9" s="14">
        <f t="shared" si="2"/>
        <v>0.78891664728595345</v>
      </c>
      <c r="G9">
        <f t="shared" si="3"/>
        <v>0.90304402335819411</v>
      </c>
      <c r="I9">
        <f t="shared" si="4"/>
        <v>4.8241385085623594E-7</v>
      </c>
      <c r="K9" s="31">
        <f>2*((A9^(-1/8))-1)</f>
        <v>2.5464532058742773E-2</v>
      </c>
      <c r="M9" s="93">
        <v>4</v>
      </c>
      <c r="N9" s="128">
        <f t="shared" si="5"/>
        <v>2.5464532058742773E-2</v>
      </c>
      <c r="O9" s="128"/>
      <c r="P9" s="90" t="s">
        <v>148</v>
      </c>
      <c r="Q9" s="90">
        <f>((1+N10/2)^8/(1+N9/2)^7-1)*2</f>
        <v>-9.1910966450423626E-3</v>
      </c>
    </row>
    <row r="10" spans="1:18">
      <c r="A10" s="21">
        <v>0.8799795609756097</v>
      </c>
      <c r="B10" s="2">
        <v>5</v>
      </c>
      <c r="C10" s="14">
        <f t="shared" si="0"/>
        <v>0.90593345970566563</v>
      </c>
      <c r="D10" s="14">
        <f t="shared" si="1"/>
        <v>0.82071543341427688</v>
      </c>
      <c r="E10" s="14">
        <f t="shared" si="2"/>
        <v>0.74351357202683066</v>
      </c>
      <c r="G10">
        <f t="shared" si="3"/>
        <v>0.87916961686607276</v>
      </c>
      <c r="I10">
        <f t="shared" si="4"/>
        <v>6.5600946057358981E-7</v>
      </c>
      <c r="K10" s="31">
        <f>2*((A10^(-1/9))-1)</f>
        <v>2.8615355060161551E-2</v>
      </c>
      <c r="M10" s="125">
        <v>4.5</v>
      </c>
      <c r="N10" s="128">
        <f>K12</f>
        <v>2.10998000649254E-2</v>
      </c>
      <c r="O10" s="128"/>
      <c r="P10" s="90" t="s">
        <v>167</v>
      </c>
      <c r="Q10" s="90">
        <f>((1+N11/2)^9/(1+N10/2)^8-1)*2</f>
        <v>8.975466340048488E-2</v>
      </c>
      <c r="R10" s="31"/>
    </row>
    <row r="11" spans="1:18" ht="15" thickBot="1">
      <c r="A11" s="22">
        <v>0.85082739999999901</v>
      </c>
      <c r="B11" s="2">
        <v>6</v>
      </c>
      <c r="C11" s="14">
        <f t="shared" si="0"/>
        <v>0.88820979913866827</v>
      </c>
      <c r="D11" s="14">
        <f t="shared" si="1"/>
        <v>0.78891664728595345</v>
      </c>
      <c r="E11" s="14">
        <f t="shared" si="2"/>
        <v>0.70072349682300827</v>
      </c>
      <c r="G11">
        <f t="shared" si="3"/>
        <v>0.85633865313750579</v>
      </c>
      <c r="I11">
        <f t="shared" si="4"/>
        <v>3.0373911145678297E-5</v>
      </c>
      <c r="K11" s="31">
        <f>2*((A11^(-1/10))-1)</f>
        <v>3.2571580299147307E-2</v>
      </c>
      <c r="M11" s="93">
        <v>5</v>
      </c>
      <c r="N11" s="128">
        <f>K10</f>
        <v>2.8615355060161551E-2</v>
      </c>
      <c r="O11" s="128"/>
      <c r="P11" s="90" t="s">
        <v>169</v>
      </c>
      <c r="Q11" s="90">
        <f>((1+N12/2)^10/(1+N11/2)^9-1)*2</f>
        <v>-1.8966920786874564E-2</v>
      </c>
      <c r="R11" s="31"/>
    </row>
    <row r="12" spans="1:18">
      <c r="A12" s="20">
        <f>G12</f>
        <v>0.89097312041016941</v>
      </c>
      <c r="B12" s="29">
        <v>4.5</v>
      </c>
      <c r="C12" s="14">
        <f t="shared" si="0"/>
        <v>0.91492747631778226</v>
      </c>
      <c r="D12" s="14">
        <f t="shared" si="1"/>
        <v>0.83709228692122606</v>
      </c>
      <c r="E12" s="14">
        <f t="shared" si="2"/>
        <v>0.76587873351791824</v>
      </c>
      <c r="G12" s="20">
        <f t="shared" si="3"/>
        <v>0.89097312041016941</v>
      </c>
      <c r="H12" t="s">
        <v>69</v>
      </c>
      <c r="I12">
        <f>SUM(I2:I11)</f>
        <v>9.7087398485881568E-5</v>
      </c>
      <c r="K12" s="31">
        <f>2*((A12^(-1/11))-1)</f>
        <v>2.10998000649254E-2</v>
      </c>
      <c r="M12" s="125">
        <v>5.5</v>
      </c>
      <c r="N12" s="128">
        <f>K13</f>
        <v>2.380614541257664E-2</v>
      </c>
      <c r="O12" s="128"/>
      <c r="P12" s="90" t="s">
        <v>171</v>
      </c>
      <c r="Q12" s="90">
        <f>((1+N13/2)^11/(1+N12/2)^10-1)*2</f>
        <v>0.12234134579935985</v>
      </c>
      <c r="R12" s="31"/>
    </row>
    <row r="13" spans="1:18">
      <c r="A13" s="20">
        <f>G13</f>
        <v>0.86762693088569187</v>
      </c>
      <c r="B13" s="29">
        <v>5.5</v>
      </c>
      <c r="C13" s="14">
        <f t="shared" si="0"/>
        <v>0.89702785702461219</v>
      </c>
      <c r="D13" s="14">
        <f t="shared" si="1"/>
        <v>0.80465897627816807</v>
      </c>
      <c r="E13" s="14">
        <f t="shared" si="2"/>
        <v>0.72180151712642338</v>
      </c>
      <c r="G13" s="20">
        <f t="shared" si="3"/>
        <v>0.86762693088569187</v>
      </c>
      <c r="K13" s="31">
        <f>2*((A13^(-1/12))-1)</f>
        <v>2.380614541257664E-2</v>
      </c>
      <c r="M13" s="93">
        <v>6</v>
      </c>
      <c r="N13" s="128">
        <f>K11</f>
        <v>3.2571580299147307E-2</v>
      </c>
      <c r="O13" s="128"/>
      <c r="P13" s="90" t="s">
        <v>173</v>
      </c>
      <c r="Q13" s="90">
        <f>((1+N14/2)^12/(1+N13/2)^11-1)*2</f>
        <v>-0.32561390064348616</v>
      </c>
      <c r="R13" s="31"/>
    </row>
    <row r="14" spans="1:18">
      <c r="M14" s="90"/>
      <c r="N14" s="90"/>
      <c r="O14" s="90"/>
      <c r="P14" s="90"/>
      <c r="Q14" s="90"/>
    </row>
    <row r="15" spans="1:18">
      <c r="M15" s="90"/>
      <c r="N15" s="90" t="s">
        <v>177</v>
      </c>
      <c r="O15" s="90">
        <f>A12</f>
        <v>0.89097312041016941</v>
      </c>
      <c r="P15" s="90"/>
      <c r="Q15" s="90"/>
    </row>
    <row r="16" spans="1:18">
      <c r="A16" s="30" t="s">
        <v>62</v>
      </c>
      <c r="B16" s="30">
        <v>0.26273985055492743</v>
      </c>
      <c r="M16" s="90"/>
      <c r="N16" s="90" t="s">
        <v>178</v>
      </c>
      <c r="O16" s="90">
        <f>A13</f>
        <v>0.86762693088569187</v>
      </c>
      <c r="P16" s="90"/>
      <c r="Q16" s="90"/>
    </row>
    <row r="17" spans="1:2">
      <c r="A17" s="30" t="s">
        <v>63</v>
      </c>
      <c r="B17" s="30">
        <v>0.25575780015564153</v>
      </c>
    </row>
    <row r="18" spans="1:2">
      <c r="A18" s="30" t="s">
        <v>64</v>
      </c>
      <c r="B18" s="30">
        <v>0.24903383347374405</v>
      </c>
    </row>
    <row r="19" spans="1:2">
      <c r="A19" s="30" t="s">
        <v>65</v>
      </c>
      <c r="B19" s="30">
        <v>0.24255684600832556</v>
      </c>
    </row>
    <row r="20" spans="1:2">
      <c r="A20" s="30" t="s">
        <v>66</v>
      </c>
      <c r="B20" s="30">
        <v>1.9757883933956891E-2</v>
      </c>
    </row>
  </sheetData>
  <phoneticPr fontId="4"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workbookViewId="0">
      <selection activeCell="O14" sqref="O14"/>
    </sheetView>
  </sheetViews>
  <sheetFormatPr baseColWidth="10" defaultColWidth="10.83203125" defaultRowHeight="14"/>
  <cols>
    <col min="4" max="4" width="13" bestFit="1" customWidth="1"/>
    <col min="5" max="5" width="14.1640625" bestFit="1" customWidth="1"/>
    <col min="7" max="7" width="14.1640625" bestFit="1" customWidth="1"/>
    <col min="9" max="9" width="13" bestFit="1" customWidth="1"/>
    <col min="13" max="13" width="13.1640625" customWidth="1"/>
  </cols>
  <sheetData>
    <row r="1" spans="1:15" ht="16">
      <c r="A1" s="14" t="s">
        <v>54</v>
      </c>
      <c r="B1" s="14" t="s">
        <v>71</v>
      </c>
      <c r="C1" s="14" t="s">
        <v>58</v>
      </c>
      <c r="D1" s="14" t="s">
        <v>72</v>
      </c>
      <c r="E1" s="14" t="s">
        <v>73</v>
      </c>
      <c r="G1" t="s">
        <v>74</v>
      </c>
      <c r="I1" t="s">
        <v>68</v>
      </c>
      <c r="K1" s="125" t="s">
        <v>71</v>
      </c>
      <c r="L1" s="125" t="s">
        <v>58</v>
      </c>
      <c r="M1" s="79"/>
      <c r="N1" s="89" t="s">
        <v>175</v>
      </c>
      <c r="O1" s="90"/>
    </row>
    <row r="2" spans="1:15">
      <c r="A2" s="21">
        <v>0.99034000000000011</v>
      </c>
      <c r="B2" s="21">
        <f t="shared" ref="B2:B13" si="0">2*(1/A2^(1/(2*C2))-1)</f>
        <v>1.9508451642869851E-2</v>
      </c>
      <c r="C2" s="14">
        <v>0.5</v>
      </c>
      <c r="D2" s="14">
        <f t="shared" ref="D2:D13" si="1">(1-EXP(-C2/$C$19))/(C2/$C$19)</f>
        <v>0.41091826495941114</v>
      </c>
      <c r="E2" s="14">
        <f t="shared" ref="E2:E13" si="2">-EXP((-C2)/$C$19)</f>
        <v>-0.11646771243688078</v>
      </c>
      <c r="G2">
        <f t="shared" ref="G2:G13" si="3">$C$16+($C$17+$C$18)*D2+$C$18*E2</f>
        <v>2.3389130476685734E-2</v>
      </c>
      <c r="I2">
        <f t="shared" ref="I2:I11" si="4">(B2-G2)^2</f>
        <v>1.5059668211226602E-5</v>
      </c>
      <c r="K2" s="123">
        <f t="shared" ref="K2:K9" si="5">B2</f>
        <v>1.9508451642869851E-2</v>
      </c>
      <c r="L2" s="79">
        <v>0.5</v>
      </c>
      <c r="M2" s="123"/>
      <c r="N2" s="124" t="s">
        <v>93</v>
      </c>
      <c r="O2" s="124">
        <f>K2</f>
        <v>1.9508451642869851E-2</v>
      </c>
    </row>
    <row r="3" spans="1:15">
      <c r="A3" s="21">
        <v>0.98031999999999997</v>
      </c>
      <c r="B3" s="21">
        <f t="shared" si="0"/>
        <v>1.9975324132159855E-2</v>
      </c>
      <c r="C3" s="14">
        <v>1</v>
      </c>
      <c r="D3" s="14">
        <f t="shared" si="1"/>
        <v>0.22938848763888289</v>
      </c>
      <c r="E3" s="14">
        <f t="shared" si="2"/>
        <v>-1.3564728040279955E-2</v>
      </c>
      <c r="G3">
        <f t="shared" si="3"/>
        <v>2.3389130476685734E-2</v>
      </c>
      <c r="I3">
        <f t="shared" si="4"/>
        <v>1.1654073757925141E-5</v>
      </c>
      <c r="K3" s="123">
        <f t="shared" si="5"/>
        <v>1.9975324132159855E-2</v>
      </c>
      <c r="L3" s="79">
        <v>1</v>
      </c>
      <c r="M3" s="124"/>
      <c r="N3" s="124" t="s">
        <v>136</v>
      </c>
      <c r="O3" s="124">
        <f>((1+K3/2)^2/(1+K2/2)^1-1)*2</f>
        <v>2.0442304553615731E-2</v>
      </c>
    </row>
    <row r="4" spans="1:15">
      <c r="A4" s="21">
        <v>0.96725252834513398</v>
      </c>
      <c r="B4" s="21">
        <f t="shared" si="0"/>
        <v>2.2320749239206794E-2</v>
      </c>
      <c r="C4" s="14">
        <v>1.5</v>
      </c>
      <c r="D4" s="14">
        <f t="shared" si="1"/>
        <v>0.1547836565962413</v>
      </c>
      <c r="E4" s="14">
        <f t="shared" si="2"/>
        <v>-1.5798528446798186E-3</v>
      </c>
      <c r="G4">
        <f t="shared" si="3"/>
        <v>2.3389130476685734E-2</v>
      </c>
      <c r="I4">
        <f t="shared" si="4"/>
        <v>1.1414384685970301E-6</v>
      </c>
      <c r="K4" s="123">
        <f t="shared" si="5"/>
        <v>2.2320749239206794E-2</v>
      </c>
      <c r="L4" s="79">
        <v>1.5</v>
      </c>
      <c r="M4" s="124"/>
      <c r="N4" s="124" t="s">
        <v>138</v>
      </c>
      <c r="O4" s="124">
        <f>((1+K4/2)^3/(1+K3/2)^2-1)*2</f>
        <v>2.7019772545278986E-2</v>
      </c>
    </row>
    <row r="5" spans="1:15">
      <c r="A5" s="21">
        <v>0.95888694301098876</v>
      </c>
      <c r="B5" s="21">
        <f t="shared" si="0"/>
        <v>2.1101593222265347E-2</v>
      </c>
      <c r="C5" s="14">
        <v>2</v>
      </c>
      <c r="D5" s="14">
        <f t="shared" si="1"/>
        <v>0.11625004004463774</v>
      </c>
      <c r="E5" s="14">
        <f t="shared" si="2"/>
        <v>-1.8400184680675727E-4</v>
      </c>
      <c r="G5">
        <f t="shared" si="3"/>
        <v>2.3389130476685734E-2</v>
      </c>
      <c r="I5">
        <f t="shared" si="4"/>
        <v>5.2328266903611615E-6</v>
      </c>
      <c r="K5" s="123">
        <f t="shared" si="5"/>
        <v>2.1101593222265347E-2</v>
      </c>
      <c r="L5" s="79">
        <v>2</v>
      </c>
      <c r="M5" s="124"/>
      <c r="N5" s="124" t="s">
        <v>140</v>
      </c>
      <c r="O5" s="124">
        <f>((1+K5/2)^4/(1+K4/2)^3-1)*2</f>
        <v>1.7448533208465733E-2</v>
      </c>
    </row>
    <row r="6" spans="1:15">
      <c r="A6" s="21">
        <v>0.94336712884878171</v>
      </c>
      <c r="B6" s="21">
        <f t="shared" si="0"/>
        <v>2.3456385202653252E-2</v>
      </c>
      <c r="C6" s="14">
        <v>2.5</v>
      </c>
      <c r="D6" s="14">
        <f t="shared" si="1"/>
        <v>9.3015153979638013E-2</v>
      </c>
      <c r="E6" s="14">
        <f t="shared" si="2"/>
        <v>-2.1430274181744386E-5</v>
      </c>
      <c r="G6">
        <f t="shared" si="3"/>
        <v>2.3389130476685734E-2</v>
      </c>
      <c r="I6">
        <f t="shared" si="4"/>
        <v>4.5231981649659361E-9</v>
      </c>
      <c r="K6" s="123">
        <f t="shared" si="5"/>
        <v>2.3456385202653252E-2</v>
      </c>
      <c r="L6" s="79">
        <v>2.5</v>
      </c>
      <c r="M6" s="124"/>
      <c r="N6" s="124" t="s">
        <v>142</v>
      </c>
      <c r="O6" s="124">
        <f>((1+K6/2)^5/(1+K5/2)^4-1)*2</f>
        <v>3.2903020865579613E-2</v>
      </c>
    </row>
    <row r="7" spans="1:15">
      <c r="A7" s="21">
        <v>0.93061687444567276</v>
      </c>
      <c r="B7" s="21">
        <f t="shared" si="0"/>
        <v>2.4113408463077857E-2</v>
      </c>
      <c r="C7" s="14">
        <v>3</v>
      </c>
      <c r="D7" s="14">
        <f t="shared" si="1"/>
        <v>7.7514095998212407E-2</v>
      </c>
      <c r="E7" s="14">
        <f t="shared" si="2"/>
        <v>-2.4959350108429149E-6</v>
      </c>
      <c r="G7">
        <f t="shared" si="3"/>
        <v>2.3389130476685734E-2</v>
      </c>
      <c r="I7">
        <f t="shared" si="4"/>
        <v>5.2457860157222847E-7</v>
      </c>
      <c r="K7" s="123">
        <f t="shared" si="5"/>
        <v>2.4113408463077857E-2</v>
      </c>
      <c r="L7" s="79">
        <v>3</v>
      </c>
      <c r="M7" s="124"/>
      <c r="N7" s="124" t="s">
        <v>144</v>
      </c>
      <c r="O7" s="124">
        <f>((1+K7/2)^6/(1+K6/2)^5-1)*2</f>
        <v>2.7401726216716771E-2</v>
      </c>
    </row>
    <row r="8" spans="1:15">
      <c r="A8" s="21">
        <v>0.91637061895318017</v>
      </c>
      <c r="B8" s="21">
        <f t="shared" si="0"/>
        <v>2.5108991414072079E-2</v>
      </c>
      <c r="C8" s="14">
        <v>3.5</v>
      </c>
      <c r="D8" s="14">
        <f t="shared" si="1"/>
        <v>6.6440800230651215E-2</v>
      </c>
      <c r="E8" s="14">
        <f t="shared" si="2"/>
        <v>-2.906958411039954E-7</v>
      </c>
      <c r="G8">
        <f t="shared" si="3"/>
        <v>2.3389130476685734E-2</v>
      </c>
      <c r="I8">
        <f t="shared" si="4"/>
        <v>2.9579216439474402E-6</v>
      </c>
      <c r="K8" s="123">
        <f t="shared" si="5"/>
        <v>2.5108991414072079E-2</v>
      </c>
      <c r="L8" s="79">
        <v>3.5</v>
      </c>
      <c r="M8" s="124"/>
      <c r="N8" s="124" t="s">
        <v>146</v>
      </c>
      <c r="O8" s="124">
        <f>((1+K8/2)^7/(1+K7/2)^6-1)*2</f>
        <v>3.1092781016413884E-2</v>
      </c>
    </row>
    <row r="9" spans="1:15">
      <c r="A9" s="21">
        <v>0.90373858354338776</v>
      </c>
      <c r="B9" s="21">
        <f t="shared" si="0"/>
        <v>2.5464532058742773E-2</v>
      </c>
      <c r="C9" s="14">
        <v>4</v>
      </c>
      <c r="D9" s="14">
        <f t="shared" si="1"/>
        <v>5.8135715133348649E-2</v>
      </c>
      <c r="E9" s="14">
        <f t="shared" si="2"/>
        <v>-3.3856679628297373E-8</v>
      </c>
      <c r="G9">
        <f t="shared" si="3"/>
        <v>2.3389130476685734E-2</v>
      </c>
      <c r="I9">
        <f t="shared" si="4"/>
        <v>4.3072917268048601E-6</v>
      </c>
      <c r="K9" s="123">
        <f t="shared" si="5"/>
        <v>2.5464532058742773E-2</v>
      </c>
      <c r="L9" s="79">
        <v>4</v>
      </c>
      <c r="M9" s="124"/>
      <c r="N9" s="124" t="s">
        <v>148</v>
      </c>
      <c r="O9" s="124">
        <f>((1+K9/2)^8/(1+K8/2)^7-1)*2</f>
        <v>2.795506497081135E-2</v>
      </c>
    </row>
    <row r="10" spans="1:15">
      <c r="A10" s="21">
        <v>0.87997956097561003</v>
      </c>
      <c r="B10" s="21">
        <f t="shared" si="0"/>
        <v>2.5735491621576401E-2</v>
      </c>
      <c r="C10" s="2">
        <v>5</v>
      </c>
      <c r="D10" s="14">
        <f t="shared" si="1"/>
        <v>4.6508573659945429E-2</v>
      </c>
      <c r="E10" s="14">
        <f t="shared" si="2"/>
        <v>-4.5925665150474006E-10</v>
      </c>
      <c r="G10">
        <f t="shared" si="3"/>
        <v>2.3389130476685734E-2</v>
      </c>
      <c r="I10">
        <f t="shared" si="4"/>
        <v>5.5054106222526424E-6</v>
      </c>
      <c r="K10" s="123">
        <f ca="1">B12</f>
        <v>2.1866787441768842E-2</v>
      </c>
      <c r="L10" s="125">
        <v>4.5</v>
      </c>
      <c r="M10" s="123"/>
      <c r="N10" s="124" t="s">
        <v>167</v>
      </c>
      <c r="O10" s="124">
        <f ca="1">((1+K10/2)^9/(1+K9/2)^8-1)*2</f>
        <v>-6.6860618324076082E-3</v>
      </c>
    </row>
    <row r="11" spans="1:15" ht="15" thickBot="1">
      <c r="A11" s="22">
        <v>0.85082739999999901</v>
      </c>
      <c r="B11" s="21">
        <f t="shared" si="0"/>
        <v>2.710637777023317E-2</v>
      </c>
      <c r="C11" s="2">
        <v>6</v>
      </c>
      <c r="D11" s="14">
        <f t="shared" si="1"/>
        <v>3.8757144734179218E-2</v>
      </c>
      <c r="E11" s="14">
        <f t="shared" si="2"/>
        <v>-6.229691578351422E-12</v>
      </c>
      <c r="G11">
        <f t="shared" si="3"/>
        <v>2.3389130476685734E-2</v>
      </c>
      <c r="I11">
        <f t="shared" si="4"/>
        <v>1.3817927441385739E-5</v>
      </c>
      <c r="K11" s="123">
        <f>B10</f>
        <v>2.5735491621576401E-2</v>
      </c>
      <c r="L11" s="79">
        <v>5</v>
      </c>
      <c r="M11" s="123"/>
      <c r="N11" s="124" t="s">
        <v>169</v>
      </c>
      <c r="O11" s="124">
        <f ca="1">((1+K11/2)^10/(1+K10/2)^9-1)*2</f>
        <v>6.0888647216021496E-2</v>
      </c>
    </row>
    <row r="12" spans="1:15" ht="15" thickBot="1">
      <c r="A12" s="22">
        <f ca="1">1/((1+B12/2)^(2*C12))</f>
        <v>0.90676994349838713</v>
      </c>
      <c r="B12" s="21">
        <f t="shared" ca="1" si="0"/>
        <v>2.1866787441768842E-2</v>
      </c>
      <c r="C12" s="29">
        <v>4.5</v>
      </c>
      <c r="D12" s="14">
        <f t="shared" si="1"/>
        <v>5.1676192775457472E-2</v>
      </c>
      <c r="E12" s="14">
        <f t="shared" si="2"/>
        <v>-3.9432100270161292E-9</v>
      </c>
      <c r="G12">
        <f t="shared" si="3"/>
        <v>2.3389130476685734E-2</v>
      </c>
      <c r="H12" t="s">
        <v>69</v>
      </c>
      <c r="I12">
        <f>SUM(I2:I11)</f>
        <v>6.0205660362237803E-5</v>
      </c>
      <c r="K12" s="123">
        <f ca="1">B13</f>
        <v>2.1866787441768842E-2</v>
      </c>
      <c r="L12" s="125">
        <v>5.5</v>
      </c>
      <c r="M12" s="98"/>
      <c r="N12" s="124" t="s">
        <v>171</v>
      </c>
      <c r="O12" s="124">
        <f ca="1">((1+K12/2)^11/(1+K11/2)^10-1)*2</f>
        <v>-1.6416213616222031E-2</v>
      </c>
    </row>
    <row r="13" spans="1:15" ht="15" thickBot="1">
      <c r="A13" s="22">
        <f ca="1">1/((1+B13/2)^(2*C13))</f>
        <v>0.88726230473972478</v>
      </c>
      <c r="B13" s="21">
        <f t="shared" ca="1" si="0"/>
        <v>2.1866787441768842E-2</v>
      </c>
      <c r="C13" s="29">
        <v>5.5</v>
      </c>
      <c r="D13" s="14">
        <f t="shared" si="1"/>
        <v>4.2280521526197379E-2</v>
      </c>
      <c r="E13" s="14">
        <f t="shared" si="2"/>
        <v>-5.3488571622178719E-11</v>
      </c>
      <c r="G13">
        <f t="shared" si="3"/>
        <v>2.3389130476685734E-2</v>
      </c>
      <c r="K13" s="123">
        <f>B11</f>
        <v>2.710637777023317E-2</v>
      </c>
      <c r="L13" s="79">
        <v>6</v>
      </c>
      <c r="M13" s="98"/>
      <c r="N13" s="124" t="s">
        <v>173</v>
      </c>
      <c r="O13" s="124">
        <f ca="1">((1+K13/2)^12/(1+K12/2)^11-1)*2</f>
        <v>8.5645818975095711E-2</v>
      </c>
    </row>
    <row r="14" spans="1:15">
      <c r="K14" s="124"/>
      <c r="L14" s="124"/>
      <c r="M14" s="124"/>
      <c r="N14" s="124"/>
      <c r="O14" s="124"/>
    </row>
    <row r="15" spans="1:15">
      <c r="K15" s="98" t="s">
        <v>177</v>
      </c>
      <c r="L15" s="98">
        <f ca="1">A12</f>
        <v>0.90676994349838713</v>
      </c>
      <c r="M15" s="124"/>
      <c r="N15" s="124"/>
      <c r="O15" s="124"/>
    </row>
    <row r="16" spans="1:15">
      <c r="A16" s="30" t="s">
        <v>62</v>
      </c>
      <c r="B16" s="30"/>
      <c r="C16" s="30">
        <v>2.3389130476685734E-2</v>
      </c>
      <c r="K16" s="98" t="s">
        <v>178</v>
      </c>
      <c r="L16" s="98">
        <f ca="1">A13</f>
        <v>0.88726230473972478</v>
      </c>
      <c r="M16" s="124"/>
      <c r="N16" s="124"/>
      <c r="O16" s="124"/>
    </row>
    <row r="17" spans="1:3">
      <c r="A17" s="30" t="s">
        <v>63</v>
      </c>
      <c r="B17" s="30"/>
      <c r="C17" s="30">
        <v>0</v>
      </c>
    </row>
    <row r="18" spans="1:3">
      <c r="A18" s="30" t="s">
        <v>64</v>
      </c>
      <c r="B18" s="30"/>
      <c r="C18" s="30">
        <v>0</v>
      </c>
    </row>
    <row r="19" spans="1:3">
      <c r="A19" s="30" t="s">
        <v>66</v>
      </c>
      <c r="B19" s="30"/>
      <c r="C19" s="30">
        <v>0.23254286840652399</v>
      </c>
    </row>
  </sheetData>
  <phoneticPr fontId="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61"/>
  <sheetViews>
    <sheetView topLeftCell="A24" workbookViewId="0">
      <selection activeCell="E51" sqref="E51"/>
    </sheetView>
  </sheetViews>
  <sheetFormatPr baseColWidth="10" defaultColWidth="8.83203125" defaultRowHeight="14"/>
  <cols>
    <col min="2" max="2" width="22.5" customWidth="1"/>
    <col min="3" max="3" width="11" bestFit="1" customWidth="1"/>
    <col min="7" max="7" width="20" customWidth="1"/>
    <col min="8" max="8" width="18.33203125" customWidth="1"/>
    <col min="9" max="9" width="34.5" customWidth="1"/>
    <col min="10" max="10" width="15.5" customWidth="1"/>
  </cols>
  <sheetData>
    <row r="1" spans="1:14" ht="20">
      <c r="A1" s="130" t="s">
        <v>180</v>
      </c>
      <c r="B1" s="130" t="s">
        <v>181</v>
      </c>
      <c r="C1" s="131"/>
      <c r="D1" s="131"/>
      <c r="E1" s="131"/>
      <c r="F1" s="131"/>
      <c r="G1" s="131"/>
      <c r="H1" s="131"/>
      <c r="I1" s="131"/>
      <c r="J1" s="131"/>
      <c r="K1" s="131"/>
      <c r="L1" s="131"/>
      <c r="M1" s="131"/>
      <c r="N1" s="131"/>
    </row>
    <row r="2" spans="1:14">
      <c r="A2" s="131"/>
      <c r="B2" s="131"/>
      <c r="C2" s="131"/>
      <c r="D2" s="131"/>
      <c r="E2" s="131"/>
      <c r="F2" s="131"/>
      <c r="G2" s="131"/>
      <c r="H2" s="131"/>
      <c r="I2" s="131"/>
      <c r="J2" s="131"/>
      <c r="K2" s="131"/>
      <c r="L2" s="131"/>
      <c r="M2" s="131"/>
      <c r="N2" s="131"/>
    </row>
    <row r="3" spans="1:14" ht="18">
      <c r="A3" s="131"/>
      <c r="B3" s="132" t="s">
        <v>182</v>
      </c>
      <c r="C3" s="131"/>
      <c r="D3" s="131"/>
      <c r="E3" s="131"/>
      <c r="F3" s="131"/>
      <c r="G3" s="131"/>
      <c r="H3" s="131"/>
      <c r="I3" s="131"/>
      <c r="J3" s="131"/>
      <c r="K3" s="131"/>
      <c r="L3" s="131"/>
      <c r="M3" s="131"/>
      <c r="N3" s="131"/>
    </row>
    <row r="4" spans="1:14" ht="18">
      <c r="A4" s="131"/>
      <c r="B4" s="132" t="s">
        <v>183</v>
      </c>
      <c r="C4" s="131"/>
      <c r="D4" s="131"/>
      <c r="E4" s="131"/>
      <c r="F4" s="131"/>
      <c r="G4" s="131"/>
      <c r="H4" s="131"/>
      <c r="I4" s="131"/>
      <c r="J4" s="131"/>
      <c r="K4" s="131"/>
      <c r="L4" s="131"/>
      <c r="M4" s="131"/>
      <c r="N4" s="131"/>
    </row>
    <row r="5" spans="1:14" ht="18">
      <c r="A5" s="131"/>
      <c r="B5" s="132" t="s">
        <v>184</v>
      </c>
      <c r="C5" s="131"/>
      <c r="D5" s="131"/>
      <c r="E5" s="131"/>
      <c r="F5" s="131"/>
      <c r="G5" s="131"/>
      <c r="H5" s="131"/>
      <c r="I5" s="131"/>
      <c r="J5" s="131"/>
      <c r="K5" s="131"/>
      <c r="L5" s="131"/>
      <c r="M5" s="131"/>
      <c r="N5" s="131"/>
    </row>
    <row r="6" spans="1:14">
      <c r="A6" s="131"/>
      <c r="B6" s="134" t="s">
        <v>185</v>
      </c>
      <c r="C6" s="134" t="s">
        <v>9</v>
      </c>
      <c r="D6" s="134" t="s">
        <v>186</v>
      </c>
      <c r="E6" s="134" t="s">
        <v>187</v>
      </c>
      <c r="F6" s="134" t="s">
        <v>188</v>
      </c>
      <c r="G6" s="134" t="s">
        <v>189</v>
      </c>
      <c r="H6" s="134" t="s">
        <v>190</v>
      </c>
      <c r="I6" s="134" t="s">
        <v>191</v>
      </c>
      <c r="J6" s="134" t="s">
        <v>192</v>
      </c>
      <c r="K6" s="131"/>
      <c r="L6" s="131"/>
      <c r="M6" s="131"/>
      <c r="N6" s="131"/>
    </row>
    <row r="7" spans="1:14">
      <c r="A7" s="131"/>
      <c r="B7" s="135" t="s">
        <v>193</v>
      </c>
      <c r="C7" s="135">
        <v>1.625</v>
      </c>
      <c r="D7" s="135">
        <v>98.710899999999995</v>
      </c>
      <c r="E7" s="135">
        <f>D7+C7/2*(3/184)</f>
        <v>98.724147282608698</v>
      </c>
      <c r="F7" s="135">
        <v>98.726600000000005</v>
      </c>
      <c r="G7" s="135">
        <f>F7+C7/2*(3/184)</f>
        <v>98.739847282608707</v>
      </c>
      <c r="H7" s="135">
        <f>YIELD(DATE(2018,3,15),DATE(2020,3,15),C7/100,G7,100,2,0)</f>
        <v>2.2730801928015635E-2</v>
      </c>
      <c r="I7" s="135">
        <f>F12</f>
        <v>1.9054410117115026</v>
      </c>
      <c r="J7" s="135">
        <v>7.7999999999999996E-3</v>
      </c>
      <c r="K7" s="131"/>
      <c r="L7" s="131"/>
      <c r="M7" s="131"/>
      <c r="N7" s="131"/>
    </row>
    <row r="8" spans="1:14">
      <c r="A8" s="131"/>
      <c r="B8" s="135" t="s">
        <v>194</v>
      </c>
      <c r="C8" s="135">
        <v>4.375</v>
      </c>
      <c r="D8" s="135">
        <v>122.23439999999999</v>
      </c>
      <c r="E8" s="135">
        <f>D8+C8/2*(3/184)</f>
        <v>122.27006576086956</v>
      </c>
      <c r="F8" s="135">
        <v>122.29689999999999</v>
      </c>
      <c r="G8" s="135">
        <f>F8+C8/2*(3/184)</f>
        <v>122.33256576086956</v>
      </c>
      <c r="H8" s="135">
        <f>YIELD(DATE(2018,3,15),DATE(2038,3,15),C8/100,G8,100,2,0)</f>
        <v>2.8960950621587458E-2</v>
      </c>
      <c r="I8" s="135">
        <f>F13</f>
        <v>15.722147741015505</v>
      </c>
      <c r="J8" s="135">
        <v>0.76559999999999995</v>
      </c>
      <c r="K8" s="131"/>
      <c r="L8" s="131"/>
      <c r="M8" s="131"/>
      <c r="N8" s="131"/>
    </row>
    <row r="9" spans="1:14">
      <c r="A9" s="131"/>
      <c r="B9" s="123"/>
      <c r="C9" s="123"/>
      <c r="D9" s="123"/>
      <c r="E9" s="123"/>
      <c r="F9" s="123"/>
      <c r="G9" s="123"/>
      <c r="H9" s="123"/>
      <c r="I9" s="123"/>
      <c r="J9" s="123"/>
      <c r="K9" s="131"/>
      <c r="L9" s="131"/>
      <c r="M9" s="131"/>
      <c r="N9" s="131"/>
    </row>
    <row r="10" spans="1:14">
      <c r="A10" s="131"/>
      <c r="B10" s="123"/>
      <c r="C10" s="123"/>
      <c r="D10" s="123"/>
      <c r="E10" s="123"/>
      <c r="F10" s="123"/>
      <c r="G10" s="123"/>
      <c r="H10" s="123"/>
      <c r="I10" s="123"/>
      <c r="J10" s="123"/>
      <c r="K10" s="131"/>
      <c r="L10" s="131"/>
      <c r="M10" s="131"/>
      <c r="N10" s="131"/>
    </row>
    <row r="11" spans="1:14" ht="16">
      <c r="A11" s="131"/>
      <c r="B11" s="135" t="s">
        <v>195</v>
      </c>
      <c r="C11" s="135" t="s">
        <v>196</v>
      </c>
      <c r="D11" s="135" t="s">
        <v>197</v>
      </c>
      <c r="E11" s="135" t="s">
        <v>198</v>
      </c>
      <c r="F11" s="135" t="s">
        <v>199</v>
      </c>
      <c r="G11" s="123"/>
      <c r="H11" s="123"/>
      <c r="I11" s="123"/>
      <c r="J11" s="123"/>
      <c r="K11" s="131"/>
      <c r="L11" s="131"/>
      <c r="M11" s="131"/>
      <c r="N11" s="131"/>
    </row>
    <row r="12" spans="1:14">
      <c r="A12" s="131"/>
      <c r="B12" s="134">
        <v>0.01</v>
      </c>
      <c r="C12" s="134">
        <f>H7+B12</f>
        <v>3.2730801928015633E-2</v>
      </c>
      <c r="D12" s="134">
        <f>PRICE(DATE(2018,3,15),DATE(2020,3,15),C7/100,C12,100,2,0)</f>
        <v>96.834406270897205</v>
      </c>
      <c r="E12" s="134">
        <f>D12-G7</f>
        <v>-1.9054410117115026</v>
      </c>
      <c r="F12" s="134">
        <f>-E12/B12*0.01</f>
        <v>1.9054410117115026</v>
      </c>
      <c r="G12" s="129"/>
      <c r="H12" s="129"/>
      <c r="I12" s="129"/>
      <c r="J12" s="129"/>
      <c r="K12" s="131"/>
      <c r="L12" s="131"/>
      <c r="M12" s="131"/>
      <c r="N12" s="131"/>
    </row>
    <row r="13" spans="1:14">
      <c r="A13" s="131"/>
      <c r="B13" s="135">
        <v>0.01</v>
      </c>
      <c r="C13" s="135">
        <f>B13+H8</f>
        <v>3.8960950621587456E-2</v>
      </c>
      <c r="D13" s="135">
        <f>PRICE(DATE(2018,3,15),DATE(2038,3,15),C8/100,C13,100,2,0)</f>
        <v>106.61041801985405</v>
      </c>
      <c r="E13" s="135">
        <f>D13-G8</f>
        <v>-15.722147741015505</v>
      </c>
      <c r="F13" s="135">
        <f>-E13/B13*0.01</f>
        <v>15.722147741015505</v>
      </c>
      <c r="G13" s="123"/>
      <c r="H13" s="123"/>
      <c r="I13" s="123"/>
      <c r="J13" s="123"/>
      <c r="K13" s="131"/>
      <c r="L13" s="131"/>
      <c r="M13" s="131"/>
      <c r="N13" s="131"/>
    </row>
    <row r="14" spans="1:14">
      <c r="A14" s="131"/>
      <c r="B14" s="133"/>
      <c r="C14" s="133"/>
      <c r="D14" s="133"/>
      <c r="E14" s="133"/>
      <c r="F14" s="133"/>
      <c r="G14" s="131"/>
      <c r="H14" s="131"/>
      <c r="I14" s="131"/>
      <c r="J14" s="131"/>
      <c r="K14" s="131"/>
      <c r="L14" s="131"/>
      <c r="M14" s="131"/>
      <c r="N14" s="131"/>
    </row>
    <row r="15" spans="1:14">
      <c r="A15" s="131"/>
      <c r="B15" s="133"/>
      <c r="C15" s="133"/>
      <c r="D15" s="133"/>
      <c r="E15" s="133"/>
      <c r="F15" s="133"/>
      <c r="G15" s="131"/>
      <c r="H15" s="131"/>
      <c r="I15" s="131"/>
      <c r="J15" s="131"/>
      <c r="K15" s="131"/>
      <c r="L15" s="131"/>
      <c r="M15" s="131"/>
      <c r="N15" s="131"/>
    </row>
    <row r="16" spans="1:14" ht="18">
      <c r="A16" s="131"/>
      <c r="B16" s="132" t="s">
        <v>200</v>
      </c>
      <c r="C16" s="131"/>
      <c r="D16" s="131"/>
      <c r="E16" s="131"/>
      <c r="F16" s="131"/>
      <c r="G16" s="131"/>
      <c r="H16" s="131"/>
      <c r="I16" s="131"/>
      <c r="J16" s="131"/>
      <c r="K16" s="131"/>
      <c r="L16" s="131"/>
      <c r="M16" s="131"/>
      <c r="N16" s="131"/>
    </row>
    <row r="17" spans="1:32">
      <c r="A17" s="131"/>
      <c r="B17" s="129" t="s">
        <v>201</v>
      </c>
      <c r="C17" s="129">
        <f>1000000*F13/F12</f>
        <v>8251185.7592975702</v>
      </c>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row>
    <row r="18" spans="1:32">
      <c r="A18" s="131"/>
      <c r="B18" s="123" t="s">
        <v>455</v>
      </c>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row>
    <row r="19" spans="1:32">
      <c r="A19" s="131"/>
      <c r="B19" s="131"/>
      <c r="C19" s="131"/>
      <c r="D19" s="131"/>
      <c r="E19" s="131"/>
      <c r="F19" s="131"/>
      <c r="G19" s="131"/>
      <c r="H19" s="131"/>
      <c r="I19" s="131"/>
      <c r="J19" s="131"/>
      <c r="K19" s="131"/>
      <c r="L19" s="131"/>
      <c r="M19" s="131"/>
      <c r="N19" s="131"/>
    </row>
    <row r="20" spans="1:32" ht="18">
      <c r="A20" s="131"/>
      <c r="B20" s="132" t="s">
        <v>202</v>
      </c>
      <c r="C20" s="131"/>
      <c r="D20" s="131"/>
      <c r="E20" s="131"/>
      <c r="F20" s="131"/>
      <c r="G20" s="131"/>
      <c r="H20" s="131"/>
      <c r="I20" s="131"/>
      <c r="J20" s="131"/>
      <c r="K20" s="131"/>
      <c r="L20" s="131"/>
      <c r="M20" s="131"/>
      <c r="N20" s="131"/>
    </row>
    <row r="21" spans="1:32">
      <c r="A21" s="131"/>
      <c r="B21" s="134" t="s">
        <v>185</v>
      </c>
      <c r="C21" s="134" t="s">
        <v>203</v>
      </c>
      <c r="D21" s="134" t="s">
        <v>186</v>
      </c>
      <c r="E21" s="134" t="s">
        <v>188</v>
      </c>
      <c r="F21" s="134" t="s">
        <v>187</v>
      </c>
      <c r="G21" s="134" t="s">
        <v>189</v>
      </c>
      <c r="I21" s="134" t="s">
        <v>204</v>
      </c>
      <c r="J21" s="134">
        <f>G8*1000000</f>
        <v>122332565.76086956</v>
      </c>
      <c r="K21" s="131"/>
      <c r="L21" s="131"/>
      <c r="M21" s="131"/>
      <c r="N21" s="131"/>
    </row>
    <row r="22" spans="1:32">
      <c r="A22" s="131"/>
      <c r="B22" s="135" t="s">
        <v>193</v>
      </c>
      <c r="C22" s="135">
        <v>1.675</v>
      </c>
      <c r="D22" s="135">
        <v>98.085899999999995</v>
      </c>
      <c r="E22" s="135">
        <v>98.101600000000005</v>
      </c>
      <c r="F22" s="135">
        <f>D22+C22/2*(3/184)</f>
        <v>98.099554891304336</v>
      </c>
      <c r="G22" s="135">
        <f>E22+C22/2*(3/184)</f>
        <v>98.115254891304346</v>
      </c>
      <c r="I22" s="135" t="s">
        <v>205</v>
      </c>
      <c r="J22" s="135">
        <f>J21*(1-C27)</f>
        <v>121720902.93206522</v>
      </c>
      <c r="K22" s="131"/>
      <c r="L22" s="131"/>
      <c r="M22" s="131"/>
      <c r="N22" s="131"/>
    </row>
    <row r="23" spans="1:32">
      <c r="A23" s="131"/>
      <c r="B23" s="134" t="s">
        <v>206</v>
      </c>
      <c r="C23" s="134">
        <v>4.375</v>
      </c>
      <c r="D23" s="134">
        <v>122.4063</v>
      </c>
      <c r="E23" s="134">
        <v>122.4688</v>
      </c>
      <c r="F23" s="135">
        <f>D23+C23/2*(3/184)</f>
        <v>122.44196576086956</v>
      </c>
      <c r="G23" s="135">
        <f>E23+C23/2*(3/184)</f>
        <v>122.50446576086956</v>
      </c>
      <c r="I23" s="134" t="s">
        <v>207</v>
      </c>
      <c r="J23" s="134">
        <f>J22*(1+C26*3/360)</f>
        <v>121733582.1927873</v>
      </c>
      <c r="K23" s="131"/>
      <c r="L23" s="131"/>
      <c r="M23" s="131"/>
      <c r="N23" s="131"/>
    </row>
    <row r="24" spans="1:32">
      <c r="A24" s="131"/>
      <c r="B24" s="135"/>
      <c r="C24" s="135"/>
      <c r="D24" s="135"/>
      <c r="E24" s="135"/>
      <c r="F24" s="135"/>
      <c r="G24" s="188"/>
      <c r="I24" s="135" t="s">
        <v>208</v>
      </c>
      <c r="J24" s="135">
        <f>F23*1000000</f>
        <v>122441965.76086956</v>
      </c>
      <c r="K24" s="131"/>
      <c r="L24" s="131"/>
      <c r="M24" s="131"/>
      <c r="N24" s="131"/>
    </row>
    <row r="25" spans="1:32">
      <c r="A25" s="131"/>
      <c r="B25" s="134" t="s">
        <v>209</v>
      </c>
      <c r="C25" s="134">
        <v>0.01</v>
      </c>
      <c r="D25" s="134"/>
      <c r="E25" s="134"/>
      <c r="F25" s="134"/>
      <c r="G25" s="188"/>
      <c r="I25" s="134" t="s">
        <v>210</v>
      </c>
      <c r="J25" s="134">
        <f>E7*C17</f>
        <v>814591278.15705681</v>
      </c>
      <c r="K25" s="131"/>
      <c r="L25" s="131"/>
      <c r="M25" s="131"/>
      <c r="N25" s="131"/>
    </row>
    <row r="26" spans="1:32">
      <c r="A26" s="131"/>
      <c r="B26" s="135" t="s">
        <v>211</v>
      </c>
      <c r="C26" s="135">
        <v>1.2500000000000001E-2</v>
      </c>
      <c r="D26" s="135"/>
      <c r="E26" s="135"/>
      <c r="F26" s="135"/>
      <c r="G26" s="188"/>
      <c r="I26" s="135" t="s">
        <v>212</v>
      </c>
      <c r="J26" s="135">
        <f>G22*C17</f>
        <v>809567193.92898166</v>
      </c>
      <c r="K26" s="131"/>
      <c r="L26" s="131"/>
      <c r="M26" s="131"/>
      <c r="N26" s="131"/>
    </row>
    <row r="27" spans="1:32">
      <c r="A27" s="131"/>
      <c r="B27" s="134" t="s">
        <v>213</v>
      </c>
      <c r="C27" s="134">
        <v>5.0000000000000001E-3</v>
      </c>
      <c r="D27" s="134"/>
      <c r="E27" s="134"/>
      <c r="F27" s="134"/>
      <c r="G27" s="188"/>
      <c r="I27" s="134" t="s">
        <v>214</v>
      </c>
      <c r="J27" s="134">
        <f>J25*C25*(3/360)</f>
        <v>67882.606513088074</v>
      </c>
      <c r="K27" s="131"/>
      <c r="L27" s="131"/>
      <c r="M27" s="131"/>
      <c r="N27" s="131"/>
    </row>
    <row r="28" spans="1:32">
      <c r="A28" s="131"/>
      <c r="B28" s="131"/>
      <c r="C28" s="131"/>
      <c r="D28" s="131"/>
      <c r="E28" s="131"/>
      <c r="F28" s="131"/>
      <c r="G28" s="131"/>
      <c r="I28" s="135" t="s">
        <v>215</v>
      </c>
      <c r="J28" s="135">
        <f>J21*C27</f>
        <v>611662.82880434778</v>
      </c>
      <c r="K28" s="131"/>
      <c r="L28" s="131"/>
      <c r="M28" s="131"/>
      <c r="N28" s="131"/>
    </row>
    <row r="29" spans="1:32">
      <c r="A29" s="131"/>
      <c r="B29" s="131"/>
      <c r="C29" s="131"/>
      <c r="D29" s="131"/>
      <c r="E29" s="131"/>
      <c r="F29" s="131"/>
      <c r="G29" s="131"/>
      <c r="H29" s="131"/>
      <c r="I29" s="131"/>
      <c r="J29" s="131"/>
      <c r="K29" s="131"/>
      <c r="L29" s="131"/>
      <c r="M29" s="131"/>
      <c r="N29" s="131"/>
    </row>
    <row r="30" spans="1:32" ht="18">
      <c r="A30" s="131"/>
      <c r="B30" s="132" t="s">
        <v>216</v>
      </c>
      <c r="C30" s="131"/>
      <c r="D30" s="131"/>
      <c r="E30" s="131"/>
      <c r="F30" s="131"/>
      <c r="G30" s="131"/>
      <c r="H30" s="131"/>
      <c r="I30" s="131"/>
      <c r="J30" s="131"/>
      <c r="K30" s="131"/>
      <c r="L30" s="131"/>
      <c r="M30" s="131"/>
      <c r="N30" s="131"/>
    </row>
    <row r="31" spans="1:32">
      <c r="A31" s="131"/>
      <c r="B31" s="123" t="s">
        <v>449</v>
      </c>
      <c r="C31" s="123"/>
      <c r="D31" s="123"/>
      <c r="E31" s="123"/>
      <c r="F31" s="123"/>
      <c r="G31" s="123"/>
      <c r="H31" s="123"/>
      <c r="I31" s="123"/>
      <c r="J31" s="123"/>
      <c r="K31" s="123"/>
      <c r="L31" s="123"/>
      <c r="M31" s="123"/>
      <c r="N31" s="123"/>
      <c r="O31" s="123"/>
      <c r="P31" s="123"/>
      <c r="Q31" s="123"/>
      <c r="R31" s="123"/>
      <c r="S31" s="123"/>
      <c r="T31" s="123"/>
      <c r="U31" s="123"/>
      <c r="V31" s="123"/>
    </row>
    <row r="32" spans="1:32">
      <c r="A32" s="131"/>
      <c r="B32" s="123"/>
      <c r="C32" s="123"/>
      <c r="D32" s="123"/>
      <c r="E32" s="123"/>
      <c r="F32" s="123"/>
      <c r="G32" s="123"/>
      <c r="H32" s="123"/>
      <c r="I32" s="123"/>
      <c r="J32" s="123"/>
      <c r="K32" s="123"/>
      <c r="L32" s="123"/>
      <c r="M32" s="123"/>
      <c r="N32" s="123"/>
      <c r="O32" s="123"/>
      <c r="P32" s="123"/>
      <c r="Q32" s="123"/>
      <c r="R32" s="123"/>
      <c r="S32" s="123"/>
      <c r="T32" s="123"/>
      <c r="U32" s="123"/>
      <c r="V32" s="123"/>
    </row>
    <row r="33" spans="1:22">
      <c r="A33" s="131"/>
      <c r="B33" s="123" t="s">
        <v>450</v>
      </c>
      <c r="C33" s="123"/>
      <c r="D33" s="123"/>
      <c r="E33" s="123"/>
      <c r="F33" s="123"/>
      <c r="G33" s="123"/>
      <c r="H33" s="123"/>
      <c r="I33" s="123"/>
      <c r="J33" s="123"/>
      <c r="K33" s="123"/>
      <c r="L33" s="123"/>
      <c r="M33" s="123"/>
      <c r="N33" s="123"/>
      <c r="O33" s="123"/>
      <c r="P33" s="123"/>
      <c r="Q33" s="123"/>
      <c r="R33" s="123"/>
      <c r="S33" s="123"/>
      <c r="T33" s="123"/>
      <c r="U33" s="123"/>
      <c r="V33" s="123"/>
    </row>
    <row r="34" spans="1:22">
      <c r="A34" s="131"/>
      <c r="B34" s="123"/>
      <c r="C34" s="123"/>
      <c r="D34" s="123"/>
      <c r="E34" s="123"/>
      <c r="F34" s="123"/>
      <c r="G34" s="123"/>
      <c r="H34" s="123"/>
      <c r="I34" s="123"/>
      <c r="J34" s="123"/>
      <c r="K34" s="123"/>
      <c r="L34" s="123"/>
      <c r="M34" s="123"/>
      <c r="N34" s="123"/>
      <c r="O34" s="123"/>
      <c r="P34" s="123"/>
      <c r="Q34" s="123"/>
      <c r="R34" s="123"/>
      <c r="S34" s="123"/>
      <c r="T34" s="123"/>
      <c r="U34" s="123"/>
      <c r="V34" s="123"/>
    </row>
    <row r="35" spans="1:22">
      <c r="A35" s="131"/>
      <c r="B35" s="123" t="s">
        <v>454</v>
      </c>
      <c r="C35" s="123">
        <f>J24-J21-J23+J22</f>
        <v>96720.739277914166</v>
      </c>
      <c r="D35" s="123"/>
      <c r="E35" s="123"/>
      <c r="F35" s="123"/>
      <c r="G35" s="123"/>
      <c r="H35" s="123"/>
      <c r="I35" s="123"/>
      <c r="J35" s="123"/>
      <c r="K35" s="123"/>
      <c r="L35" s="123"/>
      <c r="M35" s="123"/>
      <c r="N35" s="123"/>
      <c r="O35" s="123"/>
      <c r="P35" s="123"/>
      <c r="Q35" s="123"/>
      <c r="R35" s="123"/>
      <c r="S35" s="123"/>
      <c r="T35" s="123"/>
      <c r="U35" s="123"/>
      <c r="V35" s="123"/>
    </row>
    <row r="36" spans="1:22">
      <c r="A36" s="131"/>
      <c r="B36" s="131"/>
      <c r="C36" s="131"/>
      <c r="D36" s="131"/>
      <c r="E36" s="131"/>
      <c r="F36" s="131"/>
      <c r="G36" s="131"/>
      <c r="H36" s="131"/>
      <c r="I36" s="131"/>
      <c r="J36" s="131"/>
      <c r="K36" s="131"/>
      <c r="L36" s="131"/>
      <c r="M36" s="131"/>
      <c r="N36" s="131"/>
    </row>
    <row r="37" spans="1:22" ht="18">
      <c r="A37" s="131"/>
      <c r="B37" s="132" t="s">
        <v>217</v>
      </c>
      <c r="C37" s="131"/>
      <c r="D37" s="131"/>
      <c r="E37" s="131"/>
      <c r="F37" s="131"/>
      <c r="G37" s="131"/>
      <c r="H37" s="131"/>
      <c r="I37" s="131"/>
      <c r="J37" s="131"/>
      <c r="K37" s="131"/>
      <c r="L37" s="131"/>
      <c r="M37" s="131"/>
      <c r="N37" s="131"/>
    </row>
    <row r="38" spans="1:22">
      <c r="A38" s="131"/>
      <c r="B38" s="123" t="s">
        <v>451</v>
      </c>
      <c r="C38" s="123"/>
      <c r="D38" s="123"/>
      <c r="E38" s="123"/>
      <c r="F38" s="123"/>
      <c r="G38" s="123"/>
      <c r="H38" s="123"/>
      <c r="I38" s="123"/>
      <c r="J38" s="123"/>
      <c r="K38" s="123"/>
      <c r="L38" s="123"/>
      <c r="M38" s="123"/>
      <c r="N38" s="123"/>
      <c r="O38" s="123"/>
      <c r="P38" s="123"/>
      <c r="Q38" s="123"/>
      <c r="R38" s="123"/>
      <c r="S38" s="123"/>
      <c r="T38" s="123"/>
    </row>
    <row r="39" spans="1:22">
      <c r="A39" s="131"/>
      <c r="B39" s="123"/>
      <c r="C39" s="123"/>
      <c r="D39" s="123"/>
      <c r="E39" s="123"/>
      <c r="F39" s="123"/>
      <c r="G39" s="123"/>
      <c r="H39" s="123"/>
      <c r="I39" s="123"/>
      <c r="J39" s="123"/>
      <c r="K39" s="123"/>
      <c r="L39" s="123"/>
      <c r="M39" s="123"/>
      <c r="N39" s="123"/>
      <c r="O39" s="123"/>
      <c r="P39" s="123"/>
      <c r="Q39" s="123"/>
      <c r="R39" s="123"/>
      <c r="S39" s="123"/>
      <c r="T39" s="123"/>
    </row>
    <row r="40" spans="1:22">
      <c r="A40" s="131"/>
      <c r="B40" s="123" t="s">
        <v>452</v>
      </c>
      <c r="C40" s="123"/>
      <c r="D40" s="123"/>
      <c r="E40" s="123"/>
      <c r="F40" s="123"/>
      <c r="G40" s="123"/>
      <c r="H40" s="123"/>
      <c r="I40" s="123"/>
      <c r="J40" s="123"/>
      <c r="K40" s="123"/>
      <c r="L40" s="123"/>
      <c r="M40" s="123"/>
      <c r="N40" s="123"/>
      <c r="O40" s="123"/>
      <c r="P40" s="123"/>
      <c r="Q40" s="123"/>
      <c r="R40" s="123"/>
      <c r="S40" s="123"/>
      <c r="T40" s="123"/>
    </row>
    <row r="41" spans="1:22">
      <c r="A41" s="131"/>
      <c r="B41" s="123"/>
      <c r="C41" s="123"/>
      <c r="D41" s="123"/>
      <c r="E41" s="123"/>
      <c r="F41" s="123"/>
      <c r="G41" s="123"/>
      <c r="H41" s="123"/>
      <c r="I41" s="123"/>
      <c r="J41" s="123"/>
      <c r="K41" s="123"/>
      <c r="L41" s="123"/>
      <c r="M41" s="123"/>
      <c r="N41" s="123"/>
      <c r="O41" s="123"/>
      <c r="P41" s="123"/>
      <c r="Q41" s="123"/>
      <c r="R41" s="123"/>
      <c r="S41" s="123"/>
      <c r="T41" s="123"/>
    </row>
    <row r="42" spans="1:22">
      <c r="A42" s="131"/>
      <c r="B42" s="123" t="s">
        <v>454</v>
      </c>
      <c r="C42" s="123">
        <f>J25+J27-J26</f>
        <v>5091966.8345882893</v>
      </c>
      <c r="D42" s="123"/>
      <c r="E42" s="123"/>
      <c r="F42" s="123"/>
      <c r="G42" s="123"/>
      <c r="H42" s="123"/>
      <c r="I42" s="123"/>
      <c r="J42" s="123"/>
      <c r="K42" s="123"/>
      <c r="L42" s="123"/>
      <c r="M42" s="123"/>
      <c r="N42" s="123"/>
      <c r="O42" s="123"/>
      <c r="P42" s="123"/>
      <c r="Q42" s="123"/>
      <c r="R42" s="123"/>
      <c r="S42" s="123"/>
      <c r="T42" s="123"/>
    </row>
    <row r="43" spans="1:22">
      <c r="A43" s="131"/>
      <c r="B43" s="131"/>
      <c r="C43" s="131"/>
      <c r="D43" s="131"/>
      <c r="E43" s="131"/>
      <c r="F43" s="131"/>
      <c r="G43" s="131"/>
      <c r="H43" s="131"/>
      <c r="I43" s="131"/>
      <c r="J43" s="131"/>
      <c r="K43" s="131"/>
      <c r="L43" s="131"/>
      <c r="M43" s="131"/>
      <c r="N43" s="131"/>
    </row>
    <row r="44" spans="1:22" ht="18">
      <c r="A44" s="131"/>
      <c r="B44" s="132" t="s">
        <v>218</v>
      </c>
      <c r="C44" s="131"/>
      <c r="D44" s="131"/>
      <c r="E44" s="131"/>
      <c r="F44" s="131"/>
      <c r="G44" s="131"/>
      <c r="H44" s="131"/>
      <c r="I44" s="131"/>
      <c r="J44" s="131"/>
      <c r="K44" s="131"/>
      <c r="L44" s="131"/>
      <c r="M44" s="131"/>
      <c r="N44" s="131"/>
    </row>
    <row r="45" spans="1:22">
      <c r="A45" s="131"/>
      <c r="B45" s="123" t="s">
        <v>453</v>
      </c>
      <c r="C45" s="123">
        <f>C35+C42</f>
        <v>5188687.5738662034</v>
      </c>
      <c r="D45" s="131"/>
      <c r="E45" s="131"/>
      <c r="F45" s="131"/>
      <c r="G45" s="131"/>
      <c r="H45" s="131"/>
      <c r="I45" s="131"/>
      <c r="J45" s="131"/>
      <c r="K45" s="131"/>
      <c r="L45" s="131"/>
      <c r="M45" s="131"/>
      <c r="N45" s="131"/>
    </row>
    <row r="46" spans="1:22">
      <c r="A46" s="131"/>
      <c r="B46" s="131"/>
      <c r="C46" s="131"/>
      <c r="D46" s="131"/>
      <c r="E46" s="131"/>
      <c r="F46" s="131"/>
      <c r="G46" s="131"/>
      <c r="H46" s="131"/>
      <c r="I46" s="131"/>
      <c r="J46" s="131"/>
      <c r="K46" s="131"/>
      <c r="L46" s="131"/>
      <c r="M46" s="131"/>
      <c r="N46" s="131"/>
    </row>
    <row r="47" spans="1:22" ht="18">
      <c r="A47" s="131"/>
      <c r="B47" s="132" t="s">
        <v>219</v>
      </c>
      <c r="C47" s="131"/>
      <c r="D47" s="131"/>
      <c r="E47" s="131"/>
      <c r="F47" s="131"/>
      <c r="G47" s="131"/>
      <c r="H47" s="131"/>
      <c r="I47" s="131"/>
      <c r="J47" s="131"/>
      <c r="K47" s="131"/>
      <c r="L47" s="131"/>
      <c r="M47" s="131"/>
      <c r="N47" s="131"/>
    </row>
    <row r="48" spans="1:22">
      <c r="A48" s="131"/>
      <c r="B48" s="123" t="s">
        <v>220</v>
      </c>
      <c r="C48" s="123">
        <f>C45/J28</f>
        <v>8.4829211937054065</v>
      </c>
      <c r="D48" s="131"/>
      <c r="E48" s="131"/>
      <c r="F48" s="131"/>
      <c r="G48" s="131"/>
      <c r="H48" s="131"/>
      <c r="I48" s="131"/>
      <c r="J48" s="131"/>
      <c r="K48" s="131"/>
      <c r="L48" s="131"/>
      <c r="M48" s="131"/>
      <c r="N48" s="131"/>
    </row>
    <row r="49" spans="1:14">
      <c r="A49" s="131"/>
      <c r="B49" s="131"/>
      <c r="C49" s="131"/>
      <c r="D49" s="131"/>
      <c r="E49" s="131"/>
      <c r="F49" s="131"/>
      <c r="G49" s="131"/>
      <c r="H49" s="131"/>
      <c r="I49" s="131"/>
      <c r="J49" s="131"/>
      <c r="K49" s="131"/>
      <c r="L49" s="131"/>
      <c r="M49" s="131"/>
      <c r="N49" s="131"/>
    </row>
    <row r="50" spans="1:14" ht="18">
      <c r="A50" s="131"/>
      <c r="B50" s="132" t="s">
        <v>221</v>
      </c>
      <c r="C50" s="131"/>
      <c r="D50" s="131"/>
      <c r="E50" s="131"/>
      <c r="F50" s="131"/>
      <c r="G50" s="131"/>
      <c r="H50" s="131"/>
      <c r="I50" s="131"/>
      <c r="J50" s="131"/>
      <c r="K50" s="131"/>
      <c r="L50" s="131"/>
      <c r="M50" s="131"/>
      <c r="N50" s="131"/>
    </row>
    <row r="51" spans="1:14">
      <c r="A51" s="131"/>
      <c r="B51" s="123" t="s">
        <v>456</v>
      </c>
      <c r="C51" s="123"/>
      <c r="D51" s="123"/>
      <c r="E51" s="123"/>
      <c r="F51" s="123"/>
      <c r="G51" s="123"/>
      <c r="H51" s="123"/>
      <c r="I51" s="123"/>
      <c r="J51" s="123"/>
      <c r="K51" s="123"/>
      <c r="L51" s="123"/>
      <c r="M51" s="123"/>
      <c r="N51" s="131"/>
    </row>
    <row r="52" spans="1:14">
      <c r="A52" s="131"/>
      <c r="B52" s="131"/>
      <c r="C52" s="131"/>
      <c r="D52" s="131"/>
      <c r="E52" s="131"/>
      <c r="F52" s="131"/>
      <c r="G52" s="131"/>
      <c r="H52" s="131"/>
      <c r="I52" s="131"/>
      <c r="J52" s="131"/>
      <c r="K52" s="131"/>
      <c r="L52" s="131"/>
      <c r="M52" s="131"/>
      <c r="N52" s="131"/>
    </row>
    <row r="53" spans="1:14">
      <c r="A53" s="131"/>
      <c r="B53" s="131"/>
      <c r="C53" s="131"/>
      <c r="D53" s="131"/>
      <c r="E53" s="131"/>
      <c r="F53" s="131"/>
      <c r="G53" s="131"/>
      <c r="H53" s="131"/>
      <c r="I53" s="131"/>
      <c r="J53" s="131"/>
      <c r="K53" s="131"/>
      <c r="L53" s="131"/>
      <c r="M53" s="131"/>
      <c r="N53" s="131"/>
    </row>
    <row r="54" spans="1:14">
      <c r="A54" s="131"/>
      <c r="B54" s="131"/>
      <c r="C54" s="131"/>
      <c r="D54" s="131"/>
      <c r="E54" s="131"/>
      <c r="F54" s="131"/>
      <c r="G54" s="131"/>
      <c r="H54" s="131"/>
      <c r="I54" s="131"/>
      <c r="J54" s="131"/>
      <c r="K54" s="131"/>
      <c r="L54" s="131"/>
      <c r="M54" s="131"/>
      <c r="N54" s="131"/>
    </row>
    <row r="55" spans="1:14">
      <c r="A55" s="131"/>
      <c r="B55" s="131"/>
      <c r="C55" s="131"/>
      <c r="D55" s="131"/>
      <c r="E55" s="131"/>
      <c r="F55" s="131"/>
      <c r="G55" s="131"/>
      <c r="H55" s="131"/>
      <c r="I55" s="131"/>
      <c r="J55" s="131"/>
      <c r="K55" s="131"/>
      <c r="L55" s="131"/>
      <c r="M55" s="131"/>
      <c r="N55" s="131"/>
    </row>
    <row r="56" spans="1:14">
      <c r="A56" s="131"/>
      <c r="B56" s="131"/>
      <c r="C56" s="131"/>
      <c r="D56" s="131"/>
      <c r="E56" s="131"/>
      <c r="F56" s="131"/>
      <c r="G56" s="131"/>
      <c r="H56" s="131"/>
      <c r="I56" s="131"/>
      <c r="J56" s="131"/>
      <c r="K56" s="131"/>
      <c r="L56" s="131"/>
      <c r="M56" s="131"/>
      <c r="N56" s="131"/>
    </row>
    <row r="57" spans="1:14">
      <c r="A57" s="131"/>
      <c r="B57" s="131"/>
      <c r="C57" s="131"/>
      <c r="D57" s="131"/>
      <c r="E57" s="131"/>
      <c r="F57" s="131"/>
      <c r="G57" s="131"/>
      <c r="H57" s="131"/>
      <c r="I57" s="131"/>
      <c r="J57" s="131"/>
      <c r="K57" s="131"/>
      <c r="L57" s="131"/>
      <c r="M57" s="131"/>
      <c r="N57" s="131"/>
    </row>
    <row r="58" spans="1:14">
      <c r="A58" s="131"/>
      <c r="B58" s="131"/>
      <c r="C58" s="131"/>
      <c r="D58" s="131"/>
      <c r="E58" s="131"/>
      <c r="F58" s="131"/>
      <c r="G58" s="131"/>
      <c r="H58" s="131"/>
      <c r="I58" s="131"/>
      <c r="J58" s="131"/>
      <c r="K58" s="131"/>
      <c r="L58" s="131"/>
      <c r="M58" s="131"/>
      <c r="N58" s="131"/>
    </row>
    <row r="59" spans="1:14">
      <c r="A59" s="131"/>
      <c r="B59" s="131"/>
      <c r="C59" s="131"/>
      <c r="D59" s="131"/>
      <c r="E59" s="131"/>
      <c r="F59" s="131"/>
      <c r="G59" s="131"/>
      <c r="H59" s="131"/>
      <c r="I59" s="131"/>
      <c r="J59" s="131"/>
      <c r="K59" s="131"/>
      <c r="L59" s="131"/>
      <c r="M59" s="131"/>
      <c r="N59" s="131"/>
    </row>
    <row r="60" spans="1:14">
      <c r="A60" s="131"/>
      <c r="B60" s="131"/>
      <c r="C60" s="131"/>
      <c r="D60" s="131"/>
      <c r="E60" s="131"/>
      <c r="F60" s="131"/>
      <c r="G60" s="131"/>
      <c r="H60" s="131"/>
      <c r="I60" s="131"/>
      <c r="J60" s="131"/>
      <c r="K60" s="131"/>
      <c r="L60" s="131"/>
      <c r="M60" s="131"/>
      <c r="N60" s="131"/>
    </row>
    <row r="61" spans="1:14">
      <c r="A61" s="131"/>
      <c r="B61" s="131"/>
      <c r="C61" s="131"/>
      <c r="D61" s="131"/>
      <c r="E61" s="131"/>
      <c r="F61" s="131"/>
      <c r="G61" s="131"/>
      <c r="H61" s="131"/>
      <c r="I61" s="131"/>
      <c r="J61" s="131"/>
      <c r="K61" s="131"/>
      <c r="L61" s="131"/>
      <c r="M61" s="131"/>
      <c r="N61" s="131"/>
    </row>
    <row r="62" spans="1:14">
      <c r="A62" s="131"/>
      <c r="B62" s="131"/>
      <c r="C62" s="131"/>
      <c r="D62" s="131"/>
      <c r="E62" s="131"/>
      <c r="F62" s="131"/>
      <c r="G62" s="131"/>
      <c r="H62" s="131"/>
      <c r="I62" s="131"/>
      <c r="J62" s="131"/>
      <c r="K62" s="131"/>
      <c r="L62" s="131"/>
      <c r="M62" s="131"/>
      <c r="N62" s="131"/>
    </row>
    <row r="63" spans="1:14">
      <c r="A63" s="131"/>
      <c r="B63" s="131"/>
      <c r="C63" s="131"/>
      <c r="D63" s="131"/>
      <c r="E63" s="131"/>
      <c r="F63" s="131"/>
      <c r="G63" s="131"/>
      <c r="H63" s="131"/>
      <c r="I63" s="131"/>
      <c r="J63" s="131"/>
      <c r="K63" s="131"/>
      <c r="L63" s="131"/>
      <c r="M63" s="131"/>
      <c r="N63" s="131"/>
    </row>
    <row r="64" spans="1:14">
      <c r="A64" s="131"/>
      <c r="B64" s="131"/>
      <c r="C64" s="131"/>
      <c r="D64" s="131"/>
      <c r="E64" s="131"/>
      <c r="F64" s="131"/>
      <c r="G64" s="131"/>
      <c r="H64" s="131"/>
      <c r="I64" s="131"/>
      <c r="J64" s="131"/>
      <c r="K64" s="131"/>
      <c r="L64" s="131"/>
      <c r="M64" s="131"/>
      <c r="N64" s="131"/>
    </row>
    <row r="65" spans="1:14">
      <c r="A65" s="131"/>
      <c r="B65" s="131"/>
      <c r="C65" s="131"/>
      <c r="D65" s="131"/>
      <c r="E65" s="131"/>
      <c r="F65" s="131"/>
      <c r="G65" s="131"/>
      <c r="H65" s="131"/>
      <c r="I65" s="131"/>
      <c r="J65" s="131"/>
      <c r="K65" s="131"/>
      <c r="L65" s="131"/>
      <c r="M65" s="131"/>
      <c r="N65" s="131"/>
    </row>
    <row r="66" spans="1:14">
      <c r="A66" s="131"/>
      <c r="B66" s="131"/>
      <c r="C66" s="131"/>
      <c r="D66" s="131"/>
      <c r="E66" s="131"/>
      <c r="F66" s="131"/>
      <c r="G66" s="131"/>
      <c r="H66" s="131"/>
      <c r="I66" s="131"/>
      <c r="J66" s="131"/>
      <c r="K66" s="131"/>
      <c r="L66" s="131"/>
      <c r="M66" s="131"/>
      <c r="N66" s="131"/>
    </row>
    <row r="67" spans="1:14">
      <c r="A67" s="131"/>
      <c r="B67" s="131"/>
      <c r="C67" s="131"/>
      <c r="D67" s="131"/>
      <c r="E67" s="131"/>
      <c r="F67" s="131"/>
      <c r="G67" s="131"/>
      <c r="H67" s="131"/>
      <c r="I67" s="131"/>
      <c r="J67" s="131"/>
      <c r="K67" s="131"/>
      <c r="L67" s="131"/>
      <c r="M67" s="131"/>
      <c r="N67" s="131"/>
    </row>
    <row r="68" spans="1:14">
      <c r="A68" s="131"/>
      <c r="B68" s="131"/>
      <c r="C68" s="131"/>
      <c r="D68" s="131"/>
      <c r="E68" s="131"/>
      <c r="F68" s="131"/>
      <c r="G68" s="131"/>
      <c r="H68" s="131"/>
      <c r="I68" s="131"/>
      <c r="J68" s="131"/>
      <c r="K68" s="131"/>
      <c r="L68" s="131"/>
      <c r="M68" s="131"/>
      <c r="N68" s="131"/>
    </row>
    <row r="69" spans="1:14">
      <c r="A69" s="131"/>
      <c r="B69" s="131"/>
      <c r="C69" s="131"/>
      <c r="D69" s="131"/>
      <c r="E69" s="131"/>
      <c r="F69" s="131"/>
      <c r="G69" s="131"/>
      <c r="H69" s="131"/>
      <c r="I69" s="131"/>
      <c r="J69" s="131"/>
      <c r="K69" s="131"/>
      <c r="L69" s="131"/>
      <c r="M69" s="131"/>
      <c r="N69" s="131"/>
    </row>
    <row r="70" spans="1:14">
      <c r="A70" s="131"/>
      <c r="B70" s="131"/>
      <c r="C70" s="131"/>
      <c r="D70" s="131"/>
      <c r="E70" s="131"/>
      <c r="F70" s="131"/>
      <c r="G70" s="131"/>
      <c r="H70" s="131"/>
      <c r="I70" s="131"/>
      <c r="J70" s="131"/>
      <c r="K70" s="131"/>
      <c r="L70" s="131"/>
      <c r="M70" s="131"/>
      <c r="N70" s="131"/>
    </row>
    <row r="71" spans="1:14">
      <c r="A71" s="131"/>
      <c r="B71" s="131"/>
      <c r="C71" s="131"/>
      <c r="D71" s="131"/>
      <c r="E71" s="131"/>
      <c r="F71" s="131"/>
      <c r="G71" s="131"/>
      <c r="H71" s="131"/>
      <c r="I71" s="131"/>
      <c r="J71" s="131"/>
      <c r="K71" s="131"/>
      <c r="L71" s="131"/>
      <c r="M71" s="131"/>
      <c r="N71" s="131"/>
    </row>
    <row r="72" spans="1:14">
      <c r="A72" s="131"/>
      <c r="B72" s="131"/>
      <c r="C72" s="131"/>
      <c r="D72" s="131"/>
      <c r="E72" s="131"/>
      <c r="F72" s="131"/>
      <c r="G72" s="131"/>
      <c r="H72" s="131"/>
      <c r="I72" s="131"/>
      <c r="J72" s="131"/>
      <c r="K72" s="131"/>
      <c r="L72" s="131"/>
      <c r="M72" s="131"/>
      <c r="N72" s="131"/>
    </row>
    <row r="73" spans="1:14">
      <c r="A73" s="131"/>
      <c r="B73" s="131"/>
      <c r="C73" s="131"/>
      <c r="D73" s="131"/>
      <c r="E73" s="131"/>
      <c r="F73" s="131"/>
      <c r="G73" s="131"/>
      <c r="H73" s="131"/>
      <c r="I73" s="131"/>
      <c r="J73" s="131"/>
      <c r="K73" s="131"/>
      <c r="L73" s="131"/>
      <c r="M73" s="131"/>
      <c r="N73" s="131"/>
    </row>
    <row r="74" spans="1:14">
      <c r="A74" s="131"/>
      <c r="B74" s="131"/>
      <c r="C74" s="131"/>
      <c r="D74" s="131"/>
      <c r="E74" s="131"/>
      <c r="F74" s="131"/>
      <c r="G74" s="131"/>
      <c r="H74" s="131"/>
      <c r="I74" s="131"/>
      <c r="J74" s="131"/>
      <c r="K74" s="131"/>
      <c r="L74" s="131"/>
      <c r="M74" s="131"/>
      <c r="N74" s="131"/>
    </row>
    <row r="75" spans="1:14">
      <c r="A75" s="131"/>
      <c r="B75" s="131"/>
      <c r="C75" s="131"/>
      <c r="D75" s="131"/>
      <c r="E75" s="131"/>
      <c r="F75" s="131"/>
      <c r="G75" s="131"/>
      <c r="H75" s="131"/>
      <c r="I75" s="131"/>
      <c r="J75" s="131"/>
      <c r="K75" s="131"/>
      <c r="L75" s="131"/>
      <c r="M75" s="131"/>
      <c r="N75" s="131"/>
    </row>
    <row r="76" spans="1:14">
      <c r="A76" s="131"/>
      <c r="B76" s="131"/>
      <c r="C76" s="131"/>
      <c r="D76" s="131"/>
      <c r="E76" s="131"/>
      <c r="F76" s="131"/>
      <c r="G76" s="131"/>
      <c r="H76" s="131"/>
      <c r="I76" s="131"/>
      <c r="J76" s="131"/>
      <c r="K76" s="131"/>
      <c r="L76" s="131"/>
      <c r="M76" s="131"/>
      <c r="N76" s="131"/>
    </row>
    <row r="77" spans="1:14">
      <c r="A77" s="131"/>
      <c r="B77" s="131"/>
      <c r="C77" s="131"/>
      <c r="D77" s="131"/>
      <c r="E77" s="131"/>
      <c r="F77" s="131"/>
      <c r="G77" s="131"/>
      <c r="H77" s="131"/>
      <c r="I77" s="131"/>
      <c r="J77" s="131"/>
      <c r="K77" s="131"/>
      <c r="L77" s="131"/>
      <c r="M77" s="131"/>
      <c r="N77" s="131"/>
    </row>
    <row r="78" spans="1:14">
      <c r="A78" s="131"/>
      <c r="B78" s="131"/>
      <c r="C78" s="131"/>
      <c r="D78" s="131"/>
      <c r="E78" s="131"/>
      <c r="F78" s="131"/>
      <c r="G78" s="131"/>
      <c r="H78" s="131"/>
      <c r="I78" s="131"/>
      <c r="J78" s="131"/>
      <c r="K78" s="131"/>
      <c r="L78" s="131"/>
      <c r="M78" s="131"/>
      <c r="N78" s="131"/>
    </row>
    <row r="79" spans="1:14">
      <c r="A79" s="131"/>
      <c r="B79" s="131"/>
      <c r="C79" s="131"/>
      <c r="D79" s="131"/>
      <c r="E79" s="131"/>
      <c r="F79" s="131"/>
      <c r="G79" s="131"/>
      <c r="H79" s="131"/>
      <c r="I79" s="131"/>
      <c r="J79" s="131"/>
      <c r="K79" s="131"/>
      <c r="L79" s="131"/>
      <c r="M79" s="131"/>
      <c r="N79" s="131"/>
    </row>
    <row r="80" spans="1:14">
      <c r="A80" s="131"/>
      <c r="B80" s="131"/>
      <c r="C80" s="131"/>
      <c r="D80" s="131"/>
      <c r="E80" s="131"/>
      <c r="F80" s="131"/>
      <c r="G80" s="131"/>
      <c r="H80" s="131"/>
      <c r="I80" s="131"/>
      <c r="J80" s="131"/>
      <c r="K80" s="131"/>
      <c r="L80" s="131"/>
      <c r="M80" s="131"/>
      <c r="N80" s="131"/>
    </row>
    <row r="81" spans="1:14">
      <c r="A81" s="131"/>
      <c r="B81" s="131"/>
      <c r="C81" s="131"/>
      <c r="D81" s="131"/>
      <c r="E81" s="131"/>
      <c r="F81" s="131"/>
      <c r="G81" s="131"/>
      <c r="H81" s="131"/>
      <c r="I81" s="131"/>
      <c r="J81" s="131"/>
      <c r="K81" s="131"/>
      <c r="L81" s="131"/>
      <c r="M81" s="131"/>
      <c r="N81" s="131"/>
    </row>
    <row r="82" spans="1:14">
      <c r="A82" s="131"/>
      <c r="B82" s="131"/>
      <c r="C82" s="131"/>
      <c r="D82" s="131"/>
      <c r="E82" s="131"/>
      <c r="F82" s="131"/>
      <c r="G82" s="131"/>
      <c r="H82" s="131"/>
      <c r="I82" s="131"/>
      <c r="J82" s="131"/>
      <c r="K82" s="131"/>
      <c r="L82" s="131"/>
      <c r="M82" s="131"/>
      <c r="N82" s="131"/>
    </row>
    <row r="83" spans="1:14">
      <c r="A83" s="131"/>
      <c r="B83" s="131"/>
      <c r="C83" s="131"/>
      <c r="D83" s="131"/>
      <c r="E83" s="131"/>
      <c r="F83" s="131"/>
      <c r="G83" s="131"/>
      <c r="H83" s="131"/>
      <c r="I83" s="131"/>
      <c r="J83" s="131"/>
      <c r="K83" s="131"/>
      <c r="L83" s="131"/>
      <c r="M83" s="131"/>
      <c r="N83" s="131"/>
    </row>
    <row r="84" spans="1:14">
      <c r="A84" s="131"/>
      <c r="B84" s="131"/>
      <c r="C84" s="131"/>
      <c r="D84" s="131"/>
      <c r="E84" s="131"/>
      <c r="F84" s="131"/>
      <c r="G84" s="131"/>
      <c r="H84" s="131"/>
      <c r="I84" s="131"/>
      <c r="J84" s="131"/>
      <c r="K84" s="131"/>
      <c r="L84" s="131"/>
      <c r="M84" s="131"/>
      <c r="N84" s="131"/>
    </row>
    <row r="85" spans="1:14">
      <c r="A85" s="131"/>
      <c r="B85" s="131"/>
      <c r="C85" s="131"/>
      <c r="D85" s="131"/>
      <c r="E85" s="131"/>
      <c r="F85" s="131"/>
      <c r="G85" s="131"/>
      <c r="H85" s="131"/>
      <c r="I85" s="131"/>
      <c r="J85" s="131"/>
      <c r="K85" s="131"/>
      <c r="L85" s="131"/>
      <c r="M85" s="131"/>
      <c r="N85" s="131"/>
    </row>
    <row r="86" spans="1:14">
      <c r="A86" s="131"/>
      <c r="B86" s="131"/>
      <c r="C86" s="131"/>
      <c r="D86" s="131"/>
      <c r="E86" s="131"/>
      <c r="F86" s="131"/>
      <c r="G86" s="131"/>
      <c r="H86" s="131"/>
      <c r="I86" s="131"/>
      <c r="J86" s="131"/>
      <c r="K86" s="131"/>
      <c r="L86" s="131"/>
      <c r="M86" s="131"/>
      <c r="N86" s="131"/>
    </row>
    <row r="87" spans="1:14">
      <c r="A87" s="131"/>
      <c r="B87" s="131"/>
      <c r="C87" s="131"/>
      <c r="D87" s="131"/>
      <c r="E87" s="131"/>
      <c r="F87" s="131"/>
      <c r="G87" s="131"/>
      <c r="H87" s="131"/>
      <c r="I87" s="131"/>
      <c r="J87" s="131"/>
      <c r="K87" s="131"/>
      <c r="L87" s="131"/>
      <c r="M87" s="131"/>
      <c r="N87" s="131"/>
    </row>
    <row r="88" spans="1:14">
      <c r="A88" s="131"/>
      <c r="B88" s="131"/>
      <c r="C88" s="131"/>
      <c r="D88" s="131"/>
      <c r="E88" s="131"/>
      <c r="F88" s="131"/>
      <c r="G88" s="131"/>
      <c r="H88" s="131"/>
      <c r="I88" s="131"/>
      <c r="J88" s="131"/>
      <c r="K88" s="131"/>
      <c r="L88" s="131"/>
      <c r="M88" s="131"/>
      <c r="N88" s="131"/>
    </row>
    <row r="89" spans="1:14">
      <c r="A89" s="131"/>
      <c r="B89" s="131"/>
      <c r="C89" s="131"/>
      <c r="D89" s="131"/>
      <c r="E89" s="131"/>
      <c r="F89" s="131"/>
      <c r="G89" s="131"/>
      <c r="H89" s="131"/>
      <c r="I89" s="131"/>
      <c r="J89" s="131"/>
      <c r="K89" s="131"/>
      <c r="L89" s="131"/>
      <c r="M89" s="131"/>
      <c r="N89" s="131"/>
    </row>
    <row r="90" spans="1:14">
      <c r="A90" s="131"/>
      <c r="B90" s="131"/>
      <c r="C90" s="131"/>
      <c r="D90" s="131"/>
      <c r="E90" s="131"/>
      <c r="F90" s="131"/>
      <c r="G90" s="131"/>
      <c r="H90" s="131"/>
      <c r="I90" s="131"/>
      <c r="J90" s="131"/>
      <c r="K90" s="131"/>
      <c r="L90" s="131"/>
      <c r="M90" s="131"/>
      <c r="N90" s="131"/>
    </row>
    <row r="91" spans="1:14">
      <c r="A91" s="131"/>
      <c r="B91" s="131"/>
      <c r="C91" s="131"/>
      <c r="D91" s="131"/>
      <c r="E91" s="131"/>
      <c r="F91" s="131"/>
      <c r="G91" s="131"/>
      <c r="H91" s="131"/>
      <c r="I91" s="131"/>
      <c r="J91" s="131"/>
      <c r="K91" s="131"/>
      <c r="L91" s="131"/>
      <c r="M91" s="131"/>
      <c r="N91" s="131"/>
    </row>
    <row r="92" spans="1:14">
      <c r="A92" s="131"/>
      <c r="B92" s="131"/>
      <c r="C92" s="131"/>
      <c r="D92" s="131"/>
      <c r="E92" s="131"/>
      <c r="F92" s="131"/>
      <c r="G92" s="131"/>
      <c r="H92" s="131"/>
      <c r="I92" s="131"/>
      <c r="J92" s="131"/>
      <c r="K92" s="131"/>
      <c r="L92" s="131"/>
      <c r="M92" s="131"/>
      <c r="N92" s="131"/>
    </row>
    <row r="93" spans="1:14">
      <c r="A93" s="131"/>
      <c r="B93" s="131"/>
      <c r="C93" s="131"/>
      <c r="D93" s="131"/>
      <c r="E93" s="131"/>
      <c r="F93" s="131"/>
      <c r="G93" s="131"/>
      <c r="H93" s="131"/>
      <c r="I93" s="131"/>
      <c r="J93" s="131"/>
      <c r="K93" s="131"/>
      <c r="L93" s="131"/>
      <c r="M93" s="131"/>
      <c r="N93" s="131"/>
    </row>
    <row r="94" spans="1:14">
      <c r="A94" s="131"/>
      <c r="B94" s="131"/>
      <c r="C94" s="131"/>
      <c r="D94" s="131"/>
      <c r="E94" s="131"/>
      <c r="F94" s="131"/>
      <c r="G94" s="131"/>
      <c r="H94" s="131"/>
      <c r="I94" s="131"/>
      <c r="J94" s="131"/>
      <c r="K94" s="131"/>
      <c r="L94" s="131"/>
      <c r="M94" s="131"/>
      <c r="N94" s="131"/>
    </row>
    <row r="95" spans="1:14">
      <c r="A95" s="131"/>
      <c r="B95" s="131"/>
      <c r="C95" s="131"/>
      <c r="D95" s="131"/>
      <c r="E95" s="131"/>
      <c r="F95" s="131"/>
      <c r="G95" s="131"/>
      <c r="H95" s="131"/>
      <c r="I95" s="131"/>
      <c r="J95" s="131"/>
      <c r="K95" s="131"/>
      <c r="L95" s="131"/>
      <c r="M95" s="131"/>
      <c r="N95" s="131"/>
    </row>
    <row r="96" spans="1:14">
      <c r="A96" s="131"/>
      <c r="B96" s="131"/>
      <c r="C96" s="131"/>
      <c r="D96" s="131"/>
      <c r="E96" s="131"/>
      <c r="F96" s="131"/>
      <c r="G96" s="131"/>
      <c r="H96" s="131"/>
      <c r="I96" s="131"/>
      <c r="J96" s="131"/>
      <c r="K96" s="131"/>
      <c r="L96" s="131"/>
      <c r="M96" s="131"/>
      <c r="N96" s="131"/>
    </row>
    <row r="97" spans="1:14">
      <c r="A97" s="131"/>
      <c r="B97" s="131"/>
      <c r="C97" s="131"/>
      <c r="D97" s="131"/>
      <c r="E97" s="131"/>
      <c r="F97" s="131"/>
      <c r="G97" s="131"/>
      <c r="H97" s="131"/>
      <c r="I97" s="131"/>
      <c r="J97" s="131"/>
      <c r="K97" s="131"/>
      <c r="L97" s="131"/>
      <c r="M97" s="131"/>
      <c r="N97" s="131"/>
    </row>
    <row r="98" spans="1:14">
      <c r="A98" s="131"/>
      <c r="B98" s="131"/>
      <c r="C98" s="131"/>
      <c r="D98" s="131"/>
      <c r="E98" s="131"/>
      <c r="F98" s="131"/>
      <c r="G98" s="131"/>
      <c r="H98" s="131"/>
      <c r="I98" s="131"/>
      <c r="J98" s="131"/>
      <c r="K98" s="131"/>
      <c r="L98" s="131"/>
      <c r="M98" s="131"/>
      <c r="N98" s="131"/>
    </row>
    <row r="99" spans="1:14">
      <c r="A99" s="131"/>
      <c r="B99" s="131"/>
      <c r="C99" s="131"/>
      <c r="D99" s="131"/>
      <c r="E99" s="131"/>
      <c r="F99" s="131"/>
      <c r="G99" s="131"/>
      <c r="H99" s="131"/>
      <c r="I99" s="131"/>
      <c r="J99" s="131"/>
      <c r="K99" s="131"/>
      <c r="L99" s="131"/>
      <c r="M99" s="131"/>
      <c r="N99" s="131"/>
    </row>
    <row r="100" spans="1:14">
      <c r="A100" s="131"/>
      <c r="B100" s="131"/>
      <c r="C100" s="131"/>
      <c r="D100" s="131"/>
      <c r="E100" s="131"/>
      <c r="F100" s="131"/>
      <c r="G100" s="131"/>
      <c r="H100" s="131"/>
      <c r="I100" s="131"/>
      <c r="J100" s="131"/>
      <c r="K100" s="131"/>
      <c r="L100" s="131"/>
      <c r="M100" s="131"/>
      <c r="N100" s="131"/>
    </row>
    <row r="101" spans="1:14">
      <c r="A101" s="131"/>
      <c r="B101" s="131"/>
      <c r="C101" s="131"/>
      <c r="D101" s="131"/>
      <c r="E101" s="131"/>
      <c r="F101" s="131"/>
      <c r="G101" s="131"/>
      <c r="H101" s="131"/>
      <c r="I101" s="131"/>
      <c r="J101" s="131"/>
      <c r="K101" s="131"/>
      <c r="L101" s="131"/>
      <c r="M101" s="131"/>
      <c r="N101" s="131"/>
    </row>
    <row r="102" spans="1:14">
      <c r="A102" s="131"/>
      <c r="B102" s="131"/>
      <c r="C102" s="131"/>
      <c r="D102" s="131"/>
      <c r="E102" s="131"/>
      <c r="F102" s="131"/>
      <c r="G102" s="131"/>
      <c r="H102" s="131"/>
      <c r="I102" s="131"/>
      <c r="J102" s="131"/>
      <c r="K102" s="131"/>
      <c r="L102" s="131"/>
      <c r="M102" s="131"/>
      <c r="N102" s="131"/>
    </row>
    <row r="103" spans="1:14">
      <c r="A103" s="131"/>
      <c r="B103" s="131"/>
      <c r="C103" s="131"/>
      <c r="D103" s="131"/>
      <c r="E103" s="131"/>
      <c r="F103" s="131"/>
      <c r="G103" s="131"/>
      <c r="H103" s="131"/>
      <c r="I103" s="131"/>
      <c r="J103" s="131"/>
      <c r="K103" s="131"/>
      <c r="L103" s="131"/>
      <c r="M103" s="131"/>
      <c r="N103" s="131"/>
    </row>
    <row r="104" spans="1:14">
      <c r="A104" s="131"/>
      <c r="B104" s="131"/>
      <c r="C104" s="131"/>
      <c r="D104" s="131"/>
      <c r="E104" s="131"/>
      <c r="F104" s="131"/>
      <c r="G104" s="131"/>
      <c r="H104" s="131"/>
      <c r="I104" s="131"/>
      <c r="J104" s="131"/>
      <c r="K104" s="131"/>
      <c r="L104" s="131"/>
      <c r="M104" s="131"/>
      <c r="N104" s="131"/>
    </row>
    <row r="105" spans="1:14">
      <c r="A105" s="131"/>
      <c r="B105" s="131"/>
      <c r="C105" s="131"/>
      <c r="D105" s="131"/>
      <c r="E105" s="131"/>
      <c r="F105" s="131"/>
      <c r="G105" s="131"/>
      <c r="H105" s="131"/>
      <c r="I105" s="131"/>
      <c r="J105" s="131"/>
      <c r="K105" s="131"/>
      <c r="L105" s="131"/>
      <c r="M105" s="131"/>
      <c r="N105" s="131"/>
    </row>
    <row r="106" spans="1:14">
      <c r="A106" s="131"/>
      <c r="B106" s="131"/>
      <c r="C106" s="131"/>
      <c r="D106" s="131"/>
      <c r="E106" s="131"/>
      <c r="F106" s="131"/>
      <c r="G106" s="131"/>
      <c r="H106" s="131"/>
      <c r="I106" s="131"/>
      <c r="J106" s="131"/>
      <c r="K106" s="131"/>
      <c r="L106" s="131"/>
      <c r="M106" s="131"/>
      <c r="N106" s="131"/>
    </row>
    <row r="107" spans="1:14">
      <c r="A107" s="131"/>
      <c r="B107" s="131"/>
      <c r="C107" s="131"/>
      <c r="D107" s="131"/>
      <c r="E107" s="131"/>
      <c r="F107" s="131"/>
      <c r="G107" s="131"/>
      <c r="H107" s="131"/>
      <c r="I107" s="131"/>
      <c r="J107" s="131"/>
      <c r="K107" s="131"/>
      <c r="L107" s="131"/>
      <c r="M107" s="131"/>
      <c r="N107" s="131"/>
    </row>
    <row r="108" spans="1:14">
      <c r="A108" s="131"/>
      <c r="B108" s="131"/>
      <c r="C108" s="131"/>
      <c r="D108" s="131"/>
      <c r="E108" s="131"/>
      <c r="F108" s="131"/>
      <c r="G108" s="131"/>
      <c r="H108" s="131"/>
      <c r="I108" s="131"/>
      <c r="J108" s="131"/>
      <c r="K108" s="131"/>
      <c r="L108" s="131"/>
      <c r="M108" s="131"/>
      <c r="N108" s="131"/>
    </row>
    <row r="109" spans="1:14">
      <c r="A109" s="131"/>
      <c r="B109" s="131"/>
      <c r="C109" s="131"/>
      <c r="D109" s="131"/>
      <c r="E109" s="131"/>
      <c r="F109" s="131"/>
      <c r="G109" s="131"/>
      <c r="H109" s="131"/>
      <c r="I109" s="131"/>
      <c r="J109" s="131"/>
      <c r="K109" s="131"/>
      <c r="L109" s="131"/>
      <c r="M109" s="131"/>
      <c r="N109" s="131"/>
    </row>
    <row r="110" spans="1:14">
      <c r="A110" s="131"/>
      <c r="B110" s="131"/>
      <c r="C110" s="131"/>
      <c r="D110" s="131"/>
      <c r="E110" s="131"/>
      <c r="F110" s="131"/>
      <c r="G110" s="131"/>
      <c r="H110" s="131"/>
      <c r="I110" s="131"/>
      <c r="J110" s="131"/>
      <c r="K110" s="131"/>
      <c r="L110" s="131"/>
      <c r="M110" s="131"/>
      <c r="N110" s="131"/>
    </row>
    <row r="111" spans="1:14">
      <c r="A111" s="131"/>
      <c r="B111" s="131"/>
      <c r="C111" s="131"/>
      <c r="D111" s="131"/>
      <c r="E111" s="131"/>
      <c r="F111" s="131"/>
      <c r="G111" s="131"/>
      <c r="H111" s="131"/>
      <c r="I111" s="131"/>
      <c r="J111" s="131"/>
      <c r="K111" s="131"/>
      <c r="L111" s="131"/>
      <c r="M111" s="131"/>
      <c r="N111" s="131"/>
    </row>
    <row r="112" spans="1:14">
      <c r="A112" s="131"/>
      <c r="B112" s="131"/>
      <c r="C112" s="131"/>
      <c r="D112" s="131"/>
      <c r="E112" s="131"/>
      <c r="F112" s="131"/>
      <c r="G112" s="131"/>
      <c r="H112" s="131"/>
      <c r="I112" s="131"/>
      <c r="J112" s="131"/>
      <c r="K112" s="131"/>
      <c r="L112" s="131"/>
      <c r="M112" s="131"/>
      <c r="N112" s="131"/>
    </row>
    <row r="113" spans="1:14">
      <c r="A113" s="131"/>
      <c r="B113" s="131"/>
      <c r="C113" s="131"/>
      <c r="D113" s="131"/>
      <c r="E113" s="131"/>
      <c r="F113" s="131"/>
      <c r="G113" s="131"/>
      <c r="H113" s="131"/>
      <c r="I113" s="131"/>
      <c r="J113" s="131"/>
      <c r="K113" s="131"/>
      <c r="L113" s="131"/>
      <c r="M113" s="131"/>
      <c r="N113" s="131"/>
    </row>
    <row r="114" spans="1:14">
      <c r="A114" s="131"/>
      <c r="B114" s="131"/>
      <c r="C114" s="131"/>
      <c r="D114" s="131"/>
      <c r="E114" s="131"/>
      <c r="F114" s="131"/>
      <c r="G114" s="131"/>
      <c r="H114" s="131"/>
      <c r="I114" s="131"/>
      <c r="J114" s="131"/>
      <c r="K114" s="131"/>
      <c r="L114" s="131"/>
      <c r="M114" s="131"/>
      <c r="N114" s="131"/>
    </row>
    <row r="115" spans="1:14">
      <c r="A115" s="131"/>
      <c r="B115" s="131"/>
      <c r="C115" s="131"/>
      <c r="D115" s="131"/>
      <c r="E115" s="131"/>
      <c r="F115" s="131"/>
      <c r="G115" s="131"/>
      <c r="H115" s="131"/>
      <c r="I115" s="131"/>
      <c r="J115" s="131"/>
      <c r="K115" s="131"/>
      <c r="L115" s="131"/>
      <c r="M115" s="131"/>
      <c r="N115" s="131"/>
    </row>
    <row r="116" spans="1:14">
      <c r="A116" s="131"/>
      <c r="B116" s="131"/>
      <c r="C116" s="131"/>
      <c r="D116" s="131"/>
      <c r="E116" s="131"/>
      <c r="F116" s="131"/>
      <c r="G116" s="131"/>
      <c r="H116" s="131"/>
      <c r="I116" s="131"/>
      <c r="J116" s="131"/>
      <c r="K116" s="131"/>
      <c r="L116" s="131"/>
      <c r="M116" s="131"/>
      <c r="N116" s="131"/>
    </row>
    <row r="117" spans="1:14">
      <c r="A117" s="131"/>
      <c r="B117" s="131"/>
      <c r="C117" s="131"/>
      <c r="D117" s="131"/>
      <c r="E117" s="131"/>
      <c r="F117" s="131"/>
      <c r="G117" s="131"/>
      <c r="H117" s="131"/>
      <c r="I117" s="131"/>
      <c r="J117" s="131"/>
      <c r="K117" s="131"/>
      <c r="L117" s="131"/>
      <c r="M117" s="131"/>
      <c r="N117" s="131"/>
    </row>
    <row r="118" spans="1:14">
      <c r="A118" s="131"/>
      <c r="B118" s="131"/>
      <c r="C118" s="131"/>
      <c r="D118" s="131"/>
      <c r="E118" s="131"/>
      <c r="F118" s="131"/>
      <c r="G118" s="131"/>
      <c r="H118" s="131"/>
      <c r="I118" s="131"/>
      <c r="J118" s="131"/>
      <c r="K118" s="131"/>
      <c r="L118" s="131"/>
      <c r="M118" s="131"/>
      <c r="N118" s="131"/>
    </row>
    <row r="119" spans="1:14">
      <c r="A119" s="131"/>
      <c r="B119" s="131"/>
      <c r="C119" s="131"/>
      <c r="D119" s="131"/>
      <c r="E119" s="131"/>
      <c r="F119" s="131"/>
      <c r="G119" s="131"/>
      <c r="H119" s="131"/>
      <c r="I119" s="131"/>
      <c r="J119" s="131"/>
      <c r="K119" s="131"/>
      <c r="L119" s="131"/>
      <c r="M119" s="131"/>
      <c r="N119" s="131"/>
    </row>
    <row r="120" spans="1:14">
      <c r="A120" s="131"/>
      <c r="B120" s="131"/>
      <c r="C120" s="131"/>
      <c r="D120" s="131"/>
      <c r="E120" s="131"/>
      <c r="F120" s="131"/>
      <c r="G120" s="131"/>
      <c r="H120" s="131"/>
      <c r="I120" s="131"/>
      <c r="J120" s="131"/>
      <c r="K120" s="131"/>
      <c r="L120" s="131"/>
      <c r="M120" s="131"/>
      <c r="N120" s="131"/>
    </row>
    <row r="121" spans="1:14">
      <c r="A121" s="131"/>
      <c r="B121" s="131"/>
      <c r="C121" s="131"/>
      <c r="D121" s="131"/>
      <c r="E121" s="131"/>
      <c r="F121" s="131"/>
      <c r="G121" s="131"/>
      <c r="H121" s="131"/>
      <c r="I121" s="131"/>
      <c r="J121" s="131"/>
      <c r="K121" s="131"/>
      <c r="L121" s="131"/>
      <c r="M121" s="131"/>
      <c r="N121" s="131"/>
    </row>
    <row r="122" spans="1:14">
      <c r="A122" s="131"/>
      <c r="B122" s="131"/>
      <c r="C122" s="131"/>
      <c r="D122" s="131"/>
      <c r="E122" s="131"/>
      <c r="F122" s="131"/>
      <c r="G122" s="131"/>
      <c r="H122" s="131"/>
      <c r="I122" s="131"/>
      <c r="J122" s="131"/>
      <c r="K122" s="131"/>
      <c r="L122" s="131"/>
      <c r="M122" s="131"/>
      <c r="N122" s="131"/>
    </row>
    <row r="123" spans="1:14">
      <c r="A123" s="131"/>
      <c r="B123" s="131"/>
      <c r="C123" s="131"/>
      <c r="D123" s="131"/>
      <c r="E123" s="131"/>
      <c r="F123" s="131"/>
      <c r="G123" s="131"/>
      <c r="H123" s="131"/>
      <c r="I123" s="131"/>
      <c r="J123" s="131"/>
      <c r="K123" s="131"/>
      <c r="L123" s="131"/>
      <c r="M123" s="131"/>
      <c r="N123" s="131"/>
    </row>
    <row r="124" spans="1:14">
      <c r="A124" s="131"/>
      <c r="B124" s="131"/>
      <c r="C124" s="131"/>
      <c r="D124" s="131"/>
      <c r="E124" s="131"/>
      <c r="F124" s="131"/>
      <c r="G124" s="131"/>
      <c r="H124" s="131"/>
      <c r="I124" s="131"/>
      <c r="J124" s="131"/>
      <c r="K124" s="131"/>
      <c r="L124" s="131"/>
      <c r="M124" s="131"/>
      <c r="N124" s="131"/>
    </row>
    <row r="125" spans="1:14">
      <c r="A125" s="131"/>
      <c r="B125" s="131"/>
      <c r="C125" s="131"/>
      <c r="D125" s="131"/>
      <c r="E125" s="131"/>
      <c r="F125" s="131"/>
      <c r="G125" s="131"/>
      <c r="H125" s="131"/>
      <c r="I125" s="131"/>
      <c r="J125" s="131"/>
      <c r="K125" s="131"/>
      <c r="L125" s="131"/>
      <c r="M125" s="131"/>
      <c r="N125" s="131"/>
    </row>
    <row r="126" spans="1:14">
      <c r="A126" s="131"/>
      <c r="B126" s="131"/>
      <c r="C126" s="131"/>
      <c r="D126" s="131"/>
      <c r="E126" s="131"/>
      <c r="F126" s="131"/>
      <c r="G126" s="131"/>
      <c r="H126" s="131"/>
      <c r="I126" s="131"/>
      <c r="J126" s="131"/>
      <c r="K126" s="131"/>
      <c r="L126" s="131"/>
      <c r="M126" s="131"/>
      <c r="N126" s="131"/>
    </row>
    <row r="127" spans="1:14">
      <c r="A127" s="131"/>
      <c r="B127" s="131"/>
      <c r="C127" s="131"/>
      <c r="D127" s="131"/>
      <c r="E127" s="131"/>
      <c r="F127" s="131"/>
      <c r="G127" s="131"/>
      <c r="H127" s="131"/>
      <c r="I127" s="131"/>
      <c r="J127" s="131"/>
      <c r="K127" s="131"/>
      <c r="L127" s="131"/>
      <c r="M127" s="131"/>
      <c r="N127" s="131"/>
    </row>
    <row r="128" spans="1:14">
      <c r="A128" s="131"/>
      <c r="B128" s="131"/>
      <c r="C128" s="131"/>
      <c r="D128" s="131"/>
      <c r="E128" s="131"/>
      <c r="F128" s="131"/>
      <c r="G128" s="131"/>
      <c r="H128" s="131"/>
      <c r="I128" s="131"/>
      <c r="J128" s="131"/>
      <c r="K128" s="131"/>
      <c r="L128" s="131"/>
      <c r="M128" s="131"/>
      <c r="N128" s="131"/>
    </row>
    <row r="129" spans="1:14">
      <c r="A129" s="131"/>
      <c r="B129" s="131"/>
      <c r="C129" s="131"/>
      <c r="D129" s="131"/>
      <c r="E129" s="131"/>
      <c r="F129" s="131"/>
      <c r="G129" s="131"/>
      <c r="H129" s="131"/>
      <c r="I129" s="131"/>
      <c r="J129" s="131"/>
      <c r="K129" s="131"/>
      <c r="L129" s="131"/>
      <c r="M129" s="131"/>
      <c r="N129" s="131"/>
    </row>
    <row r="130" spans="1:14">
      <c r="A130" s="131"/>
      <c r="B130" s="131"/>
      <c r="C130" s="131"/>
      <c r="D130" s="131"/>
      <c r="E130" s="131"/>
      <c r="F130" s="131"/>
      <c r="G130" s="131"/>
      <c r="H130" s="131"/>
      <c r="I130" s="131"/>
      <c r="J130" s="131"/>
      <c r="K130" s="131"/>
      <c r="L130" s="131"/>
      <c r="M130" s="131"/>
      <c r="N130" s="131"/>
    </row>
    <row r="131" spans="1:14">
      <c r="A131" s="131"/>
      <c r="B131" s="131"/>
      <c r="C131" s="131"/>
      <c r="D131" s="131"/>
      <c r="E131" s="131"/>
      <c r="F131" s="131"/>
      <c r="G131" s="131"/>
      <c r="H131" s="131"/>
      <c r="I131" s="131"/>
      <c r="J131" s="131"/>
      <c r="K131" s="131"/>
      <c r="L131" s="131"/>
      <c r="M131" s="131"/>
      <c r="N131" s="131"/>
    </row>
    <row r="132" spans="1:14">
      <c r="A132" s="131"/>
      <c r="B132" s="131"/>
      <c r="C132" s="131"/>
      <c r="D132" s="131"/>
      <c r="E132" s="131"/>
      <c r="F132" s="131"/>
      <c r="G132" s="131"/>
      <c r="H132" s="131"/>
      <c r="I132" s="131"/>
      <c r="J132" s="131"/>
      <c r="K132" s="131"/>
      <c r="L132" s="131"/>
      <c r="M132" s="131"/>
      <c r="N132" s="131"/>
    </row>
    <row r="133" spans="1:14">
      <c r="A133" s="131"/>
      <c r="B133" s="131"/>
      <c r="C133" s="131"/>
      <c r="D133" s="131"/>
      <c r="E133" s="131"/>
      <c r="F133" s="131"/>
      <c r="G133" s="131"/>
      <c r="H133" s="131"/>
      <c r="I133" s="131"/>
      <c r="J133" s="131"/>
      <c r="K133" s="131"/>
      <c r="L133" s="131"/>
      <c r="M133" s="131"/>
      <c r="N133" s="131"/>
    </row>
    <row r="134" spans="1:14">
      <c r="A134" s="131"/>
      <c r="B134" s="131"/>
      <c r="C134" s="131"/>
      <c r="D134" s="131"/>
      <c r="E134" s="131"/>
      <c r="F134" s="131"/>
      <c r="G134" s="131"/>
      <c r="H134" s="131"/>
      <c r="I134" s="131"/>
      <c r="J134" s="131"/>
      <c r="K134" s="131"/>
      <c r="L134" s="131"/>
      <c r="M134" s="131"/>
      <c r="N134" s="131"/>
    </row>
    <row r="135" spans="1:14">
      <c r="A135" s="131"/>
      <c r="B135" s="131"/>
      <c r="C135" s="131"/>
      <c r="D135" s="131"/>
      <c r="E135" s="131"/>
      <c r="F135" s="131"/>
      <c r="G135" s="131"/>
      <c r="H135" s="131"/>
      <c r="I135" s="131"/>
      <c r="J135" s="131"/>
      <c r="K135" s="131"/>
      <c r="L135" s="131"/>
      <c r="M135" s="131"/>
      <c r="N135" s="131"/>
    </row>
    <row r="136" spans="1:14">
      <c r="A136" s="131"/>
      <c r="B136" s="131"/>
      <c r="C136" s="131"/>
      <c r="D136" s="131"/>
      <c r="E136" s="131"/>
      <c r="F136" s="131"/>
      <c r="G136" s="131"/>
      <c r="H136" s="131"/>
      <c r="I136" s="131"/>
      <c r="J136" s="131"/>
      <c r="K136" s="131"/>
      <c r="L136" s="131"/>
      <c r="M136" s="131"/>
      <c r="N136" s="131"/>
    </row>
    <row r="137" spans="1:14">
      <c r="A137" s="131"/>
      <c r="B137" s="131"/>
      <c r="C137" s="131"/>
      <c r="D137" s="131"/>
      <c r="E137" s="131"/>
      <c r="F137" s="131"/>
      <c r="G137" s="131"/>
      <c r="H137" s="131"/>
      <c r="I137" s="131"/>
      <c r="J137" s="131"/>
      <c r="K137" s="131"/>
      <c r="L137" s="131"/>
      <c r="M137" s="131"/>
      <c r="N137" s="131"/>
    </row>
    <row r="138" spans="1:14">
      <c r="A138" s="131"/>
      <c r="B138" s="131"/>
      <c r="C138" s="131"/>
      <c r="D138" s="131"/>
      <c r="E138" s="131"/>
      <c r="F138" s="131"/>
      <c r="G138" s="131"/>
      <c r="H138" s="131"/>
      <c r="I138" s="131"/>
      <c r="J138" s="131"/>
      <c r="K138" s="131"/>
      <c r="L138" s="131"/>
      <c r="M138" s="131"/>
      <c r="N138" s="131"/>
    </row>
    <row r="139" spans="1:14">
      <c r="A139" s="131"/>
      <c r="B139" s="131"/>
      <c r="C139" s="131"/>
      <c r="D139" s="131"/>
      <c r="E139" s="131"/>
      <c r="F139" s="131"/>
      <c r="G139" s="131"/>
      <c r="H139" s="131"/>
      <c r="I139" s="131"/>
      <c r="J139" s="131"/>
      <c r="K139" s="131"/>
      <c r="L139" s="131"/>
      <c r="M139" s="131"/>
      <c r="N139" s="131"/>
    </row>
    <row r="140" spans="1:14">
      <c r="A140" s="131"/>
      <c r="B140" s="131"/>
      <c r="C140" s="131"/>
      <c r="D140" s="131"/>
      <c r="E140" s="131"/>
      <c r="F140" s="131"/>
      <c r="G140" s="131"/>
      <c r="H140" s="131"/>
      <c r="I140" s="131"/>
      <c r="J140" s="131"/>
      <c r="K140" s="131"/>
      <c r="L140" s="131"/>
      <c r="M140" s="131"/>
      <c r="N140" s="131"/>
    </row>
    <row r="141" spans="1:14">
      <c r="A141" s="131"/>
      <c r="B141" s="131"/>
      <c r="C141" s="131"/>
      <c r="D141" s="131"/>
      <c r="E141" s="131"/>
      <c r="F141" s="131"/>
      <c r="G141" s="131"/>
      <c r="H141" s="131"/>
      <c r="I141" s="131"/>
      <c r="J141" s="131"/>
      <c r="K141" s="131"/>
      <c r="L141" s="131"/>
      <c r="M141" s="131"/>
      <c r="N141" s="131"/>
    </row>
    <row r="142" spans="1:14">
      <c r="A142" s="131"/>
      <c r="B142" s="131"/>
      <c r="C142" s="131"/>
      <c r="D142" s="131"/>
      <c r="E142" s="131"/>
      <c r="F142" s="131"/>
      <c r="G142" s="131"/>
      <c r="H142" s="131"/>
      <c r="I142" s="131"/>
      <c r="J142" s="131"/>
      <c r="K142" s="131"/>
      <c r="L142" s="131"/>
      <c r="M142" s="131"/>
      <c r="N142" s="131"/>
    </row>
    <row r="143" spans="1:14">
      <c r="A143" s="131"/>
      <c r="B143" s="131"/>
      <c r="C143" s="131"/>
      <c r="D143" s="131"/>
      <c r="E143" s="131"/>
      <c r="F143" s="131"/>
      <c r="G143" s="131"/>
      <c r="H143" s="131"/>
      <c r="I143" s="131"/>
      <c r="J143" s="131"/>
      <c r="K143" s="131"/>
      <c r="L143" s="131"/>
      <c r="M143" s="131"/>
      <c r="N143" s="131"/>
    </row>
    <row r="144" spans="1:14">
      <c r="A144" s="131"/>
      <c r="B144" s="131"/>
      <c r="C144" s="131"/>
      <c r="D144" s="131"/>
      <c r="E144" s="131"/>
      <c r="F144" s="131"/>
      <c r="G144" s="131"/>
      <c r="H144" s="131"/>
      <c r="I144" s="131"/>
      <c r="J144" s="131"/>
      <c r="K144" s="131"/>
      <c r="L144" s="131"/>
      <c r="M144" s="131"/>
      <c r="N144" s="131"/>
    </row>
    <row r="145" spans="1:14">
      <c r="A145" s="131"/>
      <c r="B145" s="131"/>
      <c r="C145" s="131"/>
      <c r="D145" s="131"/>
      <c r="E145" s="131"/>
      <c r="F145" s="131"/>
      <c r="G145" s="131"/>
      <c r="H145" s="131"/>
      <c r="I145" s="131"/>
      <c r="J145" s="131"/>
      <c r="K145" s="131"/>
      <c r="L145" s="131"/>
      <c r="M145" s="131"/>
      <c r="N145" s="131"/>
    </row>
    <row r="146" spans="1:14">
      <c r="A146" s="131"/>
      <c r="B146" s="131"/>
      <c r="C146" s="131"/>
      <c r="D146" s="131"/>
      <c r="E146" s="131"/>
      <c r="F146" s="131"/>
      <c r="G146" s="131"/>
      <c r="H146" s="131"/>
      <c r="I146" s="131"/>
      <c r="J146" s="131"/>
      <c r="K146" s="131"/>
      <c r="L146" s="131"/>
      <c r="M146" s="131"/>
      <c r="N146" s="131"/>
    </row>
    <row r="147" spans="1:14">
      <c r="A147" s="131"/>
      <c r="B147" s="131"/>
      <c r="C147" s="131"/>
      <c r="D147" s="131"/>
      <c r="E147" s="131"/>
      <c r="F147" s="131"/>
      <c r="G147" s="131"/>
      <c r="H147" s="131"/>
      <c r="I147" s="131"/>
      <c r="J147" s="131"/>
      <c r="K147" s="131"/>
      <c r="L147" s="131"/>
      <c r="M147" s="131"/>
      <c r="N147" s="131"/>
    </row>
    <row r="148" spans="1:14">
      <c r="A148" s="131"/>
      <c r="B148" s="131"/>
      <c r="C148" s="131"/>
      <c r="D148" s="131"/>
      <c r="E148" s="131"/>
      <c r="F148" s="131"/>
      <c r="G148" s="131"/>
      <c r="H148" s="131"/>
      <c r="I148" s="131"/>
      <c r="J148" s="131"/>
      <c r="K148" s="131"/>
      <c r="L148" s="131"/>
      <c r="M148" s="131"/>
      <c r="N148" s="131"/>
    </row>
    <row r="149" spans="1:14">
      <c r="A149" s="131"/>
      <c r="B149" s="131"/>
      <c r="C149" s="131"/>
      <c r="D149" s="131"/>
      <c r="E149" s="131"/>
      <c r="F149" s="131"/>
      <c r="G149" s="131"/>
      <c r="H149" s="131"/>
      <c r="I149" s="131"/>
      <c r="J149" s="131"/>
      <c r="K149" s="131"/>
      <c r="L149" s="131"/>
      <c r="M149" s="131"/>
      <c r="N149" s="131"/>
    </row>
    <row r="150" spans="1:14">
      <c r="A150" s="131"/>
      <c r="B150" s="131"/>
      <c r="C150" s="131"/>
      <c r="D150" s="131"/>
      <c r="E150" s="131"/>
      <c r="F150" s="131"/>
      <c r="G150" s="131"/>
      <c r="H150" s="131"/>
      <c r="I150" s="131"/>
      <c r="J150" s="131"/>
      <c r="K150" s="131"/>
      <c r="L150" s="131"/>
      <c r="M150" s="131"/>
      <c r="N150" s="131"/>
    </row>
    <row r="151" spans="1:14">
      <c r="A151" s="131"/>
      <c r="B151" s="131"/>
      <c r="C151" s="131"/>
      <c r="D151" s="131"/>
      <c r="E151" s="131"/>
      <c r="F151" s="131"/>
      <c r="G151" s="131"/>
      <c r="H151" s="131"/>
      <c r="I151" s="131"/>
      <c r="J151" s="131"/>
      <c r="K151" s="131"/>
      <c r="L151" s="131"/>
      <c r="M151" s="131"/>
      <c r="N151" s="131"/>
    </row>
    <row r="152" spans="1:14">
      <c r="A152" s="131"/>
      <c r="B152" s="131"/>
      <c r="C152" s="131"/>
      <c r="D152" s="131"/>
      <c r="E152" s="131"/>
      <c r="F152" s="131"/>
      <c r="G152" s="131"/>
      <c r="H152" s="131"/>
      <c r="I152" s="131"/>
      <c r="J152" s="131"/>
      <c r="K152" s="131"/>
      <c r="L152" s="131"/>
      <c r="M152" s="131"/>
      <c r="N152" s="131"/>
    </row>
    <row r="153" spans="1:14">
      <c r="A153" s="131"/>
      <c r="B153" s="131"/>
      <c r="C153" s="131"/>
      <c r="D153" s="131"/>
      <c r="E153" s="131"/>
      <c r="F153" s="131"/>
      <c r="G153" s="131"/>
      <c r="H153" s="131"/>
      <c r="I153" s="131"/>
      <c r="J153" s="131"/>
      <c r="K153" s="131"/>
      <c r="L153" s="131"/>
      <c r="M153" s="131"/>
      <c r="N153" s="131"/>
    </row>
    <row r="154" spans="1:14">
      <c r="A154" s="131"/>
      <c r="B154" s="131"/>
      <c r="C154" s="131"/>
      <c r="D154" s="131"/>
      <c r="E154" s="131"/>
      <c r="F154" s="131"/>
      <c r="G154" s="131"/>
      <c r="H154" s="131"/>
      <c r="I154" s="131"/>
      <c r="J154" s="131"/>
      <c r="K154" s="131"/>
      <c r="L154" s="131"/>
      <c r="M154" s="131"/>
      <c r="N154" s="131"/>
    </row>
    <row r="155" spans="1:14">
      <c r="A155" s="131"/>
      <c r="B155" s="131"/>
      <c r="C155" s="131"/>
      <c r="D155" s="131"/>
      <c r="E155" s="131"/>
      <c r="F155" s="131"/>
      <c r="G155" s="131"/>
      <c r="H155" s="131"/>
      <c r="I155" s="131"/>
      <c r="J155" s="131"/>
      <c r="K155" s="131"/>
      <c r="L155" s="131"/>
      <c r="M155" s="131"/>
      <c r="N155" s="131"/>
    </row>
    <row r="156" spans="1:14">
      <c r="A156" s="131"/>
      <c r="B156" s="131"/>
      <c r="C156" s="131"/>
      <c r="D156" s="131"/>
      <c r="E156" s="131"/>
      <c r="F156" s="131"/>
      <c r="G156" s="131"/>
      <c r="H156" s="131"/>
      <c r="I156" s="131"/>
      <c r="J156" s="131"/>
      <c r="K156" s="131"/>
      <c r="L156" s="131"/>
      <c r="M156" s="131"/>
      <c r="N156" s="131"/>
    </row>
    <row r="157" spans="1:14">
      <c r="A157" s="131"/>
      <c r="B157" s="131"/>
      <c r="C157" s="131"/>
      <c r="D157" s="131"/>
      <c r="E157" s="131"/>
      <c r="F157" s="131"/>
      <c r="G157" s="131"/>
      <c r="H157" s="131"/>
      <c r="I157" s="131"/>
      <c r="J157" s="131"/>
      <c r="K157" s="131"/>
      <c r="L157" s="131"/>
      <c r="M157" s="131"/>
      <c r="N157" s="131"/>
    </row>
    <row r="158" spans="1:14">
      <c r="A158" s="131"/>
      <c r="B158" s="131"/>
      <c r="C158" s="131"/>
      <c r="D158" s="131"/>
      <c r="E158" s="131"/>
      <c r="F158" s="131"/>
      <c r="G158" s="131"/>
      <c r="H158" s="131"/>
      <c r="I158" s="131"/>
      <c r="J158" s="131"/>
      <c r="K158" s="131"/>
      <c r="L158" s="131"/>
      <c r="M158" s="131"/>
      <c r="N158" s="131"/>
    </row>
    <row r="159" spans="1:14">
      <c r="A159" s="131"/>
      <c r="B159" s="131"/>
      <c r="C159" s="131"/>
      <c r="D159" s="131"/>
      <c r="E159" s="131"/>
      <c r="F159" s="131"/>
      <c r="G159" s="131"/>
      <c r="H159" s="131"/>
      <c r="I159" s="131"/>
      <c r="J159" s="131"/>
      <c r="K159" s="131"/>
      <c r="L159" s="131"/>
      <c r="M159" s="131"/>
      <c r="N159" s="131"/>
    </row>
    <row r="160" spans="1:14">
      <c r="A160" s="131"/>
      <c r="B160" s="131"/>
      <c r="C160" s="131"/>
      <c r="D160" s="131"/>
      <c r="E160" s="131"/>
      <c r="F160" s="131"/>
      <c r="G160" s="131"/>
      <c r="H160" s="131"/>
      <c r="I160" s="131"/>
      <c r="J160" s="131"/>
      <c r="K160" s="131"/>
      <c r="L160" s="131"/>
      <c r="M160" s="131"/>
      <c r="N160" s="131"/>
    </row>
    <row r="161" spans="1:14">
      <c r="A161" s="131"/>
      <c r="B161" s="131"/>
      <c r="C161" s="131"/>
      <c r="D161" s="131"/>
      <c r="E161" s="131"/>
      <c r="F161" s="131"/>
      <c r="G161" s="131"/>
      <c r="H161" s="131"/>
      <c r="I161" s="131"/>
      <c r="J161" s="131"/>
      <c r="K161" s="131"/>
      <c r="L161" s="131"/>
      <c r="M161" s="131"/>
      <c r="N161" s="131"/>
    </row>
    <row r="162" spans="1:14">
      <c r="A162" s="131"/>
      <c r="B162" s="131"/>
      <c r="C162" s="131"/>
      <c r="D162" s="131"/>
      <c r="E162" s="131"/>
      <c r="F162" s="131"/>
      <c r="G162" s="131"/>
      <c r="H162" s="131"/>
      <c r="I162" s="131"/>
      <c r="J162" s="131"/>
      <c r="K162" s="131"/>
      <c r="L162" s="131"/>
      <c r="M162" s="131"/>
      <c r="N162" s="131"/>
    </row>
    <row r="163" spans="1:14">
      <c r="A163" s="131"/>
      <c r="B163" s="131"/>
      <c r="C163" s="131"/>
      <c r="D163" s="131"/>
      <c r="E163" s="131"/>
      <c r="F163" s="131"/>
      <c r="G163" s="131"/>
      <c r="H163" s="131"/>
      <c r="I163" s="131"/>
      <c r="J163" s="131"/>
      <c r="K163" s="131"/>
      <c r="L163" s="131"/>
      <c r="M163" s="131"/>
      <c r="N163" s="131"/>
    </row>
    <row r="164" spans="1:14">
      <c r="A164" s="131"/>
      <c r="B164" s="131"/>
      <c r="C164" s="131"/>
      <c r="D164" s="131"/>
      <c r="E164" s="131"/>
      <c r="F164" s="131"/>
      <c r="G164" s="131"/>
      <c r="H164" s="131"/>
      <c r="I164" s="131"/>
      <c r="J164" s="131"/>
      <c r="K164" s="131"/>
      <c r="L164" s="131"/>
      <c r="M164" s="131"/>
      <c r="N164" s="131"/>
    </row>
    <row r="165" spans="1:14">
      <c r="A165" s="131"/>
      <c r="B165" s="131"/>
      <c r="C165" s="131"/>
      <c r="D165" s="131"/>
      <c r="E165" s="131"/>
      <c r="F165" s="131"/>
      <c r="G165" s="131"/>
      <c r="H165" s="131"/>
      <c r="I165" s="131"/>
      <c r="J165" s="131"/>
      <c r="K165" s="131"/>
      <c r="L165" s="131"/>
      <c r="M165" s="131"/>
      <c r="N165" s="131"/>
    </row>
    <row r="166" spans="1:14">
      <c r="A166" s="131"/>
      <c r="B166" s="131"/>
      <c r="C166" s="131"/>
      <c r="D166" s="131"/>
      <c r="E166" s="131"/>
      <c r="F166" s="131"/>
      <c r="G166" s="131"/>
      <c r="H166" s="131"/>
      <c r="I166" s="131"/>
      <c r="J166" s="131"/>
      <c r="K166" s="131"/>
      <c r="L166" s="131"/>
      <c r="M166" s="131"/>
      <c r="N166" s="131"/>
    </row>
    <row r="167" spans="1:14">
      <c r="A167" s="131"/>
      <c r="B167" s="131"/>
      <c r="C167" s="131"/>
      <c r="D167" s="131"/>
      <c r="E167" s="131"/>
      <c r="F167" s="131"/>
      <c r="G167" s="131"/>
      <c r="H167" s="131"/>
      <c r="I167" s="131"/>
      <c r="J167" s="131"/>
      <c r="K167" s="131"/>
      <c r="L167" s="131"/>
      <c r="M167" s="131"/>
      <c r="N167" s="131"/>
    </row>
    <row r="168" spans="1:14">
      <c r="A168" s="131"/>
      <c r="B168" s="131"/>
      <c r="C168" s="131"/>
      <c r="D168" s="131"/>
      <c r="E168" s="131"/>
      <c r="F168" s="131"/>
      <c r="G168" s="131"/>
      <c r="H168" s="131"/>
      <c r="I168" s="131"/>
      <c r="J168" s="131"/>
      <c r="K168" s="131"/>
      <c r="L168" s="131"/>
      <c r="M168" s="131"/>
      <c r="N168" s="131"/>
    </row>
    <row r="169" spans="1:14">
      <c r="A169" s="131"/>
      <c r="B169" s="131"/>
      <c r="C169" s="131"/>
      <c r="D169" s="131"/>
      <c r="E169" s="131"/>
      <c r="F169" s="131"/>
      <c r="G169" s="131"/>
      <c r="H169" s="131"/>
      <c r="I169" s="131"/>
      <c r="J169" s="131"/>
      <c r="K169" s="131"/>
      <c r="L169" s="131"/>
      <c r="M169" s="131"/>
      <c r="N169" s="131"/>
    </row>
    <row r="170" spans="1:14">
      <c r="A170" s="131"/>
      <c r="B170" s="131"/>
      <c r="C170" s="131"/>
      <c r="D170" s="131"/>
      <c r="E170" s="131"/>
      <c r="F170" s="131"/>
      <c r="G170" s="131"/>
      <c r="H170" s="131"/>
      <c r="I170" s="131"/>
      <c r="J170" s="131"/>
      <c r="K170" s="131"/>
      <c r="L170" s="131"/>
      <c r="M170" s="131"/>
      <c r="N170" s="131"/>
    </row>
    <row r="171" spans="1:14">
      <c r="A171" s="131"/>
      <c r="B171" s="131"/>
      <c r="C171" s="131"/>
      <c r="D171" s="131"/>
      <c r="E171" s="131"/>
      <c r="F171" s="131"/>
      <c r="G171" s="131"/>
      <c r="H171" s="131"/>
      <c r="I171" s="131"/>
      <c r="J171" s="131"/>
      <c r="K171" s="131"/>
      <c r="L171" s="131"/>
      <c r="M171" s="131"/>
      <c r="N171" s="131"/>
    </row>
    <row r="172" spans="1:14">
      <c r="A172" s="131"/>
      <c r="B172" s="131"/>
      <c r="C172" s="131"/>
      <c r="D172" s="131"/>
      <c r="E172" s="131"/>
      <c r="F172" s="131"/>
      <c r="G172" s="131"/>
      <c r="H172" s="131"/>
      <c r="I172" s="131"/>
      <c r="J172" s="131"/>
      <c r="K172" s="131"/>
      <c r="L172" s="131"/>
      <c r="M172" s="131"/>
      <c r="N172" s="131"/>
    </row>
    <row r="173" spans="1:14">
      <c r="A173" s="131"/>
      <c r="B173" s="131"/>
      <c r="C173" s="131"/>
      <c r="D173" s="131"/>
      <c r="E173" s="131"/>
      <c r="F173" s="131"/>
      <c r="G173" s="131"/>
      <c r="H173" s="131"/>
      <c r="I173" s="131"/>
      <c r="J173" s="131"/>
      <c r="K173" s="131"/>
      <c r="L173" s="131"/>
      <c r="M173" s="131"/>
      <c r="N173" s="131"/>
    </row>
    <row r="174" spans="1:14">
      <c r="A174" s="131"/>
      <c r="B174" s="131"/>
      <c r="C174" s="131"/>
      <c r="D174" s="131"/>
      <c r="E174" s="131"/>
      <c r="F174" s="131"/>
      <c r="G174" s="131"/>
      <c r="H174" s="131"/>
      <c r="I174" s="131"/>
      <c r="J174" s="131"/>
      <c r="K174" s="131"/>
      <c r="L174" s="131"/>
      <c r="M174" s="131"/>
      <c r="N174" s="131"/>
    </row>
    <row r="175" spans="1:14">
      <c r="A175" s="131"/>
      <c r="B175" s="131"/>
      <c r="C175" s="131"/>
      <c r="D175" s="131"/>
      <c r="E175" s="131"/>
      <c r="F175" s="131"/>
      <c r="G175" s="131"/>
      <c r="H175" s="131"/>
      <c r="I175" s="131"/>
      <c r="J175" s="131"/>
      <c r="K175" s="131"/>
      <c r="L175" s="131"/>
      <c r="M175" s="131"/>
      <c r="N175" s="131"/>
    </row>
    <row r="176" spans="1:14">
      <c r="A176" s="131"/>
      <c r="B176" s="131"/>
      <c r="C176" s="131"/>
      <c r="D176" s="131"/>
      <c r="E176" s="131"/>
      <c r="F176" s="131"/>
      <c r="G176" s="131"/>
      <c r="H176" s="131"/>
      <c r="I176" s="131"/>
      <c r="J176" s="131"/>
      <c r="K176" s="131"/>
      <c r="L176" s="131"/>
      <c r="M176" s="131"/>
      <c r="N176" s="131"/>
    </row>
    <row r="177" spans="1:14">
      <c r="A177" s="131"/>
      <c r="B177" s="131"/>
      <c r="C177" s="131"/>
      <c r="D177" s="131"/>
      <c r="E177" s="131"/>
      <c r="F177" s="131"/>
      <c r="G177" s="131"/>
      <c r="H177" s="131"/>
      <c r="I177" s="131"/>
      <c r="J177" s="131"/>
      <c r="K177" s="131"/>
      <c r="L177" s="131"/>
      <c r="M177" s="131"/>
      <c r="N177" s="131"/>
    </row>
    <row r="178" spans="1:14">
      <c r="A178" s="131"/>
      <c r="B178" s="131"/>
      <c r="C178" s="131"/>
      <c r="D178" s="131"/>
      <c r="E178" s="131"/>
      <c r="F178" s="131"/>
      <c r="G178" s="131"/>
      <c r="H178" s="131"/>
      <c r="I178" s="131"/>
      <c r="J178" s="131"/>
      <c r="K178" s="131"/>
      <c r="L178" s="131"/>
      <c r="M178" s="131"/>
      <c r="N178" s="131"/>
    </row>
    <row r="179" spans="1:14">
      <c r="A179" s="131"/>
      <c r="B179" s="131"/>
      <c r="C179" s="131"/>
      <c r="D179" s="131"/>
      <c r="E179" s="131"/>
      <c r="F179" s="131"/>
      <c r="G179" s="131"/>
      <c r="H179" s="131"/>
      <c r="I179" s="131"/>
      <c r="J179" s="131"/>
      <c r="K179" s="131"/>
      <c r="L179" s="131"/>
      <c r="M179" s="131"/>
      <c r="N179" s="131"/>
    </row>
    <row r="180" spans="1:14">
      <c r="A180" s="131"/>
      <c r="B180" s="131"/>
      <c r="C180" s="131"/>
      <c r="D180" s="131"/>
      <c r="E180" s="131"/>
      <c r="F180" s="131"/>
      <c r="G180" s="131"/>
      <c r="H180" s="131"/>
      <c r="I180" s="131"/>
      <c r="J180" s="131"/>
      <c r="K180" s="131"/>
      <c r="L180" s="131"/>
      <c r="M180" s="131"/>
      <c r="N180" s="131"/>
    </row>
    <row r="181" spans="1:14">
      <c r="A181" s="131"/>
      <c r="B181" s="131"/>
      <c r="C181" s="131"/>
      <c r="D181" s="131"/>
      <c r="E181" s="131"/>
      <c r="F181" s="131"/>
      <c r="G181" s="131"/>
      <c r="H181" s="131"/>
      <c r="I181" s="131"/>
      <c r="J181" s="131"/>
      <c r="K181" s="131"/>
      <c r="L181" s="131"/>
      <c r="M181" s="131"/>
      <c r="N181" s="131"/>
    </row>
    <row r="182" spans="1:14">
      <c r="A182" s="131"/>
      <c r="B182" s="131"/>
      <c r="C182" s="131"/>
      <c r="D182" s="131"/>
      <c r="E182" s="131"/>
      <c r="F182" s="131"/>
      <c r="G182" s="131"/>
      <c r="H182" s="131"/>
      <c r="I182" s="131"/>
      <c r="J182" s="131"/>
      <c r="K182" s="131"/>
      <c r="L182" s="131"/>
      <c r="M182" s="131"/>
      <c r="N182" s="131"/>
    </row>
    <row r="183" spans="1:14">
      <c r="A183" s="131"/>
      <c r="B183" s="131"/>
      <c r="C183" s="131"/>
      <c r="D183" s="131"/>
      <c r="E183" s="131"/>
      <c r="F183" s="131"/>
      <c r="G183" s="131"/>
      <c r="H183" s="131"/>
      <c r="I183" s="131"/>
      <c r="J183" s="131"/>
      <c r="K183" s="131"/>
      <c r="L183" s="131"/>
      <c r="M183" s="131"/>
      <c r="N183" s="131"/>
    </row>
    <row r="184" spans="1:14">
      <c r="A184" s="131"/>
      <c r="B184" s="131"/>
      <c r="C184" s="131"/>
      <c r="D184" s="131"/>
      <c r="E184" s="131"/>
      <c r="F184" s="131"/>
      <c r="G184" s="131"/>
      <c r="H184" s="131"/>
      <c r="I184" s="131"/>
      <c r="J184" s="131"/>
      <c r="K184" s="131"/>
      <c r="L184" s="131"/>
      <c r="M184" s="131"/>
      <c r="N184" s="131"/>
    </row>
    <row r="185" spans="1:14">
      <c r="A185" s="131"/>
      <c r="B185" s="131"/>
      <c r="C185" s="131"/>
      <c r="D185" s="131"/>
      <c r="E185" s="131"/>
      <c r="F185" s="131"/>
      <c r="G185" s="131"/>
      <c r="H185" s="131"/>
      <c r="I185" s="131"/>
      <c r="J185" s="131"/>
      <c r="K185" s="131"/>
      <c r="L185" s="131"/>
      <c r="M185" s="131"/>
      <c r="N185" s="131"/>
    </row>
    <row r="186" spans="1:14">
      <c r="A186" s="131"/>
      <c r="B186" s="131"/>
      <c r="C186" s="131"/>
      <c r="D186" s="131"/>
      <c r="E186" s="131"/>
      <c r="F186" s="131"/>
      <c r="G186" s="131"/>
      <c r="H186" s="131"/>
      <c r="I186" s="131"/>
      <c r="J186" s="131"/>
      <c r="K186" s="131"/>
      <c r="L186" s="131"/>
      <c r="M186" s="131"/>
      <c r="N186" s="131"/>
    </row>
    <row r="187" spans="1:14">
      <c r="A187" s="131"/>
      <c r="B187" s="131"/>
      <c r="C187" s="131"/>
      <c r="D187" s="131"/>
      <c r="E187" s="131"/>
      <c r="F187" s="131"/>
      <c r="G187" s="131"/>
      <c r="H187" s="131"/>
      <c r="I187" s="131"/>
      <c r="J187" s="131"/>
      <c r="K187" s="131"/>
      <c r="L187" s="131"/>
      <c r="M187" s="131"/>
      <c r="N187" s="131"/>
    </row>
    <row r="188" spans="1:14">
      <c r="A188" s="131"/>
      <c r="B188" s="131"/>
      <c r="C188" s="131"/>
      <c r="D188" s="131"/>
      <c r="E188" s="131"/>
      <c r="F188" s="131"/>
      <c r="G188" s="131"/>
      <c r="H188" s="131"/>
      <c r="I188" s="131"/>
      <c r="J188" s="131"/>
      <c r="K188" s="131"/>
      <c r="L188" s="131"/>
      <c r="M188" s="131"/>
      <c r="N188" s="131"/>
    </row>
    <row r="189" spans="1:14">
      <c r="A189" s="131"/>
      <c r="B189" s="131"/>
      <c r="C189" s="131"/>
      <c r="D189" s="131"/>
      <c r="E189" s="131"/>
      <c r="F189" s="131"/>
      <c r="G189" s="131"/>
      <c r="H189" s="131"/>
      <c r="I189" s="131"/>
      <c r="J189" s="131"/>
      <c r="K189" s="131"/>
      <c r="L189" s="131"/>
      <c r="M189" s="131"/>
      <c r="N189" s="131"/>
    </row>
    <row r="190" spans="1:14">
      <c r="A190" s="131"/>
      <c r="B190" s="131"/>
      <c r="C190" s="131"/>
      <c r="D190" s="131"/>
      <c r="E190" s="131"/>
      <c r="F190" s="131"/>
      <c r="G190" s="131"/>
      <c r="H190" s="131"/>
      <c r="I190" s="131"/>
      <c r="J190" s="131"/>
      <c r="K190" s="131"/>
      <c r="L190" s="131"/>
      <c r="M190" s="131"/>
      <c r="N190" s="131"/>
    </row>
    <row r="191" spans="1:14">
      <c r="A191" s="131"/>
      <c r="B191" s="131"/>
      <c r="C191" s="131"/>
      <c r="D191" s="131"/>
      <c r="E191" s="131"/>
      <c r="F191" s="131"/>
      <c r="G191" s="131"/>
      <c r="H191" s="131"/>
      <c r="I191" s="131"/>
      <c r="J191" s="131"/>
      <c r="K191" s="131"/>
      <c r="L191" s="131"/>
      <c r="M191" s="131"/>
      <c r="N191" s="131"/>
    </row>
    <row r="192" spans="1:14">
      <c r="A192" s="131"/>
      <c r="B192" s="131"/>
      <c r="C192" s="131"/>
      <c r="D192" s="131"/>
      <c r="E192" s="131"/>
      <c r="F192" s="131"/>
      <c r="G192" s="131"/>
      <c r="H192" s="131"/>
      <c r="I192" s="131"/>
      <c r="J192" s="131"/>
      <c r="K192" s="131"/>
      <c r="L192" s="131"/>
      <c r="M192" s="131"/>
      <c r="N192" s="131"/>
    </row>
    <row r="193" spans="1:14">
      <c r="A193" s="131"/>
      <c r="B193" s="131"/>
      <c r="C193" s="131"/>
      <c r="D193" s="131"/>
      <c r="E193" s="131"/>
      <c r="F193" s="131"/>
      <c r="G193" s="131"/>
      <c r="H193" s="131"/>
      <c r="I193" s="131"/>
      <c r="J193" s="131"/>
      <c r="K193" s="131"/>
      <c r="L193" s="131"/>
      <c r="M193" s="131"/>
      <c r="N193" s="131"/>
    </row>
    <row r="194" spans="1:14">
      <c r="A194" s="131"/>
      <c r="B194" s="131"/>
      <c r="C194" s="131"/>
      <c r="D194" s="131"/>
      <c r="E194" s="131"/>
      <c r="F194" s="131"/>
      <c r="G194" s="131"/>
      <c r="H194" s="131"/>
      <c r="I194" s="131"/>
      <c r="J194" s="131"/>
      <c r="K194" s="131"/>
      <c r="L194" s="131"/>
      <c r="M194" s="131"/>
      <c r="N194" s="131"/>
    </row>
    <row r="195" spans="1:14">
      <c r="A195" s="131"/>
      <c r="B195" s="131"/>
      <c r="C195" s="131"/>
      <c r="D195" s="131"/>
      <c r="E195" s="131"/>
      <c r="F195" s="131"/>
      <c r="G195" s="131"/>
      <c r="H195" s="131"/>
      <c r="I195" s="131"/>
      <c r="J195" s="131"/>
      <c r="K195" s="131"/>
      <c r="L195" s="131"/>
      <c r="M195" s="131"/>
      <c r="N195" s="131"/>
    </row>
    <row r="196" spans="1:14">
      <c r="A196" s="131"/>
      <c r="B196" s="131"/>
      <c r="C196" s="131"/>
      <c r="D196" s="131"/>
      <c r="E196" s="131"/>
      <c r="F196" s="131"/>
      <c r="G196" s="131"/>
      <c r="H196" s="131"/>
      <c r="I196" s="131"/>
      <c r="J196" s="131"/>
      <c r="K196" s="131"/>
      <c r="L196" s="131"/>
      <c r="M196" s="131"/>
      <c r="N196" s="131"/>
    </row>
    <row r="197" spans="1:14">
      <c r="A197" s="131"/>
      <c r="B197" s="131"/>
      <c r="C197" s="131"/>
      <c r="D197" s="131"/>
      <c r="E197" s="131"/>
      <c r="F197" s="131"/>
      <c r="G197" s="131"/>
      <c r="H197" s="131"/>
      <c r="I197" s="131"/>
      <c r="J197" s="131"/>
      <c r="K197" s="131"/>
      <c r="L197" s="131"/>
      <c r="M197" s="131"/>
      <c r="N197" s="131"/>
    </row>
    <row r="198" spans="1:14">
      <c r="A198" s="131"/>
      <c r="B198" s="131"/>
      <c r="C198" s="131"/>
      <c r="D198" s="131"/>
      <c r="E198" s="131"/>
      <c r="F198" s="131"/>
      <c r="G198" s="131"/>
      <c r="H198" s="131"/>
      <c r="I198" s="131"/>
      <c r="J198" s="131"/>
      <c r="K198" s="131"/>
      <c r="L198" s="131"/>
      <c r="M198" s="131"/>
      <c r="N198" s="131"/>
    </row>
    <row r="199" spans="1:14">
      <c r="A199" s="131"/>
      <c r="B199" s="131"/>
      <c r="C199" s="131"/>
      <c r="D199" s="131"/>
      <c r="E199" s="131"/>
      <c r="F199" s="131"/>
      <c r="G199" s="131"/>
      <c r="H199" s="131"/>
      <c r="I199" s="131"/>
      <c r="J199" s="131"/>
      <c r="K199" s="131"/>
      <c r="L199" s="131"/>
      <c r="M199" s="131"/>
      <c r="N199" s="131"/>
    </row>
    <row r="200" spans="1:14">
      <c r="A200" s="131"/>
      <c r="B200" s="131"/>
      <c r="C200" s="131"/>
      <c r="D200" s="131"/>
      <c r="E200" s="131"/>
      <c r="F200" s="131"/>
      <c r="G200" s="131"/>
      <c r="H200" s="131"/>
      <c r="I200" s="131"/>
      <c r="J200" s="131"/>
      <c r="K200" s="131"/>
      <c r="L200" s="131"/>
      <c r="M200" s="131"/>
      <c r="N200" s="131"/>
    </row>
    <row r="201" spans="1:14">
      <c r="A201" s="131"/>
      <c r="B201" s="131"/>
      <c r="C201" s="131"/>
      <c r="D201" s="131"/>
      <c r="E201" s="131"/>
      <c r="F201" s="131"/>
      <c r="G201" s="131"/>
      <c r="H201" s="131"/>
      <c r="I201" s="131"/>
      <c r="J201" s="131"/>
      <c r="K201" s="131"/>
      <c r="L201" s="131"/>
      <c r="M201" s="131"/>
      <c r="N201" s="131"/>
    </row>
    <row r="202" spans="1:14">
      <c r="A202" s="131"/>
      <c r="B202" s="131"/>
      <c r="C202" s="131"/>
      <c r="D202" s="131"/>
      <c r="E202" s="131"/>
      <c r="F202" s="131"/>
      <c r="G202" s="131"/>
      <c r="H202" s="131"/>
      <c r="I202" s="131"/>
      <c r="J202" s="131"/>
      <c r="K202" s="131"/>
      <c r="L202" s="131"/>
      <c r="M202" s="131"/>
      <c r="N202" s="131"/>
    </row>
    <row r="203" spans="1:14">
      <c r="A203" s="131"/>
      <c r="B203" s="131"/>
      <c r="C203" s="131"/>
      <c r="D203" s="131"/>
      <c r="E203" s="131"/>
      <c r="F203" s="131"/>
      <c r="G203" s="131"/>
      <c r="H203" s="131"/>
      <c r="I203" s="131"/>
      <c r="J203" s="131"/>
      <c r="K203" s="131"/>
      <c r="L203" s="131"/>
      <c r="M203" s="131"/>
      <c r="N203" s="131"/>
    </row>
    <row r="204" spans="1:14">
      <c r="A204" s="131"/>
      <c r="B204" s="131"/>
      <c r="C204" s="131"/>
      <c r="D204" s="131"/>
      <c r="E204" s="131"/>
      <c r="F204" s="131"/>
      <c r="G204" s="131"/>
      <c r="H204" s="131"/>
      <c r="I204" s="131"/>
      <c r="J204" s="131"/>
      <c r="K204" s="131"/>
      <c r="L204" s="131"/>
      <c r="M204" s="131"/>
      <c r="N204" s="131"/>
    </row>
    <row r="205" spans="1:14">
      <c r="A205" s="131"/>
      <c r="B205" s="131"/>
      <c r="C205" s="131"/>
      <c r="D205" s="131"/>
      <c r="E205" s="131"/>
      <c r="F205" s="131"/>
      <c r="G205" s="131"/>
      <c r="H205" s="131"/>
      <c r="I205" s="131"/>
      <c r="J205" s="131"/>
      <c r="K205" s="131"/>
      <c r="L205" s="131"/>
      <c r="M205" s="131"/>
      <c r="N205" s="131"/>
    </row>
    <row r="206" spans="1:14">
      <c r="A206" s="131"/>
      <c r="B206" s="131"/>
      <c r="C206" s="131"/>
      <c r="D206" s="131"/>
      <c r="E206" s="131"/>
      <c r="F206" s="131"/>
      <c r="G206" s="131"/>
      <c r="H206" s="131"/>
      <c r="I206" s="131"/>
      <c r="J206" s="131"/>
      <c r="K206" s="131"/>
      <c r="L206" s="131"/>
      <c r="M206" s="131"/>
      <c r="N206" s="131"/>
    </row>
    <row r="207" spans="1:14">
      <c r="A207" s="131"/>
      <c r="B207" s="131"/>
      <c r="C207" s="131"/>
      <c r="D207" s="131"/>
      <c r="E207" s="131"/>
      <c r="F207" s="131"/>
      <c r="G207" s="131"/>
      <c r="H207" s="131"/>
      <c r="I207" s="131"/>
      <c r="J207" s="131"/>
      <c r="K207" s="131"/>
      <c r="L207" s="131"/>
      <c r="M207" s="131"/>
      <c r="N207" s="131"/>
    </row>
    <row r="208" spans="1:14">
      <c r="A208" s="131"/>
      <c r="B208" s="131"/>
      <c r="C208" s="131"/>
      <c r="D208" s="131"/>
      <c r="E208" s="131"/>
      <c r="F208" s="131"/>
      <c r="G208" s="131"/>
      <c r="H208" s="131"/>
      <c r="I208" s="131"/>
      <c r="J208" s="131"/>
      <c r="K208" s="131"/>
      <c r="L208" s="131"/>
      <c r="M208" s="131"/>
      <c r="N208" s="131"/>
    </row>
    <row r="209" spans="1:14">
      <c r="A209" s="131"/>
      <c r="B209" s="131"/>
      <c r="C209" s="131"/>
      <c r="D209" s="131"/>
      <c r="E209" s="131"/>
      <c r="F209" s="131"/>
      <c r="G209" s="131"/>
      <c r="H209" s="131"/>
      <c r="I209" s="131"/>
      <c r="J209" s="131"/>
      <c r="K209" s="131"/>
      <c r="L209" s="131"/>
      <c r="M209" s="131"/>
      <c r="N209" s="131"/>
    </row>
    <row r="210" spans="1:14">
      <c r="A210" s="131"/>
      <c r="B210" s="131"/>
      <c r="C210" s="131"/>
      <c r="D210" s="131"/>
      <c r="E210" s="131"/>
      <c r="F210" s="131"/>
      <c r="G210" s="131"/>
      <c r="H210" s="131"/>
      <c r="I210" s="131"/>
      <c r="J210" s="131"/>
      <c r="K210" s="131"/>
      <c r="L210" s="131"/>
      <c r="M210" s="131"/>
      <c r="N210" s="131"/>
    </row>
    <row r="211" spans="1:14">
      <c r="A211" s="131"/>
      <c r="B211" s="131"/>
      <c r="C211" s="131"/>
      <c r="D211" s="131"/>
      <c r="E211" s="131"/>
      <c r="F211" s="131"/>
      <c r="G211" s="131"/>
      <c r="H211" s="131"/>
      <c r="I211" s="131"/>
      <c r="J211" s="131"/>
      <c r="K211" s="131"/>
      <c r="L211" s="131"/>
      <c r="M211" s="131"/>
      <c r="N211" s="131"/>
    </row>
    <row r="212" spans="1:14">
      <c r="A212" s="131"/>
      <c r="B212" s="131"/>
      <c r="C212" s="131"/>
      <c r="D212" s="131"/>
      <c r="E212" s="131"/>
      <c r="F212" s="131"/>
      <c r="G212" s="131"/>
      <c r="H212" s="131"/>
      <c r="I212" s="131"/>
      <c r="J212" s="131"/>
      <c r="K212" s="131"/>
      <c r="L212" s="131"/>
      <c r="M212" s="131"/>
      <c r="N212" s="131"/>
    </row>
    <row r="213" spans="1:14">
      <c r="A213" s="131"/>
      <c r="B213" s="131"/>
      <c r="C213" s="131"/>
      <c r="D213" s="131"/>
      <c r="E213" s="131"/>
      <c r="F213" s="131"/>
      <c r="G213" s="131"/>
      <c r="H213" s="131"/>
      <c r="I213" s="131"/>
      <c r="J213" s="131"/>
      <c r="K213" s="131"/>
      <c r="L213" s="131"/>
      <c r="M213" s="131"/>
      <c r="N213" s="131"/>
    </row>
    <row r="214" spans="1:14">
      <c r="A214" s="131"/>
      <c r="B214" s="131"/>
      <c r="C214" s="131"/>
      <c r="D214" s="131"/>
      <c r="E214" s="131"/>
      <c r="F214" s="131"/>
      <c r="G214" s="131"/>
      <c r="H214" s="131"/>
      <c r="I214" s="131"/>
      <c r="J214" s="131"/>
      <c r="K214" s="131"/>
      <c r="L214" s="131"/>
      <c r="M214" s="131"/>
      <c r="N214" s="131"/>
    </row>
    <row r="215" spans="1:14">
      <c r="A215" s="131"/>
      <c r="B215" s="131"/>
      <c r="C215" s="131"/>
      <c r="D215" s="131"/>
      <c r="E215" s="131"/>
      <c r="F215" s="131"/>
      <c r="G215" s="131"/>
      <c r="H215" s="131"/>
      <c r="I215" s="131"/>
      <c r="J215" s="131"/>
      <c r="K215" s="131"/>
      <c r="L215" s="131"/>
      <c r="M215" s="131"/>
      <c r="N215" s="131"/>
    </row>
    <row r="216" spans="1:14">
      <c r="A216" s="131"/>
      <c r="B216" s="131"/>
      <c r="C216" s="131"/>
      <c r="D216" s="131"/>
      <c r="E216" s="131"/>
      <c r="F216" s="131"/>
      <c r="G216" s="131"/>
      <c r="H216" s="131"/>
      <c r="I216" s="131"/>
      <c r="J216" s="131"/>
      <c r="K216" s="131"/>
      <c r="L216" s="131"/>
      <c r="M216" s="131"/>
      <c r="N216" s="131"/>
    </row>
    <row r="217" spans="1:14">
      <c r="A217" s="131"/>
      <c r="B217" s="131"/>
      <c r="C217" s="131"/>
      <c r="D217" s="131"/>
      <c r="E217" s="131"/>
      <c r="F217" s="131"/>
      <c r="G217" s="131"/>
      <c r="H217" s="131"/>
      <c r="I217" s="131"/>
      <c r="J217" s="131"/>
      <c r="K217" s="131"/>
      <c r="L217" s="131"/>
      <c r="M217" s="131"/>
      <c r="N217" s="131"/>
    </row>
    <row r="218" spans="1:14">
      <c r="A218" s="131"/>
      <c r="B218" s="131"/>
      <c r="C218" s="131"/>
      <c r="D218" s="131"/>
      <c r="E218" s="131"/>
      <c r="F218" s="131"/>
      <c r="G218" s="131"/>
      <c r="H218" s="131"/>
      <c r="I218" s="131"/>
      <c r="J218" s="131"/>
      <c r="K218" s="131"/>
      <c r="L218" s="131"/>
      <c r="M218" s="131"/>
      <c r="N218" s="131"/>
    </row>
    <row r="219" spans="1:14">
      <c r="A219" s="131"/>
      <c r="B219" s="131"/>
      <c r="C219" s="131"/>
      <c r="D219" s="131"/>
      <c r="E219" s="131"/>
      <c r="F219" s="131"/>
      <c r="G219" s="131"/>
      <c r="H219" s="131"/>
      <c r="I219" s="131"/>
      <c r="J219" s="131"/>
      <c r="K219" s="131"/>
      <c r="L219" s="131"/>
      <c r="M219" s="131"/>
      <c r="N219" s="131"/>
    </row>
    <row r="220" spans="1:14">
      <c r="A220" s="131"/>
      <c r="B220" s="131"/>
      <c r="C220" s="131"/>
      <c r="D220" s="131"/>
      <c r="E220" s="131"/>
      <c r="F220" s="131"/>
      <c r="G220" s="131"/>
      <c r="H220" s="131"/>
      <c r="I220" s="131"/>
      <c r="J220" s="131"/>
      <c r="K220" s="131"/>
      <c r="L220" s="131"/>
      <c r="M220" s="131"/>
      <c r="N220" s="131"/>
    </row>
    <row r="221" spans="1:14">
      <c r="A221" s="131"/>
      <c r="B221" s="131"/>
      <c r="C221" s="131"/>
      <c r="D221" s="131"/>
      <c r="E221" s="131"/>
      <c r="F221" s="131"/>
      <c r="G221" s="131"/>
      <c r="H221" s="131"/>
      <c r="I221" s="131"/>
      <c r="J221" s="131"/>
      <c r="K221" s="131"/>
      <c r="L221" s="131"/>
      <c r="M221" s="131"/>
      <c r="N221" s="131"/>
    </row>
    <row r="222" spans="1:14">
      <c r="A222" s="131"/>
      <c r="B222" s="131"/>
      <c r="C222" s="131"/>
      <c r="D222" s="131"/>
      <c r="E222" s="131"/>
      <c r="F222" s="131"/>
      <c r="G222" s="131"/>
      <c r="H222" s="131"/>
      <c r="I222" s="131"/>
      <c r="J222" s="131"/>
      <c r="K222" s="131"/>
      <c r="L222" s="131"/>
      <c r="M222" s="131"/>
      <c r="N222" s="131"/>
    </row>
    <row r="223" spans="1:14">
      <c r="A223" s="131"/>
      <c r="B223" s="131"/>
      <c r="C223" s="131"/>
      <c r="D223" s="131"/>
      <c r="E223" s="131"/>
      <c r="F223" s="131"/>
      <c r="G223" s="131"/>
      <c r="H223" s="131"/>
      <c r="I223" s="131"/>
      <c r="J223" s="131"/>
      <c r="K223" s="131"/>
      <c r="L223" s="131"/>
      <c r="M223" s="131"/>
      <c r="N223" s="131"/>
    </row>
    <row r="224" spans="1:14">
      <c r="A224" s="131"/>
      <c r="B224" s="131"/>
      <c r="C224" s="131"/>
      <c r="D224" s="131"/>
      <c r="E224" s="131"/>
      <c r="F224" s="131"/>
      <c r="G224" s="131"/>
      <c r="H224" s="131"/>
      <c r="I224" s="131"/>
      <c r="J224" s="131"/>
      <c r="K224" s="131"/>
      <c r="L224" s="131"/>
      <c r="M224" s="131"/>
      <c r="N224" s="131"/>
    </row>
    <row r="225" spans="1:14">
      <c r="A225" s="131"/>
      <c r="B225" s="131"/>
      <c r="C225" s="131"/>
      <c r="D225" s="131"/>
      <c r="E225" s="131"/>
      <c r="F225" s="131"/>
      <c r="G225" s="131"/>
      <c r="H225" s="131"/>
      <c r="I225" s="131"/>
      <c r="J225" s="131"/>
      <c r="K225" s="131"/>
      <c r="L225" s="131"/>
      <c r="M225" s="131"/>
      <c r="N225" s="131"/>
    </row>
    <row r="226" spans="1:14">
      <c r="A226" s="131"/>
      <c r="B226" s="131"/>
      <c r="C226" s="131"/>
      <c r="D226" s="131"/>
      <c r="E226" s="131"/>
      <c r="F226" s="131"/>
      <c r="G226" s="131"/>
      <c r="H226" s="131"/>
      <c r="I226" s="131"/>
      <c r="J226" s="131"/>
      <c r="K226" s="131"/>
      <c r="L226" s="131"/>
      <c r="M226" s="131"/>
      <c r="N226" s="131"/>
    </row>
    <row r="227" spans="1:14">
      <c r="A227" s="131"/>
      <c r="B227" s="131"/>
      <c r="C227" s="131"/>
      <c r="D227" s="131"/>
      <c r="E227" s="131"/>
      <c r="F227" s="131"/>
      <c r="G227" s="131"/>
      <c r="H227" s="131"/>
      <c r="I227" s="131"/>
      <c r="J227" s="131"/>
      <c r="K227" s="131"/>
      <c r="L227" s="131"/>
      <c r="M227" s="131"/>
      <c r="N227" s="131"/>
    </row>
    <row r="228" spans="1:14">
      <c r="A228" s="131"/>
      <c r="B228" s="131"/>
      <c r="C228" s="131"/>
      <c r="D228" s="131"/>
      <c r="E228" s="131"/>
      <c r="F228" s="131"/>
      <c r="G228" s="131"/>
      <c r="H228" s="131"/>
      <c r="I228" s="131"/>
      <c r="J228" s="131"/>
      <c r="K228" s="131"/>
      <c r="L228" s="131"/>
      <c r="M228" s="131"/>
      <c r="N228" s="131"/>
    </row>
    <row r="229" spans="1:14">
      <c r="A229" s="131"/>
      <c r="B229" s="131"/>
      <c r="C229" s="131"/>
      <c r="D229" s="131"/>
      <c r="E229" s="131"/>
      <c r="F229" s="131"/>
      <c r="G229" s="131"/>
      <c r="H229" s="131"/>
      <c r="I229" s="131"/>
      <c r="J229" s="131"/>
      <c r="K229" s="131"/>
      <c r="L229" s="131"/>
      <c r="M229" s="131"/>
      <c r="N229" s="131"/>
    </row>
    <row r="230" spans="1:14">
      <c r="A230" s="131"/>
      <c r="B230" s="131"/>
      <c r="C230" s="131"/>
      <c r="D230" s="131"/>
      <c r="E230" s="131"/>
      <c r="F230" s="131"/>
      <c r="G230" s="131"/>
      <c r="H230" s="131"/>
      <c r="I230" s="131"/>
      <c r="J230" s="131"/>
      <c r="K230" s="131"/>
      <c r="L230" s="131"/>
      <c r="M230" s="131"/>
      <c r="N230" s="131"/>
    </row>
    <row r="231" spans="1:14">
      <c r="A231" s="131"/>
      <c r="B231" s="131"/>
      <c r="C231" s="131"/>
      <c r="D231" s="131"/>
      <c r="E231" s="131"/>
      <c r="F231" s="131"/>
      <c r="G231" s="131"/>
      <c r="H231" s="131"/>
      <c r="I231" s="131"/>
      <c r="J231" s="131"/>
      <c r="K231" s="131"/>
      <c r="L231" s="131"/>
      <c r="M231" s="131"/>
      <c r="N231" s="131"/>
    </row>
    <row r="232" spans="1:14">
      <c r="A232" s="131"/>
      <c r="B232" s="131"/>
      <c r="C232" s="131"/>
      <c r="D232" s="131"/>
      <c r="E232" s="131"/>
      <c r="F232" s="131"/>
      <c r="G232" s="131"/>
      <c r="H232" s="131"/>
      <c r="I232" s="131"/>
      <c r="J232" s="131"/>
      <c r="K232" s="131"/>
      <c r="L232" s="131"/>
      <c r="M232" s="131"/>
      <c r="N232" s="131"/>
    </row>
    <row r="233" spans="1:14">
      <c r="A233" s="131"/>
      <c r="B233" s="131"/>
      <c r="C233" s="131"/>
      <c r="D233" s="131"/>
      <c r="E233" s="131"/>
      <c r="F233" s="131"/>
      <c r="G233" s="131"/>
      <c r="H233" s="131"/>
      <c r="I233" s="131"/>
      <c r="J233" s="131"/>
      <c r="K233" s="131"/>
      <c r="L233" s="131"/>
      <c r="M233" s="131"/>
      <c r="N233" s="131"/>
    </row>
    <row r="234" spans="1:14">
      <c r="A234" s="131"/>
      <c r="B234" s="131"/>
      <c r="C234" s="131"/>
      <c r="D234" s="131"/>
      <c r="E234" s="131"/>
      <c r="F234" s="131"/>
      <c r="G234" s="131"/>
      <c r="H234" s="131"/>
      <c r="I234" s="131"/>
      <c r="J234" s="131"/>
      <c r="K234" s="131"/>
      <c r="L234" s="131"/>
      <c r="M234" s="131"/>
      <c r="N234" s="131"/>
    </row>
    <row r="235" spans="1:14">
      <c r="A235" s="131"/>
      <c r="B235" s="131"/>
      <c r="C235" s="131"/>
      <c r="D235" s="131"/>
      <c r="E235" s="131"/>
      <c r="F235" s="131"/>
      <c r="G235" s="131"/>
      <c r="H235" s="131"/>
      <c r="I235" s="131"/>
      <c r="J235" s="131"/>
      <c r="K235" s="131"/>
      <c r="L235" s="131"/>
      <c r="M235" s="131"/>
      <c r="N235" s="131"/>
    </row>
    <row r="236" spans="1:14">
      <c r="A236" s="131"/>
      <c r="B236" s="131"/>
      <c r="C236" s="131"/>
      <c r="D236" s="131"/>
      <c r="E236" s="131"/>
      <c r="F236" s="131"/>
      <c r="G236" s="131"/>
      <c r="H236" s="131"/>
      <c r="I236" s="131"/>
      <c r="J236" s="131"/>
      <c r="K236" s="131"/>
      <c r="L236" s="131"/>
      <c r="M236" s="131"/>
      <c r="N236" s="131"/>
    </row>
    <row r="237" spans="1:14">
      <c r="A237" s="131"/>
      <c r="B237" s="131"/>
      <c r="C237" s="131"/>
      <c r="D237" s="131"/>
      <c r="E237" s="131"/>
      <c r="F237" s="131"/>
      <c r="G237" s="131"/>
      <c r="H237" s="131"/>
      <c r="I237" s="131"/>
      <c r="J237" s="131"/>
      <c r="K237" s="131"/>
      <c r="L237" s="131"/>
      <c r="M237" s="131"/>
      <c r="N237" s="131"/>
    </row>
    <row r="238" spans="1:14">
      <c r="A238" s="131"/>
      <c r="B238" s="131"/>
      <c r="C238" s="131"/>
      <c r="D238" s="131"/>
      <c r="E238" s="131"/>
      <c r="F238" s="131"/>
      <c r="G238" s="131"/>
      <c r="H238" s="131"/>
      <c r="I238" s="131"/>
      <c r="J238" s="131"/>
      <c r="K238" s="131"/>
      <c r="L238" s="131"/>
      <c r="M238" s="131"/>
      <c r="N238" s="131"/>
    </row>
    <row r="239" spans="1:14">
      <c r="A239" s="131"/>
      <c r="B239" s="131"/>
      <c r="C239" s="131"/>
      <c r="D239" s="131"/>
      <c r="E239" s="131"/>
      <c r="F239" s="131"/>
      <c r="G239" s="131"/>
      <c r="H239" s="131"/>
      <c r="I239" s="131"/>
      <c r="J239" s="131"/>
      <c r="K239" s="131"/>
      <c r="L239" s="131"/>
      <c r="M239" s="131"/>
      <c r="N239" s="131"/>
    </row>
    <row r="240" spans="1:14">
      <c r="A240" s="131"/>
      <c r="B240" s="131"/>
      <c r="C240" s="131"/>
      <c r="D240" s="131"/>
      <c r="E240" s="131"/>
      <c r="F240" s="131"/>
      <c r="G240" s="131"/>
      <c r="H240" s="131"/>
      <c r="I240" s="131"/>
      <c r="J240" s="131"/>
      <c r="K240" s="131"/>
      <c r="L240" s="131"/>
      <c r="M240" s="131"/>
      <c r="N240" s="131"/>
    </row>
    <row r="241" spans="1:14">
      <c r="A241" s="131"/>
      <c r="B241" s="131"/>
      <c r="C241" s="131"/>
      <c r="D241" s="131"/>
      <c r="E241" s="131"/>
      <c r="F241" s="131"/>
      <c r="G241" s="131"/>
      <c r="H241" s="131"/>
      <c r="I241" s="131"/>
      <c r="J241" s="131"/>
      <c r="K241" s="131"/>
      <c r="L241" s="131"/>
      <c r="M241" s="131"/>
      <c r="N241" s="131"/>
    </row>
    <row r="242" spans="1:14">
      <c r="A242" s="131"/>
      <c r="B242" s="131"/>
      <c r="C242" s="131"/>
      <c r="D242" s="131"/>
      <c r="E242" s="131"/>
      <c r="F242" s="131"/>
      <c r="G242" s="131"/>
      <c r="H242" s="131"/>
      <c r="I242" s="131"/>
      <c r="J242" s="131"/>
      <c r="K242" s="131"/>
      <c r="L242" s="131"/>
      <c r="M242" s="131"/>
      <c r="N242" s="131"/>
    </row>
    <row r="243" spans="1:14">
      <c r="A243" s="131"/>
      <c r="B243" s="131"/>
      <c r="C243" s="131"/>
      <c r="D243" s="131"/>
      <c r="E243" s="131"/>
      <c r="F243" s="131"/>
      <c r="G243" s="131"/>
      <c r="H243" s="131"/>
      <c r="I243" s="131"/>
      <c r="J243" s="131"/>
      <c r="K243" s="131"/>
      <c r="L243" s="131"/>
      <c r="M243" s="131"/>
      <c r="N243" s="131"/>
    </row>
    <row r="244" spans="1:14">
      <c r="A244" s="131"/>
      <c r="B244" s="131"/>
      <c r="C244" s="131"/>
      <c r="D244" s="131"/>
      <c r="E244" s="131"/>
      <c r="F244" s="131"/>
      <c r="G244" s="131"/>
      <c r="H244" s="131"/>
      <c r="I244" s="131"/>
      <c r="J244" s="131"/>
      <c r="K244" s="131"/>
      <c r="L244" s="131"/>
      <c r="M244" s="131"/>
      <c r="N244" s="131"/>
    </row>
    <row r="245" spans="1:14">
      <c r="A245" s="131"/>
      <c r="B245" s="131"/>
      <c r="C245" s="131"/>
      <c r="D245" s="131"/>
      <c r="E245" s="131"/>
      <c r="F245" s="131"/>
      <c r="G245" s="131"/>
      <c r="H245" s="131"/>
      <c r="I245" s="131"/>
      <c r="J245" s="131"/>
      <c r="K245" s="131"/>
      <c r="L245" s="131"/>
      <c r="M245" s="131"/>
      <c r="N245" s="131"/>
    </row>
    <row r="246" spans="1:14">
      <c r="A246" s="131"/>
      <c r="B246" s="131"/>
      <c r="C246" s="131"/>
      <c r="D246" s="131"/>
      <c r="E246" s="131"/>
      <c r="F246" s="131"/>
      <c r="G246" s="131"/>
      <c r="H246" s="131"/>
      <c r="I246" s="131"/>
      <c r="J246" s="131"/>
      <c r="K246" s="131"/>
      <c r="L246" s="131"/>
      <c r="M246" s="131"/>
      <c r="N246" s="131"/>
    </row>
    <row r="247" spans="1:14">
      <c r="A247" s="131"/>
      <c r="B247" s="131"/>
      <c r="C247" s="131"/>
      <c r="D247" s="131"/>
      <c r="E247" s="131"/>
      <c r="F247" s="131"/>
      <c r="G247" s="131"/>
      <c r="H247" s="131"/>
      <c r="I247" s="131"/>
      <c r="J247" s="131"/>
      <c r="K247" s="131"/>
      <c r="L247" s="131"/>
      <c r="M247" s="131"/>
      <c r="N247" s="131"/>
    </row>
    <row r="248" spans="1:14">
      <c r="A248" s="131"/>
      <c r="B248" s="131"/>
      <c r="C248" s="131"/>
      <c r="D248" s="131"/>
      <c r="E248" s="131"/>
      <c r="F248" s="131"/>
      <c r="G248" s="131"/>
      <c r="H248" s="131"/>
      <c r="I248" s="131"/>
      <c r="J248" s="131"/>
      <c r="K248" s="131"/>
      <c r="L248" s="131"/>
      <c r="M248" s="131"/>
      <c r="N248" s="131"/>
    </row>
    <row r="249" spans="1:14">
      <c r="A249" s="131"/>
      <c r="B249" s="131"/>
      <c r="C249" s="131"/>
      <c r="D249" s="131"/>
      <c r="E249" s="131"/>
      <c r="F249" s="131"/>
      <c r="G249" s="131"/>
      <c r="H249" s="131"/>
      <c r="I249" s="131"/>
      <c r="J249" s="131"/>
      <c r="K249" s="131"/>
      <c r="L249" s="131"/>
      <c r="M249" s="131"/>
      <c r="N249" s="131"/>
    </row>
    <row r="250" spans="1:14">
      <c r="A250" s="131"/>
      <c r="B250" s="131"/>
      <c r="C250" s="131"/>
      <c r="D250" s="131"/>
      <c r="E250" s="131"/>
      <c r="F250" s="131"/>
      <c r="G250" s="131"/>
      <c r="H250" s="131"/>
      <c r="I250" s="131"/>
      <c r="J250" s="131"/>
      <c r="K250" s="131"/>
      <c r="L250" s="131"/>
      <c r="M250" s="131"/>
      <c r="N250" s="131"/>
    </row>
    <row r="251" spans="1:14">
      <c r="A251" s="131"/>
      <c r="B251" s="131"/>
      <c r="C251" s="131"/>
      <c r="D251" s="131"/>
      <c r="E251" s="131"/>
      <c r="F251" s="131"/>
      <c r="G251" s="131"/>
      <c r="H251" s="131"/>
      <c r="I251" s="131"/>
      <c r="J251" s="131"/>
      <c r="K251" s="131"/>
      <c r="L251" s="131"/>
      <c r="M251" s="131"/>
      <c r="N251" s="131"/>
    </row>
    <row r="252" spans="1:14">
      <c r="A252" s="131"/>
      <c r="B252" s="131"/>
      <c r="C252" s="131"/>
      <c r="D252" s="131"/>
      <c r="E252" s="131"/>
      <c r="F252" s="131"/>
      <c r="G252" s="131"/>
      <c r="H252" s="131"/>
      <c r="I252" s="131"/>
      <c r="J252" s="131"/>
      <c r="K252" s="131"/>
      <c r="L252" s="131"/>
      <c r="M252" s="131"/>
      <c r="N252" s="131"/>
    </row>
    <row r="253" spans="1:14">
      <c r="A253" s="131"/>
      <c r="B253" s="131"/>
      <c r="C253" s="131"/>
      <c r="D253" s="131"/>
      <c r="E253" s="131"/>
      <c r="F253" s="131"/>
      <c r="G253" s="131"/>
      <c r="H253" s="131"/>
      <c r="I253" s="131"/>
      <c r="J253" s="131"/>
      <c r="K253" s="131"/>
      <c r="L253" s="131"/>
      <c r="M253" s="131"/>
      <c r="N253" s="131"/>
    </row>
    <row r="254" spans="1:14">
      <c r="A254" s="131"/>
      <c r="B254" s="131"/>
      <c r="C254" s="131"/>
      <c r="D254" s="131"/>
      <c r="E254" s="131"/>
      <c r="F254" s="131"/>
      <c r="G254" s="131"/>
      <c r="H254" s="131"/>
      <c r="I254" s="131"/>
      <c r="J254" s="131"/>
      <c r="K254" s="131"/>
      <c r="L254" s="131"/>
      <c r="M254" s="131"/>
      <c r="N254" s="131"/>
    </row>
    <row r="255" spans="1:14">
      <c r="A255" s="131"/>
      <c r="B255" s="131"/>
      <c r="C255" s="131"/>
      <c r="D255" s="131"/>
      <c r="E255" s="131"/>
      <c r="F255" s="131"/>
      <c r="G255" s="131"/>
      <c r="H255" s="131"/>
      <c r="I255" s="131"/>
      <c r="J255" s="131"/>
      <c r="K255" s="131"/>
      <c r="L255" s="131"/>
      <c r="M255" s="131"/>
      <c r="N255" s="131"/>
    </row>
    <row r="256" spans="1:14">
      <c r="A256" s="131"/>
      <c r="B256" s="131"/>
      <c r="C256" s="131"/>
      <c r="D256" s="131"/>
      <c r="E256" s="131"/>
      <c r="F256" s="131"/>
      <c r="G256" s="131"/>
      <c r="H256" s="131"/>
      <c r="I256" s="131"/>
      <c r="J256" s="131"/>
      <c r="K256" s="131"/>
      <c r="L256" s="131"/>
      <c r="M256" s="131"/>
      <c r="N256" s="131"/>
    </row>
    <row r="257" spans="1:14">
      <c r="A257" s="131"/>
      <c r="B257" s="131"/>
      <c r="C257" s="131"/>
      <c r="D257" s="131"/>
      <c r="E257" s="131"/>
      <c r="F257" s="131"/>
      <c r="G257" s="131"/>
      <c r="H257" s="131"/>
      <c r="I257" s="131"/>
      <c r="J257" s="131"/>
      <c r="K257" s="131"/>
      <c r="L257" s="131"/>
      <c r="M257" s="131"/>
      <c r="N257" s="131"/>
    </row>
    <row r="258" spans="1:14">
      <c r="A258" s="131"/>
      <c r="B258" s="131"/>
      <c r="C258" s="131"/>
      <c r="D258" s="131"/>
      <c r="E258" s="131"/>
      <c r="F258" s="131"/>
      <c r="G258" s="131"/>
      <c r="H258" s="131"/>
      <c r="I258" s="131"/>
      <c r="J258" s="131"/>
      <c r="K258" s="131"/>
      <c r="L258" s="131"/>
      <c r="M258" s="131"/>
      <c r="N258" s="131"/>
    </row>
    <row r="259" spans="1:14">
      <c r="A259" s="131"/>
      <c r="B259" s="131"/>
      <c r="C259" s="131"/>
      <c r="D259" s="131"/>
      <c r="E259" s="131"/>
      <c r="F259" s="131"/>
      <c r="G259" s="131"/>
      <c r="H259" s="131"/>
      <c r="I259" s="131"/>
      <c r="J259" s="131"/>
      <c r="K259" s="131"/>
      <c r="L259" s="131"/>
      <c r="M259" s="131"/>
      <c r="N259" s="131"/>
    </row>
    <row r="260" spans="1:14">
      <c r="A260" s="131"/>
      <c r="B260" s="131"/>
      <c r="C260" s="131"/>
      <c r="D260" s="131"/>
      <c r="E260" s="131"/>
      <c r="F260" s="131"/>
      <c r="G260" s="131"/>
      <c r="H260" s="131"/>
      <c r="I260" s="131"/>
      <c r="J260" s="131"/>
      <c r="K260" s="131"/>
      <c r="L260" s="131"/>
      <c r="M260" s="131"/>
      <c r="N260" s="131"/>
    </row>
    <row r="261" spans="1:14">
      <c r="A261" s="131"/>
      <c r="B261" s="131"/>
      <c r="C261" s="131"/>
      <c r="D261" s="131"/>
      <c r="E261" s="131"/>
      <c r="F261" s="131"/>
      <c r="G261" s="131"/>
      <c r="H261" s="131"/>
      <c r="I261" s="131"/>
      <c r="J261" s="131"/>
      <c r="K261" s="131"/>
      <c r="L261" s="131"/>
      <c r="M261" s="131"/>
      <c r="N261" s="131"/>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4"/>
  <sheetViews>
    <sheetView workbookViewId="0">
      <selection activeCell="E15" sqref="E15"/>
    </sheetView>
  </sheetViews>
  <sheetFormatPr baseColWidth="10" defaultColWidth="8.6640625" defaultRowHeight="13"/>
  <cols>
    <col min="1" max="1" width="12.33203125" style="156" customWidth="1"/>
    <col min="2" max="2" width="8.5" style="155" customWidth="1"/>
    <col min="3" max="3" width="20.33203125" style="155" customWidth="1"/>
    <col min="4" max="4" width="12.5" style="154" bestFit="1" customWidth="1"/>
    <col min="5" max="16384" width="8.6640625" style="154"/>
  </cols>
  <sheetData>
    <row r="1" spans="1:14" ht="14">
      <c r="A1" s="181" t="s">
        <v>444</v>
      </c>
      <c r="B1" s="181"/>
      <c r="C1" s="181"/>
    </row>
    <row r="2" spans="1:14">
      <c r="D2" s="154">
        <v>0</v>
      </c>
      <c r="E2" s="154">
        <v>0.5</v>
      </c>
      <c r="F2" s="154">
        <v>1</v>
      </c>
      <c r="G2" s="154">
        <v>1.5</v>
      </c>
      <c r="H2" s="154">
        <v>2</v>
      </c>
      <c r="J2" s="154">
        <v>0</v>
      </c>
      <c r="K2" s="154">
        <v>0.5</v>
      </c>
      <c r="L2" s="154">
        <v>1</v>
      </c>
      <c r="M2" s="154">
        <v>1.5</v>
      </c>
      <c r="N2" s="154">
        <v>2</v>
      </c>
    </row>
    <row r="5" spans="1:14">
      <c r="A5" s="156" t="s">
        <v>362</v>
      </c>
      <c r="B5" s="155">
        <v>0.01</v>
      </c>
    </row>
    <row r="6" spans="1:14">
      <c r="A6" s="156" t="s">
        <v>361</v>
      </c>
      <c r="B6" s="155">
        <v>0.03</v>
      </c>
    </row>
    <row r="7" spans="1:14">
      <c r="A7" s="156" t="s">
        <v>360</v>
      </c>
      <c r="B7" s="155">
        <v>6.0000000000000001E-3</v>
      </c>
    </row>
    <row r="8" spans="1:14">
      <c r="A8" s="156" t="s">
        <v>359</v>
      </c>
      <c r="B8" s="155">
        <v>0.5</v>
      </c>
    </row>
    <row r="9" spans="1:14">
      <c r="A9" s="156" t="s">
        <v>358</v>
      </c>
      <c r="B9" s="155">
        <f>SQRT(B8)</f>
        <v>0.70710678118654757</v>
      </c>
      <c r="J9" s="169" t="s">
        <v>357</v>
      </c>
      <c r="K9" s="169"/>
      <c r="L9" s="169"/>
      <c r="M9" s="169"/>
    </row>
    <row r="10" spans="1:14">
      <c r="D10" s="167" t="s">
        <v>356</v>
      </c>
      <c r="E10" s="167"/>
      <c r="F10" s="167"/>
      <c r="G10" s="167"/>
      <c r="J10" s="169"/>
      <c r="K10" s="169"/>
      <c r="L10" s="169"/>
      <c r="M10" s="169"/>
    </row>
    <row r="11" spans="1:14">
      <c r="A11" s="159" t="s">
        <v>355</v>
      </c>
      <c r="B11" s="155">
        <f>LN(C40)*(-2)</f>
        <v>1.848516273386509E-2</v>
      </c>
      <c r="D11" s="167"/>
      <c r="E11" s="167"/>
      <c r="F11" s="167"/>
      <c r="G11" s="167">
        <f>F12+$B$5*($B$6-F12)*$B$8+$B$7*$B$9</f>
        <v>3.1321411636485059E-2</v>
      </c>
      <c r="J11" s="169"/>
      <c r="K11" s="169"/>
      <c r="L11" s="169"/>
      <c r="M11" s="169">
        <f>EXP(-0.5*G11)</f>
        <v>0.98446128538213074</v>
      </c>
    </row>
    <row r="12" spans="1:14">
      <c r="D12" s="167"/>
      <c r="E12" s="167"/>
      <c r="F12" s="167">
        <f>E14+$B$5*($B$6-E14)*$B$8+$B$7*$B$9</f>
        <v>2.7064091406397761E-2</v>
      </c>
      <c r="G12" s="167"/>
      <c r="J12" s="169"/>
      <c r="K12" s="169"/>
      <c r="L12" s="169">
        <f>EXP(-0.5*F12)</f>
        <v>0.98655910083103171</v>
      </c>
      <c r="M12" s="169"/>
    </row>
    <row r="13" spans="1:14">
      <c r="D13" s="167"/>
      <c r="E13" s="167"/>
      <c r="F13" s="167"/>
      <c r="G13" s="167"/>
      <c r="J13" s="169"/>
      <c r="K13" s="169"/>
      <c r="L13" s="169"/>
      <c r="M13" s="169"/>
    </row>
    <row r="14" spans="1:14">
      <c r="D14" s="167"/>
      <c r="E14" s="167">
        <f>D20+$B$5*($B$6-D20)*$B$8+$B$7*$B$9</f>
        <v>2.2785377607315048E-2</v>
      </c>
      <c r="F14" s="167"/>
      <c r="G14" s="167">
        <f>F12+$B$5*($B$6-F12)*$B$8-$B$7*$B$9</f>
        <v>2.2836130262246485E-2</v>
      </c>
      <c r="J14" s="169"/>
      <c r="K14" s="169">
        <f>EXP(-0.5*E14)</f>
        <v>0.9886719621265414</v>
      </c>
      <c r="L14" s="169"/>
      <c r="M14" s="169">
        <v>0.97530991199999995</v>
      </c>
    </row>
    <row r="15" spans="1:14">
      <c r="D15" s="167"/>
      <c r="E15" s="167"/>
      <c r="F15" s="167"/>
      <c r="G15" s="167"/>
      <c r="J15" s="169"/>
      <c r="K15" s="169"/>
      <c r="L15" s="169"/>
      <c r="M15" s="169"/>
    </row>
    <row r="16" spans="1:14">
      <c r="D16" s="167"/>
      <c r="E16" s="167"/>
      <c r="F16" s="167"/>
      <c r="G16" s="167"/>
      <c r="J16" s="169"/>
      <c r="K16" s="169"/>
      <c r="L16" s="169"/>
      <c r="M16" s="169"/>
    </row>
    <row r="17" spans="4:13">
      <c r="D17" s="167"/>
      <c r="E17" s="167"/>
      <c r="F17" s="167"/>
      <c r="G17" s="167">
        <f>F18+$B$5*($B$6-F18)*$B$8+$B$7*$B$9</f>
        <v>2.2878556669117679E-2</v>
      </c>
      <c r="J17" s="169"/>
      <c r="K17" s="169"/>
      <c r="L17" s="169"/>
      <c r="M17" s="169">
        <v>0.97530991199999995</v>
      </c>
    </row>
    <row r="18" spans="4:13">
      <c r="D18" s="167"/>
      <c r="E18" s="167"/>
      <c r="F18" s="167">
        <f>E14+$B$5*($B$6-E14)*$B$8-$B$7*$B$9</f>
        <v>1.8578810032159186E-2</v>
      </c>
      <c r="G18" s="167"/>
      <c r="J18" s="169"/>
      <c r="K18" s="169"/>
      <c r="L18" s="169">
        <f>EXP(-0.5*F18)</f>
        <v>0.99075360821454994</v>
      </c>
      <c r="M18" s="169"/>
    </row>
    <row r="19" spans="4:13">
      <c r="D19" s="167"/>
      <c r="E19" s="167"/>
      <c r="F19" s="167"/>
      <c r="G19" s="167"/>
      <c r="J19" s="169"/>
      <c r="K19" s="169"/>
      <c r="L19" s="169"/>
      <c r="M19" s="169"/>
    </row>
    <row r="20" spans="4:13">
      <c r="D20" s="168">
        <f>B11</f>
        <v>1.848516273386509E-2</v>
      </c>
      <c r="E20" s="167"/>
      <c r="F20" s="167"/>
      <c r="G20" s="167">
        <f>F18+$B$5*($B$6-F18)*$B$8-$B$7*$B$9</f>
        <v>1.4393275294879106E-2</v>
      </c>
      <c r="J20" s="169">
        <f>EXP(-0.5*D20)</f>
        <v>0.99080000000000001</v>
      </c>
      <c r="K20" s="169"/>
      <c r="L20" s="169"/>
      <c r="M20" s="169">
        <f>EXP(-0.5*G20)</f>
        <v>0.99282919613999088</v>
      </c>
    </row>
    <row r="21" spans="4:13">
      <c r="D21" s="168"/>
      <c r="E21" s="167"/>
      <c r="F21" s="167"/>
      <c r="G21" s="167"/>
      <c r="J21" s="169"/>
      <c r="K21" s="169"/>
      <c r="L21" s="169"/>
      <c r="M21" s="169"/>
    </row>
    <row r="22" spans="4:13">
      <c r="D22" s="168"/>
      <c r="E22" s="167"/>
      <c r="F22" s="167"/>
      <c r="G22" s="167"/>
      <c r="J22" s="169"/>
      <c r="K22" s="169"/>
      <c r="L22" s="169"/>
      <c r="M22" s="169"/>
    </row>
    <row r="23" spans="4:13">
      <c r="D23" s="168"/>
      <c r="E23" s="167"/>
      <c r="F23" s="167"/>
      <c r="G23" s="167">
        <f>F24+$B$5*($B$6-F24)*$B$8+$B$7*$B$9</f>
        <v>2.2920770943954512E-2</v>
      </c>
      <c r="J23" s="169"/>
      <c r="K23" s="169"/>
      <c r="L23" s="169"/>
      <c r="M23" s="169">
        <f>EXP(-0.5*G23)</f>
        <v>0.98860503459405535</v>
      </c>
    </row>
    <row r="24" spans="4:13">
      <c r="D24" s="167"/>
      <c r="E24" s="167"/>
      <c r="F24" s="167">
        <f>E26+$B$5*($B$6-E26)*$B$8+$B$7*$B$9</f>
        <v>1.8621236439030381E-2</v>
      </c>
      <c r="G24" s="167"/>
      <c r="J24" s="169"/>
      <c r="K24" s="169"/>
      <c r="L24" s="169">
        <f>EXP(-0.5*F24)</f>
        <v>0.99073259137962233</v>
      </c>
      <c r="M24" s="169"/>
    </row>
    <row r="25" spans="4:13">
      <c r="D25" s="167"/>
      <c r="E25" s="167"/>
      <c r="F25" s="167"/>
      <c r="G25" s="167"/>
      <c r="J25" s="169"/>
      <c r="K25" s="169"/>
      <c r="L25" s="169"/>
      <c r="M25" s="169"/>
    </row>
    <row r="26" spans="4:13">
      <c r="D26" s="167"/>
      <c r="E26" s="167">
        <f>D20+$B$5*($B$6-D20)*$B$8-$B$7*$B$9</f>
        <v>1.4300096233076478E-2</v>
      </c>
      <c r="F26" s="167"/>
      <c r="G26" s="167">
        <f>F24+$B$5*($B$6-F24)*$B$8-$B$7*$B$9</f>
        <v>1.4435489569715942E-2</v>
      </c>
      <c r="J26" s="169"/>
      <c r="K26" s="169">
        <f>EXP(-0.5*E26)</f>
        <v>0.99287545266403077</v>
      </c>
      <c r="L26" s="169"/>
      <c r="M26" s="169">
        <f>EXP(-0.5*G26)</f>
        <v>0.99280824057887174</v>
      </c>
    </row>
    <row r="27" spans="4:13">
      <c r="D27" s="167"/>
      <c r="E27" s="167"/>
      <c r="F27" s="167"/>
      <c r="G27" s="167"/>
      <c r="J27" s="169"/>
      <c r="K27" s="169"/>
      <c r="L27" s="169"/>
      <c r="M27" s="169"/>
    </row>
    <row r="28" spans="4:13">
      <c r="D28" s="167"/>
      <c r="E28" s="167"/>
      <c r="F28" s="167"/>
      <c r="G28" s="167"/>
      <c r="J28" s="169"/>
      <c r="K28" s="169"/>
      <c r="L28" s="169"/>
      <c r="M28" s="169"/>
    </row>
    <row r="29" spans="4:13">
      <c r="D29" s="167"/>
      <c r="E29" s="167"/>
      <c r="F29" s="167"/>
      <c r="G29" s="167">
        <f>F30+$B$5*($B$6-F30)*$B$8+$B$7*$B$9</f>
        <v>1.4477915976587137E-2</v>
      </c>
      <c r="J29" s="169"/>
      <c r="K29" s="169"/>
      <c r="L29" s="169"/>
      <c r="M29" s="169">
        <f>EXP(-0.5*G29)</f>
        <v>0.99278718015907208</v>
      </c>
    </row>
    <row r="30" spans="4:13">
      <c r="D30" s="167"/>
      <c r="E30" s="167"/>
      <c r="F30" s="167">
        <f>E26+$B$5*($B$6-E26)*$B$8-$B$7*$B$9</f>
        <v>1.0135955064791809E-2</v>
      </c>
      <c r="G30" s="167"/>
      <c r="J30" s="169"/>
      <c r="K30" s="169"/>
      <c r="L30" s="169">
        <f>EXP(-0.5*F30)</f>
        <v>0.99494484299854047</v>
      </c>
      <c r="M30" s="169"/>
    </row>
    <row r="31" spans="4:13">
      <c r="D31" s="167"/>
      <c r="E31" s="167"/>
      <c r="F31" s="167"/>
      <c r="G31" s="167"/>
      <c r="J31" s="169"/>
      <c r="K31" s="169"/>
      <c r="L31" s="169"/>
      <c r="M31" s="169"/>
    </row>
    <row r="32" spans="4:13">
      <c r="D32" s="167"/>
      <c r="E32" s="167"/>
      <c r="F32" s="167"/>
      <c r="G32" s="167">
        <f>F30+$B$5*($B$6-F30)*$B$8-$B$7*$B$9</f>
        <v>5.9926346023485653E-3</v>
      </c>
      <c r="J32" s="169"/>
      <c r="K32" s="169"/>
      <c r="L32" s="169"/>
      <c r="M32" s="169">
        <f>EXP(-0.5*G32)</f>
        <v>0.99700816717741858</v>
      </c>
    </row>
    <row r="35" spans="1:6">
      <c r="B35" s="158"/>
      <c r="C35" s="158"/>
      <c r="F35" s="158"/>
    </row>
    <row r="38" spans="1:6" ht="14">
      <c r="A38" s="182" t="s">
        <v>448</v>
      </c>
      <c r="B38" s="181"/>
      <c r="C38" s="181"/>
      <c r="D38" s="183"/>
    </row>
    <row r="39" spans="1:6" ht="14">
      <c r="A39" s="183"/>
      <c r="B39" s="183" t="s">
        <v>353</v>
      </c>
      <c r="C39" s="183" t="s">
        <v>352</v>
      </c>
      <c r="D39" s="183" t="s">
        <v>351</v>
      </c>
    </row>
    <row r="40" spans="1:6" ht="14">
      <c r="A40" s="183" t="s">
        <v>350</v>
      </c>
      <c r="B40" s="183">
        <f>C40</f>
        <v>0.99080000000000001</v>
      </c>
      <c r="C40" s="183">
        <v>0.99080000000000001</v>
      </c>
      <c r="D40" s="183">
        <f>(B40-C40)^2</f>
        <v>0</v>
      </c>
    </row>
    <row r="41" spans="1:6" ht="14">
      <c r="A41" s="183" t="s">
        <v>349</v>
      </c>
      <c r="B41" s="183">
        <f>B40*(0.5*K14+0.5*K26)</f>
        <v>0.98165858928724936</v>
      </c>
      <c r="C41" s="183">
        <v>0.97950000000000004</v>
      </c>
      <c r="D41" s="183">
        <f>(B41-C41)^2</f>
        <v>4.6595077110275444E-6</v>
      </c>
    </row>
    <row r="42" spans="1:6" ht="14">
      <c r="A42" s="183" t="s">
        <v>348</v>
      </c>
      <c r="B42" s="183">
        <f>B41*(0.25*L12+0.25*L18+0.25*L24+0.25*L30)</f>
        <v>0.9725758283881567</v>
      </c>
      <c r="C42" s="183">
        <v>0.96799999999999997</v>
      </c>
      <c r="D42" s="183">
        <f>(B42-C42)^2</f>
        <v>2.0938205437861044E-5</v>
      </c>
    </row>
    <row r="43" spans="1:6" ht="14">
      <c r="A43" s="183" t="s">
        <v>347</v>
      </c>
      <c r="B43" s="183">
        <f>B42*(0.125*(M11+M14+M17+M20+M23+M26+M29+M32))</f>
        <v>0.96031151687085536</v>
      </c>
      <c r="C43" s="183">
        <v>0.95579999999999998</v>
      </c>
      <c r="D43" s="183">
        <f>SUM(D40:D42)</f>
        <v>2.5597713148888588E-5</v>
      </c>
    </row>
    <row r="44" spans="1:6" ht="14">
      <c r="A44" s="183"/>
      <c r="B44" s="183"/>
      <c r="C44" s="183"/>
      <c r="D44" s="183">
        <f>SUM(D40:D43)</f>
        <v>5.1195426297777176E-5</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N49"/>
  <sheetViews>
    <sheetView topLeftCell="A26" workbookViewId="0">
      <selection activeCell="E17" sqref="E17"/>
    </sheetView>
  </sheetViews>
  <sheetFormatPr baseColWidth="10" defaultColWidth="8.6640625" defaultRowHeight="13"/>
  <cols>
    <col min="1" max="1" width="12.33203125" style="156" customWidth="1"/>
    <col min="2" max="3" width="8.5" style="155" customWidth="1"/>
    <col min="4" max="4" width="12.5" style="154" bestFit="1" customWidth="1"/>
    <col min="5" max="16384" width="8.6640625" style="154"/>
  </cols>
  <sheetData>
    <row r="2" spans="1:14" ht="14">
      <c r="A2" s="182" t="s">
        <v>445</v>
      </c>
      <c r="B2" s="181"/>
      <c r="C2" s="181"/>
      <c r="D2" s="183"/>
      <c r="E2" s="183"/>
    </row>
    <row r="3" spans="1:14">
      <c r="A3" s="154"/>
      <c r="B3" s="154"/>
      <c r="C3" s="154"/>
    </row>
    <row r="4" spans="1:14">
      <c r="D4" s="154">
        <v>0</v>
      </c>
      <c r="E4" s="154">
        <v>0.5</v>
      </c>
      <c r="F4" s="154">
        <v>1</v>
      </c>
      <c r="G4" s="154">
        <v>1.5</v>
      </c>
      <c r="H4" s="154">
        <v>2</v>
      </c>
      <c r="J4" s="154">
        <v>0</v>
      </c>
      <c r="K4" s="154">
        <v>0.5</v>
      </c>
      <c r="L4" s="154">
        <v>1</v>
      </c>
      <c r="M4" s="154">
        <v>1.5</v>
      </c>
      <c r="N4" s="154">
        <v>2</v>
      </c>
    </row>
    <row r="7" spans="1:14" ht="14">
      <c r="A7" s="182" t="s">
        <v>362</v>
      </c>
      <c r="B7" s="181">
        <v>3.8501232818765101E-2</v>
      </c>
    </row>
    <row r="8" spans="1:14" ht="14">
      <c r="A8" s="182" t="s">
        <v>361</v>
      </c>
      <c r="B8" s="181">
        <v>0.19255976335125397</v>
      </c>
    </row>
    <row r="9" spans="1:14">
      <c r="A9" s="156" t="s">
        <v>360</v>
      </c>
      <c r="B9" s="155">
        <v>6.0000000000000001E-3</v>
      </c>
    </row>
    <row r="10" spans="1:14">
      <c r="A10" s="156" t="s">
        <v>359</v>
      </c>
      <c r="B10" s="155">
        <v>0.5</v>
      </c>
    </row>
    <row r="11" spans="1:14">
      <c r="A11" s="156" t="s">
        <v>358</v>
      </c>
      <c r="B11" s="155">
        <f>SQRT(B10)</f>
        <v>0.70710678118654757</v>
      </c>
      <c r="J11" s="169" t="s">
        <v>357</v>
      </c>
      <c r="K11" s="169"/>
      <c r="L11" s="169"/>
      <c r="M11" s="169"/>
    </row>
    <row r="12" spans="1:14">
      <c r="D12" s="167" t="s">
        <v>356</v>
      </c>
      <c r="E12" s="167"/>
      <c r="F12" s="167"/>
      <c r="G12" s="167"/>
      <c r="J12" s="169"/>
      <c r="K12" s="169"/>
      <c r="L12" s="169"/>
      <c r="M12" s="169"/>
    </row>
    <row r="13" spans="1:14">
      <c r="A13" s="159" t="s">
        <v>355</v>
      </c>
      <c r="B13" s="155">
        <f>LN(C42)*(-2)</f>
        <v>1.848516273386509E-2</v>
      </c>
      <c r="D13" s="167"/>
      <c r="E13" s="167"/>
      <c r="F13" s="167"/>
      <c r="G13" s="167">
        <f>F14+$B$7*($B$8-F14)*$B$10+$B$9*$B$11</f>
        <v>4.0830479702934089E-2</v>
      </c>
      <c r="J13" s="169"/>
      <c r="K13" s="169"/>
      <c r="L13" s="169"/>
      <c r="M13" s="169">
        <f>EXP(-0.5*G13)</f>
        <v>0.97979174024850169</v>
      </c>
    </row>
    <row r="14" spans="1:14">
      <c r="D14" s="167"/>
      <c r="E14" s="167"/>
      <c r="F14" s="167">
        <f>E16+$B$7*($B$8-E16)*$B$10+$B$9*$B$11</f>
        <v>3.3526347735522447E-2</v>
      </c>
      <c r="G14" s="167"/>
      <c r="J14" s="169"/>
      <c r="K14" s="169"/>
      <c r="L14" s="169">
        <f>EXP(-0.5*F14)</f>
        <v>0.98337654632395488</v>
      </c>
      <c r="M14" s="169"/>
    </row>
    <row r="15" spans="1:14">
      <c r="D15" s="167"/>
      <c r="E15" s="167"/>
      <c r="F15" s="167"/>
      <c r="G15" s="167"/>
      <c r="J15" s="169"/>
      <c r="K15" s="169"/>
      <c r="L15" s="169"/>
      <c r="M15" s="169"/>
    </row>
    <row r="16" spans="1:14">
      <c r="D16" s="167"/>
      <c r="E16" s="167">
        <f>D22+$B$7*($B$8-D22)*$B$10+$B$9*$B$11</f>
        <v>2.6078846784086195E-2</v>
      </c>
      <c r="F16" s="167"/>
      <c r="G16" s="167">
        <f>F14+$B$7*($B$8-F14)*$B$10-$B$9*$B$11</f>
        <v>3.2345198328695521E-2</v>
      </c>
      <c r="J16" s="169"/>
      <c r="K16" s="169">
        <f>EXP(-0.5*E16)</f>
        <v>0.98704522158250807</v>
      </c>
      <c r="L16" s="169"/>
      <c r="M16" s="169">
        <v>0.97530991199999995</v>
      </c>
    </row>
    <row r="17" spans="4:13">
      <c r="D17" s="167"/>
      <c r="E17" s="167"/>
      <c r="F17" s="167"/>
      <c r="G17" s="167"/>
      <c r="J17" s="169"/>
      <c r="K17" s="169"/>
      <c r="L17" s="169"/>
      <c r="M17" s="169"/>
    </row>
    <row r="18" spans="4:13">
      <c r="D18" s="167"/>
      <c r="E18" s="167"/>
      <c r="F18" s="167"/>
      <c r="G18" s="167"/>
      <c r="J18" s="169"/>
      <c r="K18" s="169"/>
      <c r="L18" s="169"/>
      <c r="M18" s="169"/>
    </row>
    <row r="19" spans="4:13">
      <c r="D19" s="167"/>
      <c r="E19" s="167"/>
      <c r="F19" s="167"/>
      <c r="G19" s="167">
        <f>F20+$B$7*($B$8-F20)*$B$10+$B$9*$B$11</f>
        <v>3.2508545225556663E-2</v>
      </c>
      <c r="J19" s="169"/>
      <c r="K19" s="169"/>
      <c r="L19" s="169"/>
      <c r="M19" s="169">
        <v>0.97530991199999995</v>
      </c>
    </row>
    <row r="20" spans="4:13">
      <c r="D20" s="167"/>
      <c r="E20" s="167"/>
      <c r="F20" s="167">
        <f>E16+$B$7*($B$8-E16)*$B$10-$B$9*$B$11</f>
        <v>2.5041066361283879E-2</v>
      </c>
      <c r="G20" s="167"/>
      <c r="J20" s="169"/>
      <c r="K20" s="169"/>
      <c r="L20" s="169">
        <f>EXP(-0.5*F20)</f>
        <v>0.98755752258869156</v>
      </c>
      <c r="M20" s="169"/>
    </row>
    <row r="21" spans="4:13">
      <c r="D21" s="167"/>
      <c r="E21" s="167"/>
      <c r="F21" s="167"/>
      <c r="G21" s="167"/>
      <c r="J21" s="169"/>
      <c r="K21" s="169"/>
      <c r="L21" s="169"/>
      <c r="M21" s="169"/>
    </row>
    <row r="22" spans="4:13">
      <c r="D22" s="168">
        <f>B13</f>
        <v>1.848516273386509E-2</v>
      </c>
      <c r="E22" s="167"/>
      <c r="F22" s="167"/>
      <c r="G22" s="167">
        <f>F20+$B$7*($B$8-F20)*$B$10-$B$9*$B$11</f>
        <v>2.4023263851318095E-2</v>
      </c>
      <c r="J22" s="169">
        <f>EXP(-0.5*D22)</f>
        <v>0.99080000000000001</v>
      </c>
      <c r="K22" s="169"/>
      <c r="L22" s="169"/>
      <c r="M22" s="169">
        <f>EXP(-0.5*G22)</f>
        <v>0.98806021975206437</v>
      </c>
    </row>
    <row r="23" spans="4:13">
      <c r="D23" s="168"/>
      <c r="E23" s="167"/>
      <c r="F23" s="167"/>
      <c r="G23" s="167"/>
      <c r="J23" s="169"/>
      <c r="K23" s="169"/>
      <c r="L23" s="169"/>
      <c r="M23" s="169"/>
    </row>
    <row r="24" spans="4:13">
      <c r="D24" s="168"/>
      <c r="E24" s="167"/>
      <c r="F24" s="167"/>
      <c r="G24" s="167"/>
      <c r="J24" s="169"/>
      <c r="K24" s="169"/>
      <c r="L24" s="169"/>
      <c r="M24" s="169"/>
    </row>
    <row r="25" spans="4:13">
      <c r="D25" s="168"/>
      <c r="E25" s="167"/>
      <c r="F25" s="167"/>
      <c r="G25" s="167">
        <f>F26+$B$7*($B$8-F26)*$B$10+$B$9*$B$11</f>
        <v>3.2668747593964674E-2</v>
      </c>
      <c r="J25" s="169"/>
      <c r="K25" s="169"/>
      <c r="L25" s="169"/>
      <c r="M25" s="169">
        <f>EXP(-0.5*G25)</f>
        <v>0.98379830867602169</v>
      </c>
    </row>
    <row r="26" spans="4:13">
      <c r="D26" s="167"/>
      <c r="E26" s="167"/>
      <c r="F26" s="167">
        <f>E28+$B$7*($B$8-E28)*$B$10+$B$9*$B$11</f>
        <v>2.5204413258145021E-2</v>
      </c>
      <c r="G26" s="167"/>
      <c r="J26" s="169"/>
      <c r="K26" s="169"/>
      <c r="L26" s="169">
        <f>EXP(-0.5*F26)</f>
        <v>0.98747686865398554</v>
      </c>
      <c r="M26" s="169"/>
    </row>
    <row r="27" spans="4:13">
      <c r="D27" s="167"/>
      <c r="E27" s="167"/>
      <c r="F27" s="167"/>
      <c r="G27" s="167"/>
      <c r="J27" s="169"/>
      <c r="K27" s="169"/>
      <c r="L27" s="169"/>
      <c r="M27" s="169"/>
    </row>
    <row r="28" spans="4:13">
      <c r="D28" s="167"/>
      <c r="E28" s="167">
        <f>D22+$B$7*($B$8-D22)*$B$10-$B$9*$B$11</f>
        <v>1.7593565409847627E-2</v>
      </c>
      <c r="F28" s="167"/>
      <c r="G28" s="167">
        <f>F26+$B$7*($B$8-F26)*$B$10-$B$9*$B$11</f>
        <v>2.4183466219726099E-2</v>
      </c>
      <c r="J28" s="169"/>
      <c r="K28" s="169">
        <f>EXP(-0.5*E28)</f>
        <v>0.99124179578298599</v>
      </c>
      <c r="L28" s="169"/>
      <c r="M28" s="169">
        <f>EXP(-0.5*G28)</f>
        <v>0.98798107812810854</v>
      </c>
    </row>
    <row r="29" spans="4:13">
      <c r="D29" s="167"/>
      <c r="E29" s="167"/>
      <c r="F29" s="167"/>
      <c r="G29" s="167"/>
      <c r="J29" s="169"/>
      <c r="K29" s="169"/>
      <c r="L29" s="169"/>
      <c r="M29" s="169"/>
    </row>
    <row r="30" spans="4:13">
      <c r="D30" s="167"/>
      <c r="E30" s="167"/>
      <c r="F30" s="167"/>
      <c r="G30" s="167"/>
      <c r="J30" s="169"/>
      <c r="K30" s="169"/>
      <c r="L30" s="169"/>
      <c r="M30" s="169"/>
    </row>
    <row r="31" spans="4:13">
      <c r="D31" s="167"/>
      <c r="E31" s="167"/>
      <c r="F31" s="167"/>
      <c r="G31" s="167">
        <f>F32+$B$7*($B$8-F32)*$B$10+$B$9*$B$11</f>
        <v>2.4346813116587249E-2</v>
      </c>
      <c r="J31" s="169"/>
      <c r="K31" s="169"/>
      <c r="L31" s="169"/>
      <c r="M31" s="169">
        <f>EXP(-0.5*G31)</f>
        <v>0.98790038960157367</v>
      </c>
    </row>
    <row r="32" spans="4:13">
      <c r="D32" s="167"/>
      <c r="E32" s="167"/>
      <c r="F32" s="167">
        <f>E28+$B$7*($B$8-E28)*$B$10-$B$9*$B$11</f>
        <v>1.6719131883906453E-2</v>
      </c>
      <c r="G32" s="167"/>
      <c r="J32" s="169"/>
      <c r="K32" s="169"/>
      <c r="L32" s="169">
        <f>EXP(-0.5*F32)</f>
        <v>0.99167527806821487</v>
      </c>
      <c r="M32" s="169"/>
    </row>
    <row r="33" spans="1:13">
      <c r="D33" s="167"/>
      <c r="E33" s="167"/>
      <c r="F33" s="167"/>
      <c r="G33" s="167"/>
      <c r="J33" s="169"/>
      <c r="K33" s="169"/>
      <c r="L33" s="169"/>
      <c r="M33" s="169"/>
    </row>
    <row r="34" spans="1:13">
      <c r="D34" s="167"/>
      <c r="E34" s="167"/>
      <c r="F34" s="167"/>
      <c r="G34" s="167">
        <f>F32+$B$7*($B$8-F32)*$B$10-$B$9*$B$11</f>
        <v>1.5861531742348681E-2</v>
      </c>
      <c r="J34" s="169"/>
      <c r="K34" s="169"/>
      <c r="L34" s="169"/>
      <c r="M34" s="169">
        <f>EXP(-0.5*G34)</f>
        <v>0.99210059968009179</v>
      </c>
    </row>
    <row r="37" spans="1:13">
      <c r="B37" s="158"/>
      <c r="C37" s="158"/>
      <c r="F37" s="158"/>
    </row>
    <row r="40" spans="1:13">
      <c r="A40" s="156" t="s">
        <v>354</v>
      </c>
    </row>
    <row r="41" spans="1:13" ht="14">
      <c r="A41" s="182"/>
      <c r="B41" s="181" t="s">
        <v>353</v>
      </c>
      <c r="C41" s="181" t="s">
        <v>352</v>
      </c>
      <c r="D41" s="183" t="s">
        <v>351</v>
      </c>
    </row>
    <row r="42" spans="1:13" ht="14">
      <c r="A42" s="182" t="s">
        <v>350</v>
      </c>
      <c r="B42" s="184">
        <f>C42</f>
        <v>0.99080000000000001</v>
      </c>
      <c r="C42" s="182">
        <v>0.99080000000000001</v>
      </c>
      <c r="D42" s="185">
        <f>(B42-C42)^2</f>
        <v>0</v>
      </c>
    </row>
    <row r="43" spans="1:13" ht="14">
      <c r="A43" s="182" t="s">
        <v>349</v>
      </c>
      <c r="B43" s="184">
        <f>B42*(0.5*K16+0.5*K28)</f>
        <v>0.98004338840286576</v>
      </c>
      <c r="C43" s="182">
        <v>0.97950000000000004</v>
      </c>
      <c r="D43" s="185">
        <f>(B43-C43)^2</f>
        <v>2.952709563689567E-7</v>
      </c>
    </row>
    <row r="44" spans="1:13" ht="14">
      <c r="A44" s="182" t="s">
        <v>348</v>
      </c>
      <c r="B44" s="184">
        <f>B43*(0.25*L14+0.25*L20+0.25*L26+0.25*L32)</f>
        <v>0.96781396981355716</v>
      </c>
      <c r="C44" s="182">
        <v>0.96799999999999997</v>
      </c>
      <c r="D44" s="185">
        <f>(B44-C44)^2</f>
        <v>3.46072302679464E-8</v>
      </c>
    </row>
    <row r="45" spans="1:13" ht="14">
      <c r="A45" s="182" t="s">
        <v>347</v>
      </c>
      <c r="B45" s="181">
        <f>B44*(0.125*(M13+M16+M19+M22+M25+M28+M31+M34))</f>
        <v>0.95211749831086323</v>
      </c>
      <c r="C45" s="182">
        <v>0.95579999999999998</v>
      </c>
      <c r="D45" s="185">
        <f>SUM(D42:D44)</f>
        <v>3.298781866369031E-7</v>
      </c>
    </row>
    <row r="46" spans="1:13" ht="14">
      <c r="A46" s="182"/>
      <c r="B46" s="181"/>
      <c r="C46" s="181"/>
      <c r="D46" s="185">
        <f>SUM(D42:D45)</f>
        <v>6.597563732738062E-7</v>
      </c>
    </row>
    <row r="48" spans="1:13" ht="14">
      <c r="A48" s="182" t="s">
        <v>362</v>
      </c>
      <c r="B48" s="181">
        <v>3.8501232818765101E-2</v>
      </c>
    </row>
    <row r="49" spans="1:2" ht="14">
      <c r="A49" s="182" t="s">
        <v>361</v>
      </c>
      <c r="B49" s="181">
        <v>0.19255976335125397</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4"/>
  <sheetViews>
    <sheetView topLeftCell="A14" workbookViewId="0">
      <selection activeCell="G5" sqref="G5"/>
    </sheetView>
  </sheetViews>
  <sheetFormatPr baseColWidth="10" defaultColWidth="9.1640625" defaultRowHeight="13"/>
  <cols>
    <col min="1" max="1" width="18.5" style="160" customWidth="1"/>
    <col min="2" max="2" width="9.33203125" style="160" bestFit="1" customWidth="1"/>
    <col min="3" max="3" width="23" style="160" customWidth="1"/>
    <col min="4" max="4" width="10.5" style="160" customWidth="1"/>
    <col min="5" max="5" width="14.6640625" style="160" customWidth="1"/>
    <col min="6" max="6" width="12.5" style="160" bestFit="1" customWidth="1"/>
    <col min="7" max="8" width="9.33203125" style="160" bestFit="1" customWidth="1"/>
    <col min="9" max="9" width="10.83203125" style="160" bestFit="1" customWidth="1"/>
    <col min="10" max="10" width="9.33203125" style="160" bestFit="1" customWidth="1"/>
    <col min="11" max="11" width="13.33203125" style="160" bestFit="1" customWidth="1"/>
    <col min="12" max="13" width="9.33203125" style="160" bestFit="1" customWidth="1"/>
    <col min="14" max="14" width="10.83203125" style="160" bestFit="1" customWidth="1"/>
    <col min="15" max="15" width="9.33203125" style="160" bestFit="1" customWidth="1"/>
    <col min="16" max="16" width="10.83203125" style="160" bestFit="1" customWidth="1"/>
    <col min="17" max="22" width="9.33203125" style="160" bestFit="1" customWidth="1"/>
    <col min="23" max="23" width="9.1640625" style="160"/>
    <col min="24" max="31" width="9.33203125" style="160" bestFit="1" customWidth="1"/>
    <col min="32" max="16384" width="9.1640625" style="160"/>
  </cols>
  <sheetData>
    <row r="1" spans="1:31" ht="14">
      <c r="A1" s="186" t="s">
        <v>446</v>
      </c>
      <c r="B1" s="186"/>
      <c r="C1" s="186"/>
    </row>
    <row r="2" spans="1:31">
      <c r="A2" s="160">
        <f ca="1">A2:O38</f>
        <v>0</v>
      </c>
      <c r="C2" s="161" t="s">
        <v>400</v>
      </c>
      <c r="D2" s="160">
        <v>4.0000000000000001E-3</v>
      </c>
    </row>
    <row r="3" spans="1:31">
      <c r="C3" s="161" t="s">
        <v>397</v>
      </c>
      <c r="F3" s="161" t="s">
        <v>400</v>
      </c>
      <c r="G3" s="160">
        <v>4.0000000000000001E-3</v>
      </c>
    </row>
    <row r="4" spans="1:31" ht="14">
      <c r="A4" s="161" t="s">
        <v>399</v>
      </c>
      <c r="B4" s="160">
        <v>0.5</v>
      </c>
      <c r="C4" s="160" t="s">
        <v>398</v>
      </c>
      <c r="D4" s="160">
        <v>2.5703368935413699E-2</v>
      </c>
      <c r="F4" s="161" t="s">
        <v>397</v>
      </c>
      <c r="G4" s="160">
        <f>$G$3*(1+0.001*SQRT(B4))*EXP(-0.05*B4)</f>
        <v>3.9039982411235453E-3</v>
      </c>
    </row>
    <row r="5" spans="1:31" ht="14">
      <c r="A5" s="161" t="s">
        <v>396</v>
      </c>
      <c r="B5" s="160">
        <v>1</v>
      </c>
      <c r="C5" s="160" t="s">
        <v>395</v>
      </c>
      <c r="D5" s="160">
        <v>2.9010273926042711E-2</v>
      </c>
      <c r="F5" s="161" t="s">
        <v>394</v>
      </c>
      <c r="G5" s="160">
        <f>$G$3*(1+0.001*SQRT(B5))*EXP(-0.05*B5)</f>
        <v>3.8087226157008588E-3</v>
      </c>
    </row>
    <row r="6" spans="1:31" ht="14">
      <c r="A6" s="161" t="s">
        <v>393</v>
      </c>
      <c r="B6" s="160">
        <v>1.5</v>
      </c>
      <c r="C6" s="161" t="s">
        <v>392</v>
      </c>
      <c r="D6" s="160">
        <v>3.3256032374711003E-2</v>
      </c>
      <c r="F6" s="161" t="s">
        <v>391</v>
      </c>
      <c r="G6" s="160">
        <f t="shared" ref="G6:G10" si="0">$G$3*(1+0.001*SQRT(B6))*EXP(-0.05*B6)</f>
        <v>3.7155189416216029E-3</v>
      </c>
    </row>
    <row r="7" spans="1:31" ht="14">
      <c r="A7" s="161" t="s">
        <v>390</v>
      </c>
      <c r="B7" s="160">
        <v>2</v>
      </c>
      <c r="C7" s="161" t="s">
        <v>389</v>
      </c>
      <c r="D7" s="160">
        <v>3.6798786458911582E-2</v>
      </c>
      <c r="F7" s="161" t="s">
        <v>388</v>
      </c>
      <c r="G7" s="160">
        <f t="shared" si="0"/>
        <v>3.6244682055371551E-3</v>
      </c>
    </row>
    <row r="8" spans="1:31" ht="14">
      <c r="A8" s="161" t="s">
        <v>387</v>
      </c>
      <c r="B8" s="160">
        <v>2.5</v>
      </c>
      <c r="C8" s="161" t="s">
        <v>386</v>
      </c>
      <c r="D8" s="160">
        <v>4.0492356948106399E-2</v>
      </c>
      <c r="F8" s="161" t="s">
        <v>385</v>
      </c>
      <c r="G8" s="160">
        <f t="shared" si="0"/>
        <v>3.5355690108188039E-3</v>
      </c>
    </row>
    <row r="9" spans="1:31" ht="14">
      <c r="A9" s="161" t="s">
        <v>384</v>
      </c>
      <c r="B9" s="160">
        <v>3</v>
      </c>
      <c r="C9" s="161" t="s">
        <v>383</v>
      </c>
      <c r="D9" s="160">
        <v>4.6739408616701443E-2</v>
      </c>
      <c r="F9" s="161" t="s">
        <v>382</v>
      </c>
      <c r="G9" s="160">
        <f t="shared" si="0"/>
        <v>3.4487950654828229E-3</v>
      </c>
    </row>
    <row r="10" spans="1:31" ht="14">
      <c r="A10" s="161" t="s">
        <v>381</v>
      </c>
      <c r="B10" s="160">
        <v>3.5</v>
      </c>
      <c r="C10" s="161" t="s">
        <v>380</v>
      </c>
      <c r="D10" s="160">
        <v>5.1012449003478927E-2</v>
      </c>
      <c r="F10" s="161" t="s">
        <v>379</v>
      </c>
      <c r="G10" s="160">
        <f t="shared" si="0"/>
        <v>3.3641100042021105E-3</v>
      </c>
    </row>
    <row r="11" spans="1:31" ht="14">
      <c r="A11" s="161" t="s">
        <v>378</v>
      </c>
      <c r="B11" s="160">
        <v>4</v>
      </c>
      <c r="C11" s="161"/>
      <c r="F11" s="161"/>
    </row>
    <row r="12" spans="1:31">
      <c r="C12" s="161" t="s">
        <v>377</v>
      </c>
      <c r="D12" s="160">
        <f>SQRT(0.5)</f>
        <v>0.70710678118654757</v>
      </c>
    </row>
    <row r="13" spans="1:31">
      <c r="C13" s="161"/>
    </row>
    <row r="14" spans="1:31">
      <c r="C14" s="160" t="s">
        <v>376</v>
      </c>
      <c r="D14" s="160">
        <f t="shared" ref="D14:D20" si="1">G4*SQRT(0.5)</f>
        <v>2.7605436300388135E-3</v>
      </c>
      <c r="F14" s="171" t="s">
        <v>356</v>
      </c>
      <c r="G14" s="171"/>
      <c r="H14" s="171"/>
      <c r="I14" s="171"/>
      <c r="J14" s="171"/>
      <c r="K14" s="171"/>
      <c r="L14" s="171"/>
      <c r="M14" s="171"/>
      <c r="O14" s="173" t="s">
        <v>357</v>
      </c>
      <c r="P14" s="173"/>
      <c r="Q14" s="173"/>
      <c r="R14" s="173"/>
      <c r="S14" s="173"/>
      <c r="T14" s="173"/>
      <c r="U14" s="173"/>
      <c r="V14" s="173"/>
      <c r="X14" s="161" t="s">
        <v>375</v>
      </c>
    </row>
    <row r="15" spans="1:31">
      <c r="C15" s="161" t="s">
        <v>374</v>
      </c>
      <c r="D15" s="160">
        <f t="shared" si="1"/>
        <v>2.6931735892206424E-3</v>
      </c>
      <c r="F15" s="171"/>
      <c r="G15" s="171"/>
      <c r="H15" s="171"/>
      <c r="I15" s="171"/>
      <c r="J15" s="171"/>
      <c r="K15" s="171"/>
      <c r="L15" s="171"/>
      <c r="M15" s="171">
        <f>D10</f>
        <v>5.1012449003478927E-2</v>
      </c>
      <c r="O15" s="173"/>
      <c r="P15" s="173"/>
      <c r="Q15" s="173"/>
      <c r="R15" s="173"/>
      <c r="S15" s="173"/>
      <c r="T15" s="173"/>
      <c r="U15" s="173"/>
      <c r="V15" s="173">
        <f>EXP(-0.5*M15)</f>
        <v>0.97481631120103196</v>
      </c>
      <c r="AE15" s="160">
        <f>0.5*AD16</f>
        <v>7.8125E-3</v>
      </c>
    </row>
    <row r="16" spans="1:31">
      <c r="C16" s="161" t="s">
        <v>373</v>
      </c>
      <c r="D16" s="160">
        <f t="shared" si="1"/>
        <v>2.6272686392476994E-3</v>
      </c>
      <c r="F16" s="171"/>
      <c r="G16" s="171"/>
      <c r="H16" s="171"/>
      <c r="I16" s="171"/>
      <c r="J16" s="171"/>
      <c r="K16" s="171"/>
      <c r="L16" s="171">
        <f>D9</f>
        <v>4.6739408616701443E-2</v>
      </c>
      <c r="M16" s="171"/>
      <c r="O16" s="173"/>
      <c r="P16" s="173"/>
      <c r="Q16" s="173"/>
      <c r="R16" s="173"/>
      <c r="S16" s="173"/>
      <c r="T16" s="173"/>
      <c r="U16" s="173">
        <f>EXP(-0.5*L16)</f>
        <v>0.97690125240114833</v>
      </c>
      <c r="V16" s="173"/>
      <c r="AD16" s="160">
        <f>0.5*AC17</f>
        <v>1.5625E-2</v>
      </c>
    </row>
    <row r="17" spans="3:31">
      <c r="C17" s="161" t="s">
        <v>372</v>
      </c>
      <c r="D17" s="160">
        <f t="shared" si="1"/>
        <v>2.56288604633036E-3</v>
      </c>
      <c r="F17" s="171"/>
      <c r="G17" s="171"/>
      <c r="H17" s="171"/>
      <c r="I17" s="171"/>
      <c r="J17" s="171"/>
      <c r="K17" s="171">
        <f>D8</f>
        <v>4.0492356948106399E-2</v>
      </c>
      <c r="L17" s="171"/>
      <c r="M17" s="171">
        <f>$M$15-2*D20</f>
        <v>4.6254879010221295E-2</v>
      </c>
      <c r="O17" s="173"/>
      <c r="P17" s="173"/>
      <c r="Q17" s="173"/>
      <c r="R17" s="173"/>
      <c r="S17" s="173"/>
      <c r="T17" s="173">
        <f>EXP(-0.5*K17)</f>
        <v>0.97995739919255687</v>
      </c>
      <c r="U17" s="173"/>
      <c r="V17" s="173">
        <f>EXP(-0.5*M17)</f>
        <v>0.97713794986142044</v>
      </c>
      <c r="AC17" s="160">
        <f>0.5*AB18</f>
        <v>3.125E-2</v>
      </c>
      <c r="AE17" s="160">
        <f>7*AE15</f>
        <v>5.46875E-2</v>
      </c>
    </row>
    <row r="18" spans="3:31">
      <c r="C18" s="161" t="s">
        <v>371</v>
      </c>
      <c r="D18" s="160">
        <f t="shared" si="1"/>
        <v>2.5000248229029905E-3</v>
      </c>
      <c r="F18" s="171"/>
      <c r="G18" s="171"/>
      <c r="H18" s="171"/>
      <c r="I18" s="171"/>
      <c r="J18" s="171">
        <f>D7</f>
        <v>3.6798786458911582E-2</v>
      </c>
      <c r="K18" s="171"/>
      <c r="L18" s="171">
        <f>L16-2*$D$19</f>
        <v>4.1862075861250229E-2</v>
      </c>
      <c r="M18" s="171"/>
      <c r="O18" s="173"/>
      <c r="P18" s="173"/>
      <c r="Q18" s="173"/>
      <c r="R18" s="173"/>
      <c r="S18" s="173">
        <f>EXP(-0.5*J18)</f>
        <v>0.98176884221599858</v>
      </c>
      <c r="T18" s="173"/>
      <c r="U18" s="173">
        <f>EXP(-0.5*L18)</f>
        <v>0.97928649586414962</v>
      </c>
      <c r="V18" s="173"/>
      <c r="AB18" s="160">
        <f>0.5*AA19</f>
        <v>6.25E-2</v>
      </c>
      <c r="AD18" s="160">
        <f>6*AD16</f>
        <v>9.375E-2</v>
      </c>
    </row>
    <row r="19" spans="3:31">
      <c r="C19" s="161" t="s">
        <v>370</v>
      </c>
      <c r="D19" s="160">
        <f t="shared" si="1"/>
        <v>2.4386663777256077E-3</v>
      </c>
      <c r="F19" s="171"/>
      <c r="G19" s="171"/>
      <c r="H19" s="171"/>
      <c r="I19" s="171">
        <f>D6</f>
        <v>3.3256032374711003E-2</v>
      </c>
      <c r="J19" s="171"/>
      <c r="K19" s="171">
        <f>K17-2*$D$18</f>
        <v>3.5492307302300422E-2</v>
      </c>
      <c r="L19" s="171"/>
      <c r="M19" s="171">
        <f>M15-4*D20</f>
        <v>4.1497309016963656E-2</v>
      </c>
      <c r="O19" s="173"/>
      <c r="P19" s="173"/>
      <c r="Q19" s="173"/>
      <c r="R19" s="173">
        <f>EXP(-0.5*I19)</f>
        <v>0.98350946619929014</v>
      </c>
      <c r="S19" s="173"/>
      <c r="T19" s="173">
        <f>EXP(-0.5*K19)</f>
        <v>0.98241038199725617</v>
      </c>
      <c r="U19" s="173"/>
      <c r="V19" s="173">
        <f>EXP(-0.5*M19)</f>
        <v>0.97946511777486656</v>
      </c>
      <c r="AA19" s="160">
        <f>0.5*0.5*0.5</f>
        <v>0.125</v>
      </c>
      <c r="AC19" s="160">
        <f>5*AC17</f>
        <v>0.15625</v>
      </c>
      <c r="AE19" s="160">
        <f>21*AE15</f>
        <v>0.1640625</v>
      </c>
    </row>
    <row r="20" spans="3:31">
      <c r="C20" s="161" t="s">
        <v>369</v>
      </c>
      <c r="D20" s="160">
        <f t="shared" si="1"/>
        <v>2.3787849966288173E-3</v>
      </c>
      <c r="F20" s="171"/>
      <c r="G20" s="171"/>
      <c r="H20" s="171">
        <f>D5</f>
        <v>2.9010273926042711E-2</v>
      </c>
      <c r="I20" s="171"/>
      <c r="J20" s="171">
        <f>J18-2*$D$17</f>
        <v>3.1673014366250862E-2</v>
      </c>
      <c r="K20" s="171"/>
      <c r="L20" s="171">
        <f>L16-4*$D$19</f>
        <v>3.6984743105799009E-2</v>
      </c>
      <c r="M20" s="171"/>
      <c r="O20" s="173"/>
      <c r="P20" s="173"/>
      <c r="Q20" s="173">
        <f>EXP(-0.5*H20)</f>
        <v>0.98559955573090652</v>
      </c>
      <c r="R20" s="173"/>
      <c r="S20" s="173">
        <f>EXP(-0.5*J20)</f>
        <v>0.98428823095653395</v>
      </c>
      <c r="T20" s="173"/>
      <c r="U20" s="173">
        <f>EXP(-0.5*L20)</f>
        <v>0.98167756323858901</v>
      </c>
      <c r="V20" s="173"/>
      <c r="Z20" s="161">
        <f>0.5*0.5</f>
        <v>0.25</v>
      </c>
      <c r="AB20" s="160">
        <f>4*AB18</f>
        <v>0.25</v>
      </c>
      <c r="AD20" s="160">
        <f>15*AD16</f>
        <v>0.234375</v>
      </c>
    </row>
    <row r="21" spans="3:31">
      <c r="C21" s="161"/>
      <c r="F21" s="171"/>
      <c r="G21" s="171">
        <f>D4</f>
        <v>2.5703368935413699E-2</v>
      </c>
      <c r="H21" s="171"/>
      <c r="I21" s="171">
        <f>I19-2*D16</f>
        <v>2.8001495096215606E-2</v>
      </c>
      <c r="J21" s="171"/>
      <c r="K21" s="171">
        <f>K17-4*$D$18</f>
        <v>3.0492257656494437E-2</v>
      </c>
      <c r="L21" s="171"/>
      <c r="M21" s="171">
        <f>M15-6*D20</f>
        <v>3.6739739023706024E-2</v>
      </c>
      <c r="O21" s="173"/>
      <c r="P21" s="173">
        <f>EXP(-0.5*G21)</f>
        <v>0.98723054578641822</v>
      </c>
      <c r="Q21" s="173"/>
      <c r="R21" s="173">
        <f>EXP(-0.5*I21)</f>
        <v>0.98609680710778413</v>
      </c>
      <c r="S21" s="173"/>
      <c r="T21" s="173">
        <f>EXP(-0.5*K21)</f>
        <v>0.98486950499197312</v>
      </c>
      <c r="U21" s="173"/>
      <c r="V21" s="173">
        <f>EXP(-0.5*M21)</f>
        <v>0.98179782810993099</v>
      </c>
      <c r="Y21" s="160">
        <v>0.5</v>
      </c>
      <c r="AA21" s="160">
        <f>3*AA19</f>
        <v>0.375</v>
      </c>
      <c r="AC21" s="160">
        <f>10*AC17</f>
        <v>0.3125</v>
      </c>
      <c r="AE21" s="161">
        <f>35*AE15</f>
        <v>0.2734375</v>
      </c>
    </row>
    <row r="22" spans="3:31">
      <c r="F22" s="172">
        <v>1.848516313288975E-2</v>
      </c>
      <c r="G22" s="171"/>
      <c r="H22" s="171">
        <f>H20-2*D15</f>
        <v>2.3623926747601425E-2</v>
      </c>
      <c r="I22" s="171"/>
      <c r="J22" s="171">
        <f>J18-4*$D$17</f>
        <v>2.6547242273590142E-2</v>
      </c>
      <c r="K22" s="171"/>
      <c r="L22" s="171">
        <f>$L$16-6*$D$19</f>
        <v>3.2107410350347795E-2</v>
      </c>
      <c r="M22" s="171"/>
      <c r="O22" s="173">
        <f>EXP(-0.5*F22)</f>
        <v>0.99079999980232325</v>
      </c>
      <c r="P22" s="173"/>
      <c r="Q22" s="173">
        <f>EXP(-0.5*H22)</f>
        <v>0.98825752400236255</v>
      </c>
      <c r="R22" s="173"/>
      <c r="S22" s="173">
        <f>EXP(-0.5*J22)</f>
        <v>0.98681408488454836</v>
      </c>
      <c r="T22" s="173"/>
      <c r="U22" s="173">
        <f>EXP(-0.5*L22)</f>
        <v>0.98407446874437532</v>
      </c>
      <c r="V22" s="173"/>
      <c r="X22" s="160">
        <v>1</v>
      </c>
      <c r="Z22" s="160">
        <v>0.5</v>
      </c>
      <c r="AB22" s="160">
        <f>6*AB18</f>
        <v>0.375</v>
      </c>
      <c r="AD22" s="160">
        <f>20*AD16</f>
        <v>0.3125</v>
      </c>
    </row>
    <row r="23" spans="3:31">
      <c r="C23" s="161" t="s">
        <v>368</v>
      </c>
      <c r="D23" s="161">
        <f>0.01</f>
        <v>0.01</v>
      </c>
      <c r="F23" s="171"/>
      <c r="G23" s="171">
        <f>G21-2*D14</f>
        <v>2.0182281675336072E-2</v>
      </c>
      <c r="H23" s="171"/>
      <c r="I23" s="171">
        <f>I19-4*$D$16</f>
        <v>2.2746957817720206E-2</v>
      </c>
      <c r="J23" s="171"/>
      <c r="K23" s="171">
        <f>K17-6*$D$18</f>
        <v>2.5492208010688456E-2</v>
      </c>
      <c r="L23" s="171"/>
      <c r="M23" s="171">
        <f>M15-8*D20</f>
        <v>3.1982169030448385E-2</v>
      </c>
      <c r="O23" s="173"/>
      <c r="P23" s="173">
        <f>EXP(-0.5*G23)</f>
        <v>0.98995960388986204</v>
      </c>
      <c r="Q23" s="173"/>
      <c r="R23" s="173">
        <f>EXP(-0.5*I23)</f>
        <v>0.988690954593344</v>
      </c>
      <c r="S23" s="173"/>
      <c r="T23" s="173">
        <f>EXP(-0.5*K23)</f>
        <v>0.98733478354653947</v>
      </c>
      <c r="U23" s="173"/>
      <c r="V23" s="173">
        <f>EXP(-0.5*M23)</f>
        <v>0.98413609406653679</v>
      </c>
      <c r="Y23" s="160">
        <v>0.5</v>
      </c>
      <c r="AA23" s="160">
        <f>AA21</f>
        <v>0.375</v>
      </c>
      <c r="AC23" s="160">
        <f>AC21</f>
        <v>0.3125</v>
      </c>
      <c r="AE23" s="160">
        <f>AE21</f>
        <v>0.2734375</v>
      </c>
    </row>
    <row r="24" spans="3:31">
      <c r="F24" s="171"/>
      <c r="G24" s="171"/>
      <c r="H24" s="171">
        <f>H20-4*D15</f>
        <v>1.8237579569160139E-2</v>
      </c>
      <c r="I24" s="171"/>
      <c r="J24" s="171">
        <f>J18-6*$D$17</f>
        <v>2.1421470180929422E-2</v>
      </c>
      <c r="K24" s="171"/>
      <c r="L24" s="171">
        <f>$L$16-8*$D$19</f>
        <v>2.7230077594896582E-2</v>
      </c>
      <c r="M24" s="171"/>
      <c r="O24" s="173"/>
      <c r="P24" s="173"/>
      <c r="Q24" s="173">
        <f>EXP(-0.5*H24)</f>
        <v>0.99092266029179399</v>
      </c>
      <c r="R24" s="173"/>
      <c r="S24" s="173">
        <f>EXP(-0.5*J24)</f>
        <v>0.98934642059083155</v>
      </c>
      <c r="T24" s="173"/>
      <c r="U24" s="173">
        <f>EXP(-0.5*L24)</f>
        <v>0.98647722663613724</v>
      </c>
      <c r="V24" s="173"/>
      <c r="Z24" s="160">
        <v>0.25</v>
      </c>
      <c r="AB24" s="160">
        <f>AB20</f>
        <v>0.25</v>
      </c>
      <c r="AD24" s="160">
        <f>AD20</f>
        <v>0.234375</v>
      </c>
    </row>
    <row r="25" spans="3:31">
      <c r="F25" s="171"/>
      <c r="G25" s="171"/>
      <c r="H25" s="171"/>
      <c r="I25" s="171">
        <f>I19-6*$D$16</f>
        <v>1.7492420539224805E-2</v>
      </c>
      <c r="J25" s="171"/>
      <c r="K25" s="171">
        <f>K17-8*$D$18</f>
        <v>2.0492158364882475E-2</v>
      </c>
      <c r="L25" s="171"/>
      <c r="M25" s="171">
        <f>M15-10*D20</f>
        <v>2.7224599037190753E-2</v>
      </c>
      <c r="O25" s="173"/>
      <c r="P25" s="173"/>
      <c r="Q25" s="173"/>
      <c r="R25" s="173">
        <f>EXP(-0.5*I25)</f>
        <v>0.99129192656218834</v>
      </c>
      <c r="S25" s="173"/>
      <c r="T25" s="173">
        <f>EXP(-0.5*K25)</f>
        <v>0.9898062330692603</v>
      </c>
      <c r="U25" s="173"/>
      <c r="V25" s="173">
        <f>EXP(-0.5*M25)</f>
        <v>0.98647992887604408</v>
      </c>
      <c r="AA25" s="160">
        <f>AA19</f>
        <v>0.125</v>
      </c>
      <c r="AC25" s="160">
        <f>AC19</f>
        <v>0.15625</v>
      </c>
      <c r="AE25" s="160">
        <f>AE19</f>
        <v>0.1640625</v>
      </c>
    </row>
    <row r="26" spans="3:31">
      <c r="F26" s="171"/>
      <c r="G26" s="171"/>
      <c r="H26" s="171"/>
      <c r="I26" s="171"/>
      <c r="J26" s="171">
        <f>J18-8*$D$17</f>
        <v>1.6295698088268702E-2</v>
      </c>
      <c r="K26" s="171"/>
      <c r="L26" s="171">
        <f>$L$16-10*$D$19</f>
        <v>2.2352744839445368E-2</v>
      </c>
      <c r="M26" s="171"/>
      <c r="O26" s="173"/>
      <c r="P26" s="173"/>
      <c r="Q26" s="173"/>
      <c r="R26" s="173"/>
      <c r="S26" s="173">
        <f>EXP(-0.5*J26)</f>
        <v>0.99188525470874822</v>
      </c>
      <c r="T26" s="173"/>
      <c r="U26" s="173">
        <f>EXP(-0.5*L26)</f>
        <v>0.98888585120330819</v>
      </c>
      <c r="V26" s="173"/>
      <c r="AB26" s="160">
        <f>AB18</f>
        <v>6.25E-2</v>
      </c>
      <c r="AD26" s="160">
        <f>AD18</f>
        <v>9.375E-2</v>
      </c>
    </row>
    <row r="27" spans="3:31">
      <c r="F27" s="171"/>
      <c r="G27" s="171"/>
      <c r="H27" s="171"/>
      <c r="I27" s="171"/>
      <c r="J27" s="171"/>
      <c r="K27" s="171">
        <f>K17-10*$D$18</f>
        <v>1.5492108719076494E-2</v>
      </c>
      <c r="L27" s="171"/>
      <c r="M27" s="171">
        <f>M15-12*D20</f>
        <v>2.2467029043933121E-2</v>
      </c>
      <c r="O27" s="173"/>
      <c r="P27" s="173"/>
      <c r="Q27" s="173"/>
      <c r="R27" s="173"/>
      <c r="S27" s="173"/>
      <c r="T27" s="173">
        <f>EXP(-0.5*K27)</f>
        <v>0.99228386900700993</v>
      </c>
      <c r="U27" s="173"/>
      <c r="V27" s="173">
        <f>EXP(-0.5*M27)</f>
        <v>0.9888293458013252</v>
      </c>
      <c r="AC27" s="160">
        <f>AC17</f>
        <v>3.125E-2</v>
      </c>
      <c r="AE27" s="160">
        <f>AE17</f>
        <v>5.46875E-2</v>
      </c>
    </row>
    <row r="28" spans="3:31">
      <c r="F28" s="171"/>
      <c r="G28" s="171"/>
      <c r="H28" s="171"/>
      <c r="I28" s="171"/>
      <c r="J28" s="171"/>
      <c r="K28" s="171"/>
      <c r="L28" s="171">
        <f>$L$16-12*$D$19</f>
        <v>1.7475412083994151E-2</v>
      </c>
      <c r="M28" s="171"/>
      <c r="O28" s="173"/>
      <c r="P28" s="173"/>
      <c r="Q28" s="173"/>
      <c r="R28" s="173"/>
      <c r="S28" s="173"/>
      <c r="T28" s="173"/>
      <c r="U28" s="173">
        <f>EXP(-0.5*L28)</f>
        <v>0.99130035677021122</v>
      </c>
      <c r="V28" s="173"/>
      <c r="AD28" s="160">
        <f>AD16</f>
        <v>1.5625E-2</v>
      </c>
    </row>
    <row r="29" spans="3:31">
      <c r="F29" s="171"/>
      <c r="G29" s="171"/>
      <c r="H29" s="171"/>
      <c r="I29" s="171"/>
      <c r="J29" s="171"/>
      <c r="K29" s="171"/>
      <c r="L29" s="171"/>
      <c r="M29" s="171">
        <f>M15-14*D20</f>
        <v>1.7709459050675481E-2</v>
      </c>
      <c r="O29" s="173"/>
      <c r="P29" s="173"/>
      <c r="Q29" s="173"/>
      <c r="R29" s="173"/>
      <c r="S29" s="173"/>
      <c r="T29" s="173"/>
      <c r="U29" s="173"/>
      <c r="V29" s="173">
        <f>EXP(-0.5*M29)</f>
        <v>0.99118435813683958</v>
      </c>
      <c r="AE29" s="160">
        <f>AE15</f>
        <v>7.8125E-3</v>
      </c>
    </row>
    <row r="31" spans="3:31">
      <c r="AE31" s="160">
        <f>SUM(AE15:AE29)</f>
        <v>1</v>
      </c>
    </row>
    <row r="33" spans="1:16" ht="12.75" customHeight="1">
      <c r="H33" s="203"/>
      <c r="I33" s="203"/>
      <c r="J33" s="203"/>
      <c r="K33" s="203"/>
      <c r="M33" s="205"/>
      <c r="N33" s="206"/>
      <c r="O33" s="206"/>
      <c r="P33" s="206"/>
    </row>
    <row r="34" spans="1:16" ht="15" customHeight="1">
      <c r="H34" s="203"/>
      <c r="I34" s="203"/>
      <c r="J34" s="203"/>
      <c r="K34" s="203"/>
      <c r="M34" s="206"/>
      <c r="N34" s="206"/>
      <c r="O34" s="206"/>
      <c r="P34" s="206"/>
    </row>
    <row r="35" spans="1:16" ht="15.75" customHeight="1">
      <c r="H35" s="204"/>
      <c r="I35" s="204"/>
      <c r="J35" s="204"/>
      <c r="K35" s="204"/>
      <c r="M35" s="205"/>
      <c r="N35" s="205"/>
      <c r="O35" s="205"/>
      <c r="P35" s="205"/>
    </row>
    <row r="36" spans="1:16" ht="16">
      <c r="H36" s="163"/>
      <c r="I36" s="162"/>
      <c r="J36" s="162"/>
      <c r="M36" s="205"/>
      <c r="N36" s="205"/>
      <c r="O36" s="205"/>
      <c r="P36" s="205"/>
    </row>
    <row r="37" spans="1:16" ht="16">
      <c r="C37" s="160" t="s">
        <v>354</v>
      </c>
      <c r="H37" s="163"/>
      <c r="I37" s="162"/>
      <c r="J37" s="162"/>
      <c r="M37" s="162"/>
      <c r="N37" s="162"/>
      <c r="O37" s="162"/>
      <c r="P37" s="162"/>
    </row>
    <row r="38" spans="1:16" ht="16">
      <c r="C38" s="154"/>
      <c r="D38" s="154" t="s">
        <v>353</v>
      </c>
      <c r="E38" s="154" t="s">
        <v>352</v>
      </c>
      <c r="F38" s="154" t="s">
        <v>351</v>
      </c>
      <c r="H38" s="163"/>
      <c r="I38" s="162"/>
      <c r="J38" s="162"/>
      <c r="M38" s="162"/>
      <c r="N38" s="162"/>
      <c r="O38" s="162"/>
      <c r="P38" s="162"/>
    </row>
    <row r="39" spans="1:16" ht="16">
      <c r="C39" s="154" t="s">
        <v>350</v>
      </c>
      <c r="D39" s="154">
        <f>O22</f>
        <v>0.99079999980232325</v>
      </c>
      <c r="E39" s="154">
        <v>0.99080000000000001</v>
      </c>
      <c r="F39" s="154">
        <f t="shared" ref="F39:F46" si="2">(D39-E39)^2</f>
        <v>3.9076102964921237E-20</v>
      </c>
      <c r="H39" s="163"/>
      <c r="I39" s="162"/>
      <c r="J39" s="162"/>
      <c r="M39" s="162"/>
      <c r="N39" s="162"/>
      <c r="O39" s="162"/>
      <c r="P39" s="162"/>
    </row>
    <row r="40" spans="1:16" ht="16">
      <c r="C40" s="154" t="s">
        <v>349</v>
      </c>
      <c r="D40" s="154">
        <f>D39*(0.5*P21+0.5*P23)</f>
        <v>0.979499999954207</v>
      </c>
      <c r="E40" s="154">
        <v>0.97950000000000004</v>
      </c>
      <c r="F40" s="154">
        <f t="shared" si="2"/>
        <v>2.0970021488271512E-21</v>
      </c>
      <c r="H40" s="163"/>
      <c r="I40" s="162"/>
      <c r="J40" s="162"/>
      <c r="M40" s="162"/>
      <c r="N40" s="162"/>
      <c r="O40" s="162"/>
      <c r="P40" s="162"/>
    </row>
    <row r="41" spans="1:16" ht="16">
      <c r="C41" s="154" t="s">
        <v>348</v>
      </c>
      <c r="D41" s="154">
        <f>D40*(0.25*Q20+0.5*Q22+0.25*Q24)</f>
        <v>0.96799999998346054</v>
      </c>
      <c r="E41" s="154">
        <v>0.96799999999999997</v>
      </c>
      <c r="F41" s="154">
        <f t="shared" si="2"/>
        <v>2.7355295930918754E-22</v>
      </c>
      <c r="H41" s="163"/>
      <c r="I41" s="162"/>
      <c r="J41" s="162"/>
      <c r="M41" s="162"/>
      <c r="N41" s="162"/>
      <c r="O41" s="162"/>
      <c r="P41" s="162"/>
    </row>
    <row r="42" spans="1:16" ht="16">
      <c r="C42" s="154" t="s">
        <v>367</v>
      </c>
      <c r="D42" s="154">
        <f>D41*(R19*AA19+R21*AA21+R23*AA23+R25*AA25)</f>
        <v>0.95579892600531735</v>
      </c>
      <c r="E42" s="154">
        <v>0.95579999999999998</v>
      </c>
      <c r="F42" s="154">
        <f t="shared" si="2"/>
        <v>1.1534645783221113E-12</v>
      </c>
      <c r="H42" s="163"/>
      <c r="I42" s="162"/>
      <c r="J42" s="162"/>
      <c r="M42" s="162"/>
      <c r="N42" s="162"/>
      <c r="O42" s="162"/>
      <c r="P42" s="162"/>
    </row>
    <row r="43" spans="1:16" ht="16">
      <c r="C43" s="154" t="s">
        <v>366</v>
      </c>
      <c r="D43" s="154">
        <f>D42*(S18*AB18+S20*AB20+S22*AB22+S24*AB24+S26*AB26)</f>
        <v>0.94319894014046868</v>
      </c>
      <c r="E43" s="154">
        <v>0.94320000000000004</v>
      </c>
      <c r="F43" s="154">
        <f t="shared" si="2"/>
        <v>1.1233022262155968E-12</v>
      </c>
      <c r="M43" s="162"/>
      <c r="N43" s="162"/>
      <c r="O43" s="162"/>
      <c r="P43" s="162"/>
    </row>
    <row r="44" spans="1:16">
      <c r="C44" s="154" t="s">
        <v>365</v>
      </c>
      <c r="D44" s="154">
        <f>D43*(T17*AC17+T19*AC19+T21*AC21+T23*AC23+T25*AC25+T27*AC27)</f>
        <v>0.93009340393931417</v>
      </c>
      <c r="E44" s="154">
        <v>0.93010000000000004</v>
      </c>
      <c r="F44" s="154">
        <f t="shared" si="2"/>
        <v>4.3508016571687694E-11</v>
      </c>
    </row>
    <row r="45" spans="1:16">
      <c r="C45" s="154" t="s">
        <v>364</v>
      </c>
      <c r="D45" s="154">
        <f>D44*(U16*AD16+U18*AD18+U20*AD20+U22*AD22+U24*AD24+U26*AD26+U28*AD28)</f>
        <v>0.91528525481949286</v>
      </c>
      <c r="E45" s="154">
        <v>0.9153</v>
      </c>
      <c r="F45" s="154">
        <f t="shared" si="2"/>
        <v>2.1742034818836141E-10</v>
      </c>
    </row>
    <row r="46" spans="1:16">
      <c r="C46" s="154" t="s">
        <v>363</v>
      </c>
      <c r="D46" s="154">
        <f>D45*(V15*AE15+V17*AE17+V19*AE19+V21*AE21+V23*AE23+V25*AE25+V27*AE27+V29*AE29)</f>
        <v>0.89969898373947266</v>
      </c>
      <c r="E46" s="154">
        <v>0.89970000000000006</v>
      </c>
      <c r="F46" s="154">
        <f t="shared" si="2"/>
        <v>1.0327854595468203E-12</v>
      </c>
    </row>
    <row r="48" spans="1:16" ht="14">
      <c r="A48" s="186" t="s">
        <v>398</v>
      </c>
      <c r="B48" s="186">
        <v>2.570336893541373E-2</v>
      </c>
      <c r="C48" s="186" t="s">
        <v>397</v>
      </c>
      <c r="D48" s="186">
        <v>3.9039982411235453E-3</v>
      </c>
      <c r="E48" s="161"/>
    </row>
    <row r="49" spans="1:4" ht="14">
      <c r="A49" s="186" t="s">
        <v>395</v>
      </c>
      <c r="B49" s="186">
        <v>2.9010273926042711E-2</v>
      </c>
      <c r="C49" s="186" t="s">
        <v>394</v>
      </c>
      <c r="D49" s="186">
        <v>3.8087226157008588E-3</v>
      </c>
    </row>
    <row r="50" spans="1:4" ht="14">
      <c r="A50" s="186" t="s">
        <v>392</v>
      </c>
      <c r="B50" s="186">
        <v>3.3256032374711003E-2</v>
      </c>
      <c r="C50" s="186" t="s">
        <v>391</v>
      </c>
      <c r="D50" s="186">
        <v>3.7155189416216029E-3</v>
      </c>
    </row>
    <row r="51" spans="1:4" ht="14">
      <c r="A51" s="186" t="s">
        <v>389</v>
      </c>
      <c r="B51" s="186">
        <v>3.6798786458911582E-2</v>
      </c>
      <c r="C51" s="186" t="s">
        <v>388</v>
      </c>
      <c r="D51" s="186">
        <v>3.6244682055371551E-3</v>
      </c>
    </row>
    <row r="52" spans="1:4" ht="14">
      <c r="A52" s="186" t="s">
        <v>386</v>
      </c>
      <c r="B52" s="186">
        <v>4.0492356948106399E-2</v>
      </c>
      <c r="C52" s="186" t="s">
        <v>385</v>
      </c>
      <c r="D52" s="186">
        <v>3.5355690108188039E-3</v>
      </c>
    </row>
    <row r="53" spans="1:4" ht="14">
      <c r="A53" s="186" t="s">
        <v>383</v>
      </c>
      <c r="B53" s="186">
        <v>4.6739408616701443E-2</v>
      </c>
      <c r="C53" s="186" t="s">
        <v>382</v>
      </c>
      <c r="D53" s="186">
        <v>3.4487950654828229E-3</v>
      </c>
    </row>
    <row r="54" spans="1:4" ht="14">
      <c r="A54" s="186" t="s">
        <v>380</v>
      </c>
      <c r="B54" s="186">
        <v>5.1012449003478927E-2</v>
      </c>
      <c r="C54" s="186" t="s">
        <v>379</v>
      </c>
      <c r="D54" s="186">
        <v>3.3641100042021105E-3</v>
      </c>
    </row>
  </sheetData>
  <mergeCells count="4">
    <mergeCell ref="H33:K34"/>
    <mergeCell ref="H35:K35"/>
    <mergeCell ref="M33:P34"/>
    <mergeCell ref="M35:P36"/>
  </mergeCells>
  <phoneticPr fontId="4"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42"/>
  <sheetViews>
    <sheetView topLeftCell="A14" workbookViewId="0">
      <selection activeCell="B39" sqref="B39"/>
    </sheetView>
  </sheetViews>
  <sheetFormatPr baseColWidth="10" defaultColWidth="8.6640625" defaultRowHeight="13"/>
  <cols>
    <col min="1" max="2" width="8.6640625" style="154"/>
    <col min="3" max="3" width="15.5" style="154" customWidth="1"/>
    <col min="4" max="16384" width="8.6640625" style="154"/>
  </cols>
  <sheetData>
    <row r="2" spans="1:13" ht="14">
      <c r="A2" s="207" t="s">
        <v>409</v>
      </c>
      <c r="B2" s="207"/>
      <c r="C2" s="207"/>
    </row>
    <row r="4" spans="1:13">
      <c r="A4" s="154">
        <v>0</v>
      </c>
      <c r="C4" s="154" t="s">
        <v>400</v>
      </c>
      <c r="D4" s="154">
        <v>4.0000000000000001E-3</v>
      </c>
    </row>
    <row r="5" spans="1:13">
      <c r="C5" s="154" t="s">
        <v>397</v>
      </c>
      <c r="F5" s="154" t="s">
        <v>400</v>
      </c>
      <c r="G5" s="154">
        <v>4.0000000000000001E-3</v>
      </c>
    </row>
    <row r="6" spans="1:13">
      <c r="A6" s="154" t="s">
        <v>417</v>
      </c>
      <c r="B6" s="154">
        <v>0.5</v>
      </c>
      <c r="C6" s="154" t="s">
        <v>398</v>
      </c>
      <c r="D6" s="154">
        <v>2.570336893541373E-2</v>
      </c>
      <c r="F6" s="154" t="s">
        <v>397</v>
      </c>
      <c r="G6" s="154">
        <v>3.9039982411235453E-3</v>
      </c>
    </row>
    <row r="7" spans="1:13">
      <c r="A7" s="154" t="s">
        <v>416</v>
      </c>
      <c r="B7" s="154">
        <v>1</v>
      </c>
      <c r="C7" s="154" t="s">
        <v>395</v>
      </c>
      <c r="D7" s="154">
        <v>2.9010273926042711E-2</v>
      </c>
      <c r="F7" s="154" t="s">
        <v>394</v>
      </c>
      <c r="G7" s="154">
        <v>3.8087226157008602E-3</v>
      </c>
    </row>
    <row r="8" spans="1:13">
      <c r="A8" s="154" t="s">
        <v>415</v>
      </c>
      <c r="B8" s="154">
        <v>1.5</v>
      </c>
      <c r="C8" s="154" t="s">
        <v>392</v>
      </c>
      <c r="D8" s="154">
        <v>3.3256032374711003E-2</v>
      </c>
      <c r="F8" s="154" t="s">
        <v>391</v>
      </c>
      <c r="G8" s="154">
        <v>3.7155189416216029E-3</v>
      </c>
    </row>
    <row r="9" spans="1:13">
      <c r="A9" s="154" t="s">
        <v>414</v>
      </c>
      <c r="B9" s="154">
        <v>2</v>
      </c>
      <c r="C9" s="154" t="s">
        <v>389</v>
      </c>
      <c r="D9" s="154">
        <v>3.6798786458911582E-2</v>
      </c>
      <c r="F9" s="154" t="s">
        <v>388</v>
      </c>
      <c r="G9" s="154">
        <v>3.6244682055371551E-3</v>
      </c>
    </row>
    <row r="10" spans="1:13">
      <c r="A10" s="154" t="s">
        <v>413</v>
      </c>
      <c r="B10" s="154">
        <v>2.5</v>
      </c>
      <c r="C10" s="154" t="s">
        <v>386</v>
      </c>
      <c r="D10" s="154">
        <v>4.0492356948106399E-2</v>
      </c>
      <c r="F10" s="154" t="s">
        <v>385</v>
      </c>
      <c r="G10" s="154">
        <v>3.5355690108188039E-3</v>
      </c>
    </row>
    <row r="11" spans="1:13">
      <c r="A11" s="154" t="s">
        <v>412</v>
      </c>
      <c r="B11" s="154">
        <v>3</v>
      </c>
      <c r="C11" s="154" t="s">
        <v>383</v>
      </c>
      <c r="D11" s="154">
        <v>4.6739408616701443E-2</v>
      </c>
      <c r="F11" s="154" t="s">
        <v>382</v>
      </c>
      <c r="G11" s="154">
        <v>3.4487950654828229E-3</v>
      </c>
    </row>
    <row r="12" spans="1:13">
      <c r="A12" s="154" t="s">
        <v>411</v>
      </c>
      <c r="B12" s="154">
        <v>3.5</v>
      </c>
      <c r="C12" s="154" t="s">
        <v>380</v>
      </c>
      <c r="D12" s="154">
        <v>5.1012449003478927E-2</v>
      </c>
      <c r="F12" s="154" t="s">
        <v>379</v>
      </c>
      <c r="G12" s="154">
        <v>3.3641100042021105E-3</v>
      </c>
    </row>
    <row r="13" spans="1:13">
      <c r="A13" s="154" t="s">
        <v>410</v>
      </c>
      <c r="B13" s="154">
        <v>4</v>
      </c>
    </row>
    <row r="14" spans="1:13">
      <c r="C14" s="154" t="s">
        <v>377</v>
      </c>
      <c r="D14" s="154">
        <v>0.70710678118654757</v>
      </c>
    </row>
    <row r="16" spans="1:13">
      <c r="C16" s="154" t="s">
        <v>376</v>
      </c>
      <c r="D16" s="154">
        <v>2.7605436300388135E-3</v>
      </c>
      <c r="F16" s="167" t="s">
        <v>356</v>
      </c>
      <c r="G16" s="167"/>
      <c r="H16" s="167"/>
      <c r="I16" s="167"/>
      <c r="J16" s="167"/>
      <c r="K16" s="167"/>
      <c r="L16" s="167"/>
      <c r="M16" s="167"/>
    </row>
    <row r="17" spans="3:13">
      <c r="C17" s="154" t="s">
        <v>374</v>
      </c>
      <c r="D17" s="154">
        <v>2.6931735892206424E-3</v>
      </c>
      <c r="F17" s="167"/>
      <c r="G17" s="167"/>
      <c r="H17" s="167"/>
      <c r="I17" s="167"/>
      <c r="J17" s="167"/>
      <c r="K17" s="167"/>
      <c r="L17" s="167"/>
      <c r="M17" s="167">
        <v>5.1012449003478927E-2</v>
      </c>
    </row>
    <row r="18" spans="3:13">
      <c r="C18" s="154" t="s">
        <v>373</v>
      </c>
      <c r="D18" s="154">
        <v>2.6272686392476994E-3</v>
      </c>
      <c r="F18" s="167"/>
      <c r="G18" s="167"/>
      <c r="H18" s="167"/>
      <c r="I18" s="167"/>
      <c r="J18" s="167"/>
      <c r="K18" s="167"/>
      <c r="L18" s="167">
        <v>4.6739408616701443E-2</v>
      </c>
      <c r="M18" s="167"/>
    </row>
    <row r="19" spans="3:13">
      <c r="C19" s="154" t="s">
        <v>372</v>
      </c>
      <c r="D19" s="154">
        <v>2.56288604633036E-3</v>
      </c>
      <c r="F19" s="167"/>
      <c r="G19" s="167"/>
      <c r="H19" s="167"/>
      <c r="I19" s="167"/>
      <c r="J19" s="167"/>
      <c r="K19" s="167">
        <v>4.0492356948106399E-2</v>
      </c>
      <c r="L19" s="167"/>
      <c r="M19" s="167">
        <v>4.6254879010221295E-2</v>
      </c>
    </row>
    <row r="20" spans="3:13">
      <c r="C20" s="154" t="s">
        <v>371</v>
      </c>
      <c r="D20" s="154">
        <v>2.5000248229029905E-3</v>
      </c>
      <c r="F20" s="167"/>
      <c r="G20" s="167"/>
      <c r="H20" s="167"/>
      <c r="I20" s="167"/>
      <c r="J20" s="167">
        <v>3.6798786458911582E-2</v>
      </c>
      <c r="K20" s="167"/>
      <c r="L20" s="167">
        <v>4.1862075861250229E-2</v>
      </c>
      <c r="M20" s="167"/>
    </row>
    <row r="21" spans="3:13">
      <c r="C21" s="154" t="s">
        <v>370</v>
      </c>
      <c r="D21" s="154">
        <v>2.4386663777256077E-3</v>
      </c>
      <c r="F21" s="167"/>
      <c r="G21" s="167"/>
      <c r="H21" s="167"/>
      <c r="I21" s="167">
        <v>3.3256032374711003E-2</v>
      </c>
      <c r="J21" s="167"/>
      <c r="K21" s="167">
        <v>3.5492307302300422E-2</v>
      </c>
      <c r="L21" s="167"/>
      <c r="M21" s="167">
        <v>4.1497309016963656E-2</v>
      </c>
    </row>
    <row r="22" spans="3:13">
      <c r="C22" s="154" t="s">
        <v>369</v>
      </c>
      <c r="D22" s="154">
        <v>2.3787849966288173E-3</v>
      </c>
      <c r="F22" s="167"/>
      <c r="G22" s="167"/>
      <c r="H22" s="167">
        <v>2.9010273926042711E-2</v>
      </c>
      <c r="I22" s="167"/>
      <c r="J22" s="167">
        <v>3.1673014366250862E-2</v>
      </c>
      <c r="K22" s="167"/>
      <c r="L22" s="167">
        <v>3.6984743105799009E-2</v>
      </c>
      <c r="M22" s="167"/>
    </row>
    <row r="23" spans="3:13">
      <c r="F23" s="167"/>
      <c r="G23" s="167">
        <v>2.570336893541373E-2</v>
      </c>
      <c r="H23" s="167"/>
      <c r="I23" s="167">
        <v>2.8001495096215606E-2</v>
      </c>
      <c r="J23" s="167"/>
      <c r="K23" s="167">
        <v>3.0492257656494437E-2</v>
      </c>
      <c r="L23" s="167"/>
      <c r="M23" s="167">
        <v>3.6739739023706024E-2</v>
      </c>
    </row>
    <row r="24" spans="3:13">
      <c r="F24" s="167">
        <v>1.848516313288975E-2</v>
      </c>
      <c r="G24" s="167"/>
      <c r="H24" s="167">
        <v>2.3623926747601425E-2</v>
      </c>
      <c r="I24" s="167"/>
      <c r="J24" s="167">
        <v>2.6547242273590142E-2</v>
      </c>
      <c r="K24" s="167"/>
      <c r="L24" s="167">
        <v>3.2107410350347795E-2</v>
      </c>
      <c r="M24" s="167"/>
    </row>
    <row r="25" spans="3:13">
      <c r="C25" s="154" t="s">
        <v>368</v>
      </c>
      <c r="D25" s="154">
        <v>0.01</v>
      </c>
      <c r="F25" s="167"/>
      <c r="G25" s="167">
        <v>2.0182281675336103E-2</v>
      </c>
      <c r="H25" s="167"/>
      <c r="I25" s="167">
        <v>2.2746957817720206E-2</v>
      </c>
      <c r="J25" s="167"/>
      <c r="K25" s="167">
        <v>2.5492208010688456E-2</v>
      </c>
      <c r="L25" s="167"/>
      <c r="M25" s="167">
        <v>3.1982169030448385E-2</v>
      </c>
    </row>
    <row r="26" spans="3:13">
      <c r="F26" s="167"/>
      <c r="G26" s="167"/>
      <c r="H26" s="167">
        <v>1.8237579569160139E-2</v>
      </c>
      <c r="I26" s="167"/>
      <c r="J26" s="167">
        <v>2.1421470180929422E-2</v>
      </c>
      <c r="K26" s="167"/>
      <c r="L26" s="167">
        <v>2.7230077594896582E-2</v>
      </c>
      <c r="M26" s="167"/>
    </row>
    <row r="27" spans="3:13">
      <c r="F27" s="167"/>
      <c r="G27" s="167"/>
      <c r="H27" s="167"/>
      <c r="I27" s="167">
        <v>1.7492420539224805E-2</v>
      </c>
      <c r="J27" s="167"/>
      <c r="K27" s="167">
        <v>2.0492158364882475E-2</v>
      </c>
      <c r="L27" s="167"/>
      <c r="M27" s="167">
        <v>2.7224599037190753E-2</v>
      </c>
    </row>
    <row r="28" spans="3:13">
      <c r="F28" s="167"/>
      <c r="G28" s="167"/>
      <c r="H28" s="167"/>
      <c r="I28" s="167"/>
      <c r="J28" s="167">
        <v>1.6295698088268702E-2</v>
      </c>
      <c r="K28" s="167"/>
      <c r="L28" s="167">
        <v>2.2352744839445368E-2</v>
      </c>
      <c r="M28" s="167"/>
    </row>
    <row r="29" spans="3:13">
      <c r="F29" s="167"/>
      <c r="G29" s="167"/>
      <c r="H29" s="167"/>
      <c r="I29" s="167"/>
      <c r="J29" s="167"/>
      <c r="K29" s="167">
        <v>1.5492108719076494E-2</v>
      </c>
      <c r="L29" s="167"/>
      <c r="M29" s="167">
        <v>2.2467029043933121E-2</v>
      </c>
    </row>
    <row r="30" spans="3:13">
      <c r="F30" s="167"/>
      <c r="G30" s="167"/>
      <c r="H30" s="167"/>
      <c r="I30" s="167"/>
      <c r="J30" s="167"/>
      <c r="K30" s="167"/>
      <c r="L30" s="167">
        <v>1.7475412083994151E-2</v>
      </c>
      <c r="M30" s="167"/>
    </row>
    <row r="31" spans="3:13">
      <c r="F31" s="167"/>
      <c r="G31" s="167"/>
      <c r="H31" s="167"/>
      <c r="I31" s="167"/>
      <c r="J31" s="167"/>
      <c r="K31" s="167"/>
      <c r="L31" s="167"/>
      <c r="M31" s="167">
        <v>1.7709459050675481E-2</v>
      </c>
    </row>
    <row r="33" spans="1:4" ht="14">
      <c r="A33" s="183" t="s">
        <v>409</v>
      </c>
      <c r="B33" s="183"/>
      <c r="C33" s="183"/>
      <c r="D33" s="183"/>
    </row>
    <row r="34" spans="1:4" ht="14">
      <c r="A34" s="208"/>
      <c r="B34" s="209"/>
      <c r="C34" s="209"/>
      <c r="D34" s="210"/>
    </row>
    <row r="35" spans="1:4" ht="14">
      <c r="A35" s="183" t="s">
        <v>408</v>
      </c>
      <c r="B35" s="183"/>
      <c r="C35" s="183"/>
      <c r="D35" s="183"/>
    </row>
    <row r="36" spans="1:4" ht="14">
      <c r="A36" s="183" t="s">
        <v>407</v>
      </c>
      <c r="B36" s="183">
        <v>8.9153243449703306E-3</v>
      </c>
      <c r="C36" s="183" t="s">
        <v>397</v>
      </c>
      <c r="D36" s="183">
        <v>3.9039982411235453E-3</v>
      </c>
    </row>
    <row r="37" spans="1:4" ht="14">
      <c r="A37" s="183" t="s">
        <v>406</v>
      </c>
      <c r="B37" s="183">
        <v>1.2274628028166772E-3</v>
      </c>
      <c r="C37" s="183" t="s">
        <v>394</v>
      </c>
      <c r="D37" s="183">
        <v>3.8087226157008588E-3</v>
      </c>
    </row>
    <row r="38" spans="1:4" ht="14">
      <c r="A38" s="183" t="s">
        <v>405</v>
      </c>
      <c r="B38" s="183">
        <v>3.2369796188411902E-3</v>
      </c>
      <c r="C38" s="183" t="s">
        <v>391</v>
      </c>
      <c r="D38" s="183">
        <v>3.7155189416216029E-3</v>
      </c>
    </row>
    <row r="39" spans="1:4" ht="14">
      <c r="A39" s="183" t="s">
        <v>404</v>
      </c>
      <c r="B39" s="183">
        <v>1.9597360757404383E-3</v>
      </c>
      <c r="C39" s="183" t="s">
        <v>388</v>
      </c>
      <c r="D39" s="183">
        <v>3.6244682055371551E-3</v>
      </c>
    </row>
    <row r="40" spans="1:4" ht="14">
      <c r="A40" s="183" t="s">
        <v>403</v>
      </c>
      <c r="B40" s="183">
        <v>2.3870913325836525E-3</v>
      </c>
      <c r="C40" s="183" t="s">
        <v>385</v>
      </c>
      <c r="D40" s="183">
        <v>3.5355690108188039E-3</v>
      </c>
    </row>
    <row r="41" spans="1:4" ht="14">
      <c r="A41" s="183" t="s">
        <v>402</v>
      </c>
      <c r="B41" s="183">
        <v>7.6167705817388725E-3</v>
      </c>
      <c r="C41" s="183" t="s">
        <v>382</v>
      </c>
      <c r="D41" s="183">
        <v>3.4487950654828229E-3</v>
      </c>
    </row>
    <row r="42" spans="1:4" ht="14">
      <c r="A42" s="183" t="s">
        <v>401</v>
      </c>
      <c r="B42" s="183">
        <v>3.788510780297333E-3</v>
      </c>
      <c r="C42" s="183" t="s">
        <v>379</v>
      </c>
      <c r="D42" s="183">
        <v>3.3641100042021105E-3</v>
      </c>
    </row>
  </sheetData>
  <mergeCells count="2">
    <mergeCell ref="A2:C2"/>
    <mergeCell ref="A34:D34"/>
  </mergeCells>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M46"/>
  <sheetViews>
    <sheetView workbookViewId="0">
      <selection activeCell="G15" sqref="G15"/>
    </sheetView>
  </sheetViews>
  <sheetFormatPr baseColWidth="10" defaultColWidth="8.6640625" defaultRowHeight="13"/>
  <cols>
    <col min="1" max="1" width="14.1640625" style="154" customWidth="1"/>
    <col min="2" max="2" width="8.6640625" style="154"/>
    <col min="3" max="3" width="18.5" style="154" customWidth="1"/>
    <col min="4" max="16384" width="8.6640625" style="154"/>
  </cols>
  <sheetData>
    <row r="2" spans="1:13" ht="14">
      <c r="A2" s="187" t="s">
        <v>447</v>
      </c>
      <c r="B2" s="187"/>
      <c r="C2" s="183"/>
    </row>
    <row r="4" spans="1:13">
      <c r="A4" s="154">
        <v>0</v>
      </c>
      <c r="C4" s="154" t="s">
        <v>400</v>
      </c>
      <c r="D4" s="154">
        <v>4.0000000000000001E-3</v>
      </c>
    </row>
    <row r="5" spans="1:13">
      <c r="C5" s="154" t="s">
        <v>397</v>
      </c>
      <c r="F5" s="154" t="s">
        <v>400</v>
      </c>
      <c r="G5" s="154">
        <v>4.0000000000000001E-3</v>
      </c>
    </row>
    <row r="6" spans="1:13">
      <c r="A6" s="154" t="s">
        <v>417</v>
      </c>
      <c r="B6" s="154">
        <v>0.5</v>
      </c>
      <c r="C6" s="154" t="s">
        <v>398</v>
      </c>
      <c r="D6" s="154">
        <v>2.570336893541373E-2</v>
      </c>
      <c r="F6" s="154" t="s">
        <v>397</v>
      </c>
      <c r="G6" s="154">
        <v>3.9039982411235453E-3</v>
      </c>
    </row>
    <row r="7" spans="1:13">
      <c r="A7" s="154" t="s">
        <v>416</v>
      </c>
      <c r="B7" s="154">
        <v>1</v>
      </c>
      <c r="C7" s="154" t="s">
        <v>395</v>
      </c>
      <c r="D7" s="154">
        <v>2.9010273926042711E-2</v>
      </c>
      <c r="F7" s="154" t="s">
        <v>394</v>
      </c>
      <c r="G7" s="154">
        <v>3.8087226157008588E-3</v>
      </c>
    </row>
    <row r="8" spans="1:13">
      <c r="A8" s="154" t="s">
        <v>415</v>
      </c>
      <c r="B8" s="154">
        <v>1.5</v>
      </c>
      <c r="C8" s="154" t="s">
        <v>392</v>
      </c>
      <c r="D8" s="154">
        <v>3.3256032374711003E-2</v>
      </c>
      <c r="F8" s="154" t="s">
        <v>391</v>
      </c>
      <c r="G8" s="154">
        <v>3.7155189416216029E-3</v>
      </c>
    </row>
    <row r="9" spans="1:13">
      <c r="A9" s="154" t="s">
        <v>414</v>
      </c>
      <c r="B9" s="154">
        <v>2</v>
      </c>
      <c r="C9" s="154" t="s">
        <v>389</v>
      </c>
      <c r="D9" s="154">
        <v>3.6798786458911582E-2</v>
      </c>
      <c r="F9" s="154" t="s">
        <v>388</v>
      </c>
      <c r="G9" s="154">
        <v>3.6244682055371551E-3</v>
      </c>
    </row>
    <row r="10" spans="1:13">
      <c r="A10" s="154" t="s">
        <v>413</v>
      </c>
      <c r="B10" s="154">
        <v>2.5</v>
      </c>
      <c r="C10" s="154" t="s">
        <v>386</v>
      </c>
      <c r="D10" s="154">
        <v>4.0492356948106399E-2</v>
      </c>
      <c r="F10" s="154" t="s">
        <v>385</v>
      </c>
      <c r="G10" s="154">
        <v>3.5355690108188039E-3</v>
      </c>
    </row>
    <row r="11" spans="1:13">
      <c r="A11" s="154" t="s">
        <v>412</v>
      </c>
      <c r="B11" s="154">
        <v>3</v>
      </c>
      <c r="C11" s="154" t="s">
        <v>383</v>
      </c>
      <c r="D11" s="154">
        <v>4.6739408616701443E-2</v>
      </c>
      <c r="F11" s="154" t="s">
        <v>382</v>
      </c>
      <c r="G11" s="154">
        <v>3.4487950654828229E-3</v>
      </c>
    </row>
    <row r="12" spans="1:13">
      <c r="A12" s="154" t="s">
        <v>411</v>
      </c>
      <c r="B12" s="154">
        <v>3.5</v>
      </c>
      <c r="C12" s="154" t="s">
        <v>380</v>
      </c>
      <c r="D12" s="154">
        <v>5.1012449003478927E-2</v>
      </c>
      <c r="F12" s="154" t="s">
        <v>379</v>
      </c>
      <c r="G12" s="154">
        <v>3.3641100042021105E-3</v>
      </c>
    </row>
    <row r="13" spans="1:13">
      <c r="A13" s="154" t="s">
        <v>410</v>
      </c>
      <c r="B13" s="154">
        <v>4</v>
      </c>
    </row>
    <row r="14" spans="1:13">
      <c r="C14" s="154" t="s">
        <v>377</v>
      </c>
      <c r="D14" s="154">
        <v>0.70710678118654757</v>
      </c>
    </row>
    <row r="16" spans="1:13">
      <c r="C16" s="154" t="s">
        <v>376</v>
      </c>
      <c r="D16" s="154">
        <v>2.7605436300388135E-3</v>
      </c>
      <c r="F16" s="167" t="s">
        <v>356</v>
      </c>
      <c r="G16" s="167"/>
      <c r="H16" s="167"/>
      <c r="I16" s="167"/>
      <c r="J16" s="167"/>
      <c r="K16" s="167"/>
      <c r="L16" s="167"/>
      <c r="M16" s="167"/>
    </row>
    <row r="17" spans="3:13">
      <c r="C17" s="154" t="s">
        <v>374</v>
      </c>
      <c r="D17" s="154">
        <v>2.6931735892206424E-3</v>
      </c>
      <c r="F17" s="167"/>
      <c r="G17" s="167"/>
      <c r="H17" s="167"/>
      <c r="I17" s="167"/>
      <c r="J17" s="167"/>
      <c r="K17" s="167"/>
      <c r="L17" s="167"/>
      <c r="M17" s="167">
        <v>5.1012449003478927E-2</v>
      </c>
    </row>
    <row r="18" spans="3:13">
      <c r="C18" s="154" t="s">
        <v>373</v>
      </c>
      <c r="D18" s="154">
        <v>2.6272686392476994E-3</v>
      </c>
      <c r="F18" s="167"/>
      <c r="G18" s="167"/>
      <c r="H18" s="167"/>
      <c r="I18" s="167"/>
      <c r="J18" s="167"/>
      <c r="K18" s="167"/>
      <c r="L18" s="167">
        <v>4.6739408616701443E-2</v>
      </c>
      <c r="M18" s="167"/>
    </row>
    <row r="19" spans="3:13">
      <c r="C19" s="154" t="s">
        <v>372</v>
      </c>
      <c r="D19" s="154">
        <v>2.56288604633036E-3</v>
      </c>
      <c r="F19" s="167"/>
      <c r="G19" s="167"/>
      <c r="H19" s="167"/>
      <c r="I19" s="167"/>
      <c r="J19" s="167"/>
      <c r="K19" s="167">
        <v>4.0492356948106399E-2</v>
      </c>
      <c r="L19" s="167"/>
      <c r="M19" s="167">
        <v>4.6254879010221295E-2</v>
      </c>
    </row>
    <row r="20" spans="3:13">
      <c r="C20" s="154" t="s">
        <v>371</v>
      </c>
      <c r="D20" s="154">
        <v>2.5000248229029905E-3</v>
      </c>
      <c r="F20" s="167"/>
      <c r="G20" s="167"/>
      <c r="H20" s="167"/>
      <c r="I20" s="167"/>
      <c r="J20" s="167">
        <v>3.6798786458911582E-2</v>
      </c>
      <c r="K20" s="167"/>
      <c r="L20" s="167">
        <v>4.1862075861250229E-2</v>
      </c>
      <c r="M20" s="167"/>
    </row>
    <row r="21" spans="3:13">
      <c r="C21" s="154" t="s">
        <v>370</v>
      </c>
      <c r="D21" s="154">
        <v>2.4386663777256077E-3</v>
      </c>
      <c r="F21" s="167"/>
      <c r="G21" s="167"/>
      <c r="H21" s="167"/>
      <c r="I21" s="167">
        <v>3.3256032374711003E-2</v>
      </c>
      <c r="J21" s="167"/>
      <c r="K21" s="167">
        <v>3.5492307302300422E-2</v>
      </c>
      <c r="L21" s="167"/>
      <c r="M21" s="167">
        <v>4.1497309016963656E-2</v>
      </c>
    </row>
    <row r="22" spans="3:13">
      <c r="C22" s="154" t="s">
        <v>369</v>
      </c>
      <c r="D22" s="154">
        <v>2.3787849966288173E-3</v>
      </c>
      <c r="F22" s="167"/>
      <c r="G22" s="167"/>
      <c r="H22" s="167">
        <v>2.9010273926042711E-2</v>
      </c>
      <c r="I22" s="167"/>
      <c r="J22" s="167">
        <v>3.1673014366250862E-2</v>
      </c>
      <c r="K22" s="167"/>
      <c r="L22" s="167">
        <v>3.6984743105799009E-2</v>
      </c>
      <c r="M22" s="167"/>
    </row>
    <row r="23" spans="3:13">
      <c r="F23" s="167"/>
      <c r="G23" s="167">
        <v>2.570336893541373E-2</v>
      </c>
      <c r="H23" s="167"/>
      <c r="I23" s="167">
        <v>2.8001495096215606E-2</v>
      </c>
      <c r="J23" s="167"/>
      <c r="K23" s="167">
        <v>3.0492257656494437E-2</v>
      </c>
      <c r="L23" s="167"/>
      <c r="M23" s="167">
        <v>3.6739739023706024E-2</v>
      </c>
    </row>
    <row r="24" spans="3:13">
      <c r="F24" s="167">
        <v>1.848516313288975E-2</v>
      </c>
      <c r="G24" s="167"/>
      <c r="H24" s="167">
        <v>2.3623926747601425E-2</v>
      </c>
      <c r="I24" s="167"/>
      <c r="J24" s="167">
        <v>2.6547242273590142E-2</v>
      </c>
      <c r="K24" s="167"/>
      <c r="L24" s="167">
        <v>3.2107410350347795E-2</v>
      </c>
      <c r="M24" s="167"/>
    </row>
    <row r="25" spans="3:13">
      <c r="C25" s="154" t="s">
        <v>368</v>
      </c>
      <c r="D25" s="154">
        <v>0.01</v>
      </c>
      <c r="F25" s="167"/>
      <c r="G25" s="167">
        <v>2.0182281675336103E-2</v>
      </c>
      <c r="H25" s="167"/>
      <c r="I25" s="167">
        <v>2.2746957817720206E-2</v>
      </c>
      <c r="J25" s="167"/>
      <c r="K25" s="167">
        <v>2.5492208010688456E-2</v>
      </c>
      <c r="L25" s="167"/>
      <c r="M25" s="167">
        <v>3.1982169030448385E-2</v>
      </c>
    </row>
    <row r="26" spans="3:13">
      <c r="F26" s="167"/>
      <c r="G26" s="167"/>
      <c r="H26" s="167">
        <v>1.8237579569160139E-2</v>
      </c>
      <c r="I26" s="167"/>
      <c r="J26" s="167">
        <v>2.1421470180929422E-2</v>
      </c>
      <c r="K26" s="167"/>
      <c r="L26" s="167">
        <v>2.7230077594896582E-2</v>
      </c>
      <c r="M26" s="167"/>
    </row>
    <row r="27" spans="3:13">
      <c r="F27" s="167"/>
      <c r="G27" s="167"/>
      <c r="H27" s="167"/>
      <c r="I27" s="167">
        <v>1.7492420539224805E-2</v>
      </c>
      <c r="J27" s="167"/>
      <c r="K27" s="167">
        <v>2.0492158364882475E-2</v>
      </c>
      <c r="L27" s="167"/>
      <c r="M27" s="167">
        <v>2.7224599037190753E-2</v>
      </c>
    </row>
    <row r="28" spans="3:13">
      <c r="F28" s="167"/>
      <c r="G28" s="167"/>
      <c r="H28" s="167"/>
      <c r="I28" s="167"/>
      <c r="J28" s="167">
        <v>1.6295698088268702E-2</v>
      </c>
      <c r="K28" s="167"/>
      <c r="L28" s="167">
        <v>2.2352744839445368E-2</v>
      </c>
      <c r="M28" s="167"/>
    </row>
    <row r="29" spans="3:13">
      <c r="F29" s="167"/>
      <c r="G29" s="167"/>
      <c r="H29" s="167"/>
      <c r="I29" s="167"/>
      <c r="J29" s="167"/>
      <c r="K29" s="167">
        <v>1.5492108719076494E-2</v>
      </c>
      <c r="L29" s="167"/>
      <c r="M29" s="167">
        <v>2.2467029043933121E-2</v>
      </c>
    </row>
    <row r="30" spans="3:13">
      <c r="F30" s="167"/>
      <c r="G30" s="167"/>
      <c r="H30" s="167"/>
      <c r="I30" s="167"/>
      <c r="J30" s="167"/>
      <c r="K30" s="167"/>
      <c r="L30" s="167">
        <v>1.7475412083994151E-2</v>
      </c>
      <c r="M30" s="167"/>
    </row>
    <row r="31" spans="3:13">
      <c r="F31" s="167"/>
      <c r="G31" s="167"/>
      <c r="H31" s="167"/>
      <c r="I31" s="167"/>
      <c r="J31" s="167"/>
      <c r="K31" s="167"/>
      <c r="L31" s="167"/>
      <c r="M31" s="167">
        <v>1.7709459050675481E-2</v>
      </c>
    </row>
    <row r="36" spans="1:4" ht="14">
      <c r="A36" s="183" t="s">
        <v>433</v>
      </c>
      <c r="B36" s="183"/>
      <c r="C36" s="183"/>
      <c r="D36" s="183"/>
    </row>
    <row r="37" spans="1:4" ht="14">
      <c r="A37" s="208"/>
      <c r="B37" s="209"/>
      <c r="C37" s="209"/>
      <c r="D37" s="210"/>
    </row>
    <row r="38" spans="1:4" ht="14">
      <c r="A38" s="183" t="s">
        <v>432</v>
      </c>
      <c r="B38" s="183"/>
      <c r="C38" s="183"/>
      <c r="D38" s="183"/>
    </row>
    <row r="39" spans="1:4" ht="14">
      <c r="A39" s="183"/>
      <c r="B39" s="183"/>
      <c r="C39" s="183"/>
      <c r="D39" s="183"/>
    </row>
    <row r="40" spans="1:4" ht="14">
      <c r="A40" s="183" t="s">
        <v>431</v>
      </c>
      <c r="B40" s="183">
        <v>4.8000879438227395E-2</v>
      </c>
      <c r="C40" s="183" t="s">
        <v>430</v>
      </c>
      <c r="D40" s="183">
        <v>8.9153243449703323E-3</v>
      </c>
    </row>
    <row r="41" spans="1:4" ht="14">
      <c r="A41" s="183" t="s">
        <v>429</v>
      </c>
      <c r="B41" s="183">
        <v>4.8809256325518691E-2</v>
      </c>
      <c r="C41" s="183" t="s">
        <v>428</v>
      </c>
      <c r="D41" s="183">
        <v>2.4820251256146607E-3</v>
      </c>
    </row>
    <row r="42" spans="1:4" ht="14">
      <c r="A42" s="183" t="s">
        <v>427</v>
      </c>
      <c r="B42" s="183">
        <v>4.8942222095690768E-2</v>
      </c>
      <c r="C42" s="183" t="s">
        <v>426</v>
      </c>
      <c r="D42" s="183">
        <v>4.6568068883863951E-3</v>
      </c>
    </row>
    <row r="43" spans="1:4" ht="14">
      <c r="A43" s="183" t="s">
        <v>425</v>
      </c>
      <c r="B43" s="183">
        <v>4.9011046647879253E-2</v>
      </c>
      <c r="C43" s="183" t="s">
        <v>424</v>
      </c>
      <c r="D43" s="183">
        <v>3.5896490297807819E-3</v>
      </c>
    </row>
    <row r="44" spans="1:4" ht="14">
      <c r="A44" s="183" t="s">
        <v>423</v>
      </c>
      <c r="B44" s="183">
        <v>4.9055028035582371E-2</v>
      </c>
      <c r="C44" s="183" t="s">
        <v>422</v>
      </c>
      <c r="D44" s="183">
        <v>4.1922568340010662E-3</v>
      </c>
    </row>
    <row r="45" spans="1:4" ht="14">
      <c r="A45" s="183" t="s">
        <v>421</v>
      </c>
      <c r="B45" s="183">
        <v>4.9086268756431295E-2</v>
      </c>
      <c r="C45" s="183" t="s">
        <v>420</v>
      </c>
      <c r="D45" s="183">
        <v>9.604389297474876E-3</v>
      </c>
    </row>
    <row r="46" spans="1:4" ht="14">
      <c r="A46" s="183" t="s">
        <v>419</v>
      </c>
      <c r="B46" s="183">
        <v>4.910994110858069E-2</v>
      </c>
      <c r="C46" s="183" t="s">
        <v>418</v>
      </c>
      <c r="D46" s="183">
        <v>6.0838803849134291E-3</v>
      </c>
    </row>
  </sheetData>
  <mergeCells count="1">
    <mergeCell ref="A37:D37"/>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N58"/>
  <sheetViews>
    <sheetView topLeftCell="F1" workbookViewId="0">
      <selection activeCell="F54" sqref="F54"/>
    </sheetView>
  </sheetViews>
  <sheetFormatPr baseColWidth="10" defaultColWidth="8.6640625" defaultRowHeight="13"/>
  <cols>
    <col min="1" max="2" width="8.6640625" style="154"/>
    <col min="3" max="3" width="14.83203125" style="156" customWidth="1"/>
    <col min="4" max="4" width="8.5" style="155" customWidth="1"/>
    <col min="5" max="5" width="7.83203125" style="155" customWidth="1"/>
    <col min="6" max="6" width="12.5" style="154" bestFit="1" customWidth="1"/>
    <col min="7" max="7" width="10.5" style="154" customWidth="1"/>
    <col min="8" max="8" width="9.83203125" style="154" customWidth="1"/>
    <col min="9" max="9" width="10.5" style="154" customWidth="1"/>
    <col min="10" max="10" width="8.6640625" style="154"/>
    <col min="11" max="11" width="13.1640625" style="154" bestFit="1" customWidth="1"/>
    <col min="12" max="16384" width="8.6640625" style="154"/>
  </cols>
  <sheetData>
    <row r="2" spans="1:7" ht="14">
      <c r="A2" s="207" t="s">
        <v>442</v>
      </c>
      <c r="B2" s="207"/>
      <c r="C2" s="207"/>
    </row>
    <row r="3" spans="1:7">
      <c r="C3" s="154"/>
    </row>
    <row r="4" spans="1:7">
      <c r="C4" s="159" t="s">
        <v>400</v>
      </c>
      <c r="D4" s="155">
        <v>4.0000000000000001E-3</v>
      </c>
    </row>
    <row r="5" spans="1:7">
      <c r="C5" s="159" t="s">
        <v>397</v>
      </c>
      <c r="F5" s="165" t="s">
        <v>400</v>
      </c>
      <c r="G5" s="154">
        <v>4.0000000000000001E-3</v>
      </c>
    </row>
    <row r="6" spans="1:7">
      <c r="C6" s="159"/>
      <c r="F6" s="165"/>
    </row>
    <row r="7" spans="1:7" ht="14">
      <c r="A7" s="165" t="s">
        <v>399</v>
      </c>
      <c r="B7" s="154">
        <v>0.5</v>
      </c>
      <c r="C7" s="156" t="s">
        <v>398</v>
      </c>
      <c r="D7" s="156">
        <v>2.3004237610612342E-2</v>
      </c>
      <c r="F7" s="165" t="s">
        <v>397</v>
      </c>
      <c r="G7" s="154">
        <f t="shared" ref="G7:G13" si="0">$G$5*(1+0.001*SQRT(B7))*EXP(-0.05*B7)</f>
        <v>3.9039982411235453E-3</v>
      </c>
    </row>
    <row r="8" spans="1:7" ht="14">
      <c r="A8" s="165" t="s">
        <v>396</v>
      </c>
      <c r="B8" s="154">
        <v>1</v>
      </c>
      <c r="C8" s="156" t="s">
        <v>395</v>
      </c>
      <c r="D8" s="156">
        <v>2.3747700401668376E-2</v>
      </c>
      <c r="F8" s="165" t="s">
        <v>394</v>
      </c>
      <c r="G8" s="154">
        <f t="shared" si="0"/>
        <v>3.8087226157008588E-3</v>
      </c>
    </row>
    <row r="9" spans="1:7" ht="14">
      <c r="A9" s="165" t="s">
        <v>393</v>
      </c>
      <c r="B9" s="154">
        <v>1.5</v>
      </c>
      <c r="C9" s="159" t="s">
        <v>392</v>
      </c>
      <c r="D9" s="156">
        <v>2.5567322375367109E-2</v>
      </c>
      <c r="F9" s="165" t="s">
        <v>391</v>
      </c>
      <c r="G9" s="154">
        <f>$G$5*(1+0.001*SQRT(B9))*EXP(-0.05*B9)</f>
        <v>3.7155189416216029E-3</v>
      </c>
    </row>
    <row r="10" spans="1:7" ht="14">
      <c r="A10" s="165" t="s">
        <v>390</v>
      </c>
      <c r="B10" s="154">
        <v>2</v>
      </c>
      <c r="C10" s="159" t="s">
        <v>389</v>
      </c>
      <c r="D10" s="156">
        <v>2.6813968960031777E-2</v>
      </c>
      <c r="F10" s="165" t="s">
        <v>388</v>
      </c>
      <c r="G10" s="154">
        <f>$G$5*(1+0.001*SQRT(B10))*EXP(-0.05*B10)</f>
        <v>3.6244682055371551E-3</v>
      </c>
    </row>
    <row r="11" spans="1:7" ht="14">
      <c r="A11" s="165" t="s">
        <v>387</v>
      </c>
      <c r="B11" s="154">
        <v>2.5</v>
      </c>
      <c r="C11" s="159" t="s">
        <v>386</v>
      </c>
      <c r="D11" s="156">
        <v>2.8324225628191996E-2</v>
      </c>
      <c r="F11" s="165" t="s">
        <v>385</v>
      </c>
      <c r="G11" s="154">
        <f t="shared" si="0"/>
        <v>3.5355690108188039E-3</v>
      </c>
    </row>
    <row r="12" spans="1:7" ht="14">
      <c r="A12" s="165" t="s">
        <v>384</v>
      </c>
      <c r="B12" s="154">
        <v>3</v>
      </c>
      <c r="C12" s="159" t="s">
        <v>383</v>
      </c>
      <c r="D12" s="156">
        <v>3.2553335789395815E-2</v>
      </c>
      <c r="F12" s="165" t="s">
        <v>382</v>
      </c>
      <c r="G12" s="154">
        <f t="shared" si="0"/>
        <v>3.4487950654828229E-3</v>
      </c>
    </row>
    <row r="13" spans="1:7" ht="14">
      <c r="A13" s="165" t="s">
        <v>381</v>
      </c>
      <c r="B13" s="154">
        <v>3.5</v>
      </c>
      <c r="C13" s="159" t="s">
        <v>380</v>
      </c>
      <c r="D13" s="156">
        <v>3.4958564117177592E-2</v>
      </c>
      <c r="F13" s="165" t="s">
        <v>379</v>
      </c>
      <c r="G13" s="154">
        <f t="shared" si="0"/>
        <v>3.3641100042021105E-3</v>
      </c>
    </row>
    <row r="14" spans="1:7" ht="14">
      <c r="A14" s="165" t="s">
        <v>378</v>
      </c>
      <c r="B14" s="154">
        <v>4</v>
      </c>
      <c r="C14" s="159"/>
      <c r="D14" s="156"/>
      <c r="F14" s="165"/>
    </row>
    <row r="15" spans="1:7">
      <c r="C15" s="159" t="s">
        <v>377</v>
      </c>
      <c r="D15" s="156">
        <f>SQRT(0.5)</f>
        <v>0.70710678118654757</v>
      </c>
    </row>
    <row r="16" spans="1:7">
      <c r="C16" s="159"/>
      <c r="D16" s="156"/>
    </row>
    <row r="17" spans="3:40">
      <c r="C17" s="156" t="s">
        <v>376</v>
      </c>
      <c r="D17" s="156">
        <f t="shared" ref="D17:D23" si="1">G7*SQRT(0.5)</f>
        <v>2.7605436300388135E-3</v>
      </c>
      <c r="F17" s="174" t="s">
        <v>439</v>
      </c>
      <c r="G17" s="167"/>
      <c r="H17" s="167"/>
      <c r="I17" s="167"/>
      <c r="J17" s="167"/>
      <c r="K17" s="167"/>
      <c r="L17" s="167"/>
      <c r="M17" s="167"/>
      <c r="O17" s="178" t="s">
        <v>356</v>
      </c>
      <c r="P17" s="170"/>
      <c r="Q17" s="170"/>
      <c r="R17" s="170"/>
      <c r="S17" s="170"/>
      <c r="T17" s="170"/>
      <c r="U17" s="170"/>
      <c r="V17" s="170"/>
      <c r="X17" s="169" t="s">
        <v>357</v>
      </c>
      <c r="Y17" s="169"/>
      <c r="Z17" s="169"/>
      <c r="AA17" s="169"/>
      <c r="AB17" s="169"/>
      <c r="AC17" s="169"/>
      <c r="AD17" s="169"/>
      <c r="AE17" s="169"/>
      <c r="AG17" s="165" t="s">
        <v>375</v>
      </c>
    </row>
    <row r="18" spans="3:40">
      <c r="C18" s="159" t="s">
        <v>374</v>
      </c>
      <c r="D18" s="156">
        <f t="shared" si="1"/>
        <v>2.6931735892206424E-3</v>
      </c>
      <c r="F18" s="175"/>
      <c r="G18" s="167"/>
      <c r="H18" s="167"/>
      <c r="I18" s="167"/>
      <c r="J18" s="167"/>
      <c r="K18" s="167"/>
      <c r="L18" s="167"/>
      <c r="M18" s="176">
        <f>LN(D13)</f>
        <v>-3.3535918012013992</v>
      </c>
      <c r="N18" s="156"/>
      <c r="O18" s="166"/>
      <c r="P18" s="166"/>
      <c r="Q18" s="166"/>
      <c r="R18" s="166"/>
      <c r="S18" s="166"/>
      <c r="T18" s="166"/>
      <c r="U18" s="166"/>
      <c r="V18" s="170">
        <f>EXP(M18)</f>
        <v>3.4958564117177585E-2</v>
      </c>
      <c r="W18" s="156"/>
      <c r="X18" s="169"/>
      <c r="Y18" s="169"/>
      <c r="Z18" s="169"/>
      <c r="AA18" s="169"/>
      <c r="AB18" s="169"/>
      <c r="AC18" s="169"/>
      <c r="AD18" s="169"/>
      <c r="AE18" s="169">
        <f>EXP(-0.5*V18)</f>
        <v>0.98267259440741417</v>
      </c>
      <c r="AN18" s="154">
        <f>0.5*AM19</f>
        <v>7.8125E-3</v>
      </c>
    </row>
    <row r="19" spans="3:40">
      <c r="C19" s="165" t="s">
        <v>373</v>
      </c>
      <c r="D19" s="156">
        <f t="shared" si="1"/>
        <v>2.6272686392476994E-3</v>
      </c>
      <c r="F19" s="167"/>
      <c r="G19" s="167"/>
      <c r="H19" s="167"/>
      <c r="I19" s="167"/>
      <c r="J19" s="167"/>
      <c r="K19" s="167"/>
      <c r="L19" s="176">
        <f>LN(D12)</f>
        <v>-3.4248754335693929</v>
      </c>
      <c r="M19" s="167"/>
      <c r="O19" s="170"/>
      <c r="P19" s="170"/>
      <c r="Q19" s="170"/>
      <c r="R19" s="170"/>
      <c r="S19" s="170"/>
      <c r="T19" s="170"/>
      <c r="U19" s="170">
        <f>EXP(L19)</f>
        <v>3.2553335789395822E-2</v>
      </c>
      <c r="V19" s="170"/>
      <c r="X19" s="169"/>
      <c r="Y19" s="169"/>
      <c r="Z19" s="169"/>
      <c r="AA19" s="169"/>
      <c r="AB19" s="169"/>
      <c r="AC19" s="169"/>
      <c r="AD19" s="169">
        <f>EXP(-0.5*U19)</f>
        <v>0.98385508128313126</v>
      </c>
      <c r="AE19" s="169"/>
      <c r="AM19" s="154">
        <f>0.5*AL20</f>
        <v>1.5625E-2</v>
      </c>
    </row>
    <row r="20" spans="3:40">
      <c r="C20" s="165" t="s">
        <v>372</v>
      </c>
      <c r="D20" s="156">
        <f t="shared" si="1"/>
        <v>2.56288604633036E-3</v>
      </c>
      <c r="F20" s="167"/>
      <c r="G20" s="167"/>
      <c r="H20" s="167"/>
      <c r="I20" s="167"/>
      <c r="J20" s="167"/>
      <c r="K20" s="176">
        <f>LN(D11)</f>
        <v>-3.5640378112522999</v>
      </c>
      <c r="L20" s="167"/>
      <c r="M20" s="167">
        <f>$M$18-2*D23</f>
        <v>-3.3583493711946568</v>
      </c>
      <c r="O20" s="170"/>
      <c r="P20" s="170"/>
      <c r="Q20" s="170"/>
      <c r="R20" s="170"/>
      <c r="S20" s="170"/>
      <c r="T20" s="170">
        <f>EXP(K20)</f>
        <v>2.8324225628192E-2</v>
      </c>
      <c r="U20" s="170"/>
      <c r="V20" s="170">
        <f>EXP(M20)</f>
        <v>3.4792641309177086E-2</v>
      </c>
      <c r="X20" s="169"/>
      <c r="Y20" s="169"/>
      <c r="Z20" s="169"/>
      <c r="AA20" s="169"/>
      <c r="AB20" s="169"/>
      <c r="AC20" s="169">
        <f>EXP(-0.5*T20)</f>
        <v>0.98593769817188814</v>
      </c>
      <c r="AD20" s="169"/>
      <c r="AE20" s="169">
        <f>EXP(-0.5*V20)</f>
        <v>0.98275412168728082</v>
      </c>
      <c r="AL20" s="154">
        <f>0.5*AK21</f>
        <v>3.125E-2</v>
      </c>
      <c r="AN20" s="154">
        <f>7*AN18</f>
        <v>5.46875E-2</v>
      </c>
    </row>
    <row r="21" spans="3:40">
      <c r="C21" s="165" t="s">
        <v>371</v>
      </c>
      <c r="D21" s="156">
        <f t="shared" si="1"/>
        <v>2.5000248229029905E-3</v>
      </c>
      <c r="F21" s="167"/>
      <c r="G21" s="167"/>
      <c r="H21" s="167"/>
      <c r="I21" s="167"/>
      <c r="J21" s="176">
        <f>LN(D10)</f>
        <v>-3.618832297406489</v>
      </c>
      <c r="K21" s="167"/>
      <c r="L21" s="167">
        <f>L19-2*$D$22</f>
        <v>-3.4297527663248442</v>
      </c>
      <c r="M21" s="167"/>
      <c r="O21" s="170"/>
      <c r="P21" s="170"/>
      <c r="Q21" s="170"/>
      <c r="R21" s="170"/>
      <c r="S21" s="170">
        <f>EXP(J21)</f>
        <v>2.681396896003178E-2</v>
      </c>
      <c r="T21" s="170"/>
      <c r="U21" s="170">
        <f>EXP(L21)</f>
        <v>3.2394948905200581E-2</v>
      </c>
      <c r="V21" s="170"/>
      <c r="X21" s="169"/>
      <c r="Y21" s="169"/>
      <c r="Z21" s="169"/>
      <c r="AA21" s="169"/>
      <c r="AB21" s="169">
        <f>EXP(-0.5*S21)</f>
        <v>0.98668248883429044</v>
      </c>
      <c r="AC21" s="169"/>
      <c r="AD21" s="169">
        <f>EXP(-0.5*U21)</f>
        <v>0.98393299923879807</v>
      </c>
      <c r="AE21" s="169"/>
      <c r="AK21" s="154">
        <f>0.5*AJ22</f>
        <v>6.25E-2</v>
      </c>
      <c r="AM21" s="154">
        <f>6*AM19</f>
        <v>9.375E-2</v>
      </c>
    </row>
    <row r="22" spans="3:40">
      <c r="C22" s="165" t="s">
        <v>370</v>
      </c>
      <c r="D22" s="156">
        <f t="shared" si="1"/>
        <v>2.4386663777256077E-3</v>
      </c>
      <c r="F22" s="167"/>
      <c r="G22" s="167"/>
      <c r="H22" s="167"/>
      <c r="I22" s="176">
        <f>LN(D9)</f>
        <v>-3.6664402125902527</v>
      </c>
      <c r="J22" s="167"/>
      <c r="K22" s="167">
        <f>K20-2*$D$21</f>
        <v>-3.5690378608981059</v>
      </c>
      <c r="L22" s="167"/>
      <c r="M22" s="167">
        <f>M18-4*D23</f>
        <v>-3.3631069411879144</v>
      </c>
      <c r="O22" s="170"/>
      <c r="P22" s="170"/>
      <c r="Q22" s="170"/>
      <c r="R22" s="170">
        <f>EXP(I22)</f>
        <v>2.5567322375367109E-2</v>
      </c>
      <c r="S22" s="170"/>
      <c r="T22" s="170">
        <f>EXP(K22)</f>
        <v>2.81829565643546E-2</v>
      </c>
      <c r="U22" s="170"/>
      <c r="V22" s="170">
        <f>EXP(M22)</f>
        <v>3.4627506015735887E-2</v>
      </c>
      <c r="X22" s="169"/>
      <c r="Y22" s="169"/>
      <c r="Z22" s="169"/>
      <c r="AA22" s="169">
        <f>EXP(-0.5*R22)</f>
        <v>0.98729770273037365</v>
      </c>
      <c r="AB22" s="169"/>
      <c r="AC22" s="169">
        <f>EXP(-0.5*T22)</f>
        <v>0.98600734187929595</v>
      </c>
      <c r="AD22" s="169"/>
      <c r="AE22" s="169">
        <f>EXP(-0.5*V22)</f>
        <v>0.98283526873242766</v>
      </c>
      <c r="AJ22" s="154">
        <f>0.5*0.5*0.5</f>
        <v>0.125</v>
      </c>
      <c r="AL22" s="154">
        <f>5*AL20</f>
        <v>0.15625</v>
      </c>
      <c r="AN22" s="154">
        <f>21*AN18</f>
        <v>0.1640625</v>
      </c>
    </row>
    <row r="23" spans="3:40">
      <c r="C23" s="165" t="s">
        <v>369</v>
      </c>
      <c r="D23" s="156">
        <f t="shared" si="1"/>
        <v>2.3787849966288173E-3</v>
      </c>
      <c r="F23" s="171"/>
      <c r="G23" s="171"/>
      <c r="H23" s="171">
        <f>LN(D8)</f>
        <v>-3.740269578382259</v>
      </c>
      <c r="I23" s="167"/>
      <c r="J23" s="167">
        <f>J21-2*$D$20</f>
        <v>-3.6239580694991496</v>
      </c>
      <c r="K23" s="167"/>
      <c r="L23" s="167">
        <f>L19-4*$D$22</f>
        <v>-3.4346300990802954</v>
      </c>
      <c r="M23" s="167"/>
      <c r="O23" s="170"/>
      <c r="P23" s="170"/>
      <c r="Q23" s="170">
        <f>EXP(H23)</f>
        <v>2.3747700401668372E-2</v>
      </c>
      <c r="R23" s="170"/>
      <c r="S23" s="170">
        <f>EXP(J23)</f>
        <v>2.6676878314101097E-2</v>
      </c>
      <c r="T23" s="170"/>
      <c r="U23" s="170">
        <f>EXP(L23)</f>
        <v>3.2237332645719423E-2</v>
      </c>
      <c r="V23" s="170"/>
      <c r="X23" s="169"/>
      <c r="Y23" s="169"/>
      <c r="Z23" s="169">
        <f>EXP(-0.5*Q23)</f>
        <v>0.98819636577237402</v>
      </c>
      <c r="AA23" s="169"/>
      <c r="AB23" s="169">
        <f>EXP(-0.5*S23)</f>
        <v>0.98675012362214953</v>
      </c>
      <c r="AC23" s="169"/>
      <c r="AD23" s="169">
        <f>EXP(-0.5*U23)</f>
        <v>0.98401054421380529</v>
      </c>
      <c r="AE23" s="169"/>
      <c r="AI23" s="165">
        <f>0.5*0.5</f>
        <v>0.25</v>
      </c>
      <c r="AK23" s="154">
        <f>4*AK21</f>
        <v>0.25</v>
      </c>
      <c r="AM23" s="154">
        <f>15*AM19</f>
        <v>0.234375</v>
      </c>
    </row>
    <row r="24" spans="3:40">
      <c r="C24" s="165"/>
      <c r="D24" s="156"/>
      <c r="F24" s="171"/>
      <c r="G24" s="171">
        <f>LN(D7)</f>
        <v>-3.7720768360841506</v>
      </c>
      <c r="H24" s="171"/>
      <c r="I24" s="171">
        <f>I22-2*D19</f>
        <v>-3.671694749868748</v>
      </c>
      <c r="J24" s="167"/>
      <c r="K24" s="167">
        <f>K20-4*$D$21</f>
        <v>-3.574037910543912</v>
      </c>
      <c r="L24" s="167"/>
      <c r="M24" s="167">
        <f>M18-6*D23</f>
        <v>-3.367864511181172</v>
      </c>
      <c r="O24" s="170"/>
      <c r="P24" s="170">
        <f>EXP(G24)</f>
        <v>2.3004237610612339E-2</v>
      </c>
      <c r="Q24" s="170"/>
      <c r="R24" s="170">
        <f>EXP(I24)</f>
        <v>2.5433330268390175E-2</v>
      </c>
      <c r="S24" s="170"/>
      <c r="T24" s="170">
        <f>EXP(K24)</f>
        <v>2.8042392089890959E-2</v>
      </c>
      <c r="U24" s="170"/>
      <c r="V24" s="170">
        <f>EXP(M24)</f>
        <v>3.4463154499096732E-2</v>
      </c>
      <c r="X24" s="169"/>
      <c r="Y24" s="169">
        <f>EXP(-0.5*P24)</f>
        <v>0.98856377767151637</v>
      </c>
      <c r="Z24" s="169"/>
      <c r="AA24" s="169">
        <f>EXP(-0.5*R24)</f>
        <v>0.98736384999585303</v>
      </c>
      <c r="AB24" s="169"/>
      <c r="AC24" s="169">
        <f>EXP(-0.5*T24)</f>
        <v>0.98607664311650467</v>
      </c>
      <c r="AD24" s="169"/>
      <c r="AE24" s="169">
        <f>EXP(-0.5*V24)</f>
        <v>0.98291603728450205</v>
      </c>
      <c r="AH24" s="154">
        <v>0.5</v>
      </c>
      <c r="AJ24" s="154">
        <f>3*AJ22</f>
        <v>0.375</v>
      </c>
      <c r="AL24" s="154">
        <f>10*AL20</f>
        <v>0.3125</v>
      </c>
      <c r="AN24" s="165">
        <f>35*AN18</f>
        <v>0.2734375</v>
      </c>
    </row>
    <row r="25" spans="3:40">
      <c r="F25" s="172">
        <f>LN(D26)</f>
        <v>-3.9907868830691338</v>
      </c>
      <c r="G25" s="171"/>
      <c r="H25" s="171">
        <f>H23-2*D18</f>
        <v>-3.7456559255607003</v>
      </c>
      <c r="I25" s="167"/>
      <c r="J25" s="167">
        <f>J21-4*$D$20</f>
        <v>-3.6290838415918105</v>
      </c>
      <c r="K25" s="167"/>
      <c r="L25" s="167">
        <f>$L$19-6*$D$22</f>
        <v>-3.4395074318357466</v>
      </c>
      <c r="M25" s="167"/>
      <c r="O25" s="170">
        <f>EXP(F25)</f>
        <v>1.8485162733864996E-2</v>
      </c>
      <c r="P25" s="170"/>
      <c r="Q25" s="170">
        <f>EXP(H25)</f>
        <v>2.3620130917808266E-2</v>
      </c>
      <c r="R25" s="170"/>
      <c r="S25" s="170">
        <f>EXP(J25)</f>
        <v>2.6540488565722338E-2</v>
      </c>
      <c r="T25" s="170"/>
      <c r="U25" s="170">
        <f>EXP(L25)</f>
        <v>3.2080483261510251E-2</v>
      </c>
      <c r="V25" s="170"/>
      <c r="X25" s="169">
        <f>EXP(-0.5*O25)</f>
        <v>0.99080000000000001</v>
      </c>
      <c r="Y25" s="169"/>
      <c r="Z25" s="169">
        <f>EXP(-0.5*Q25)</f>
        <v>0.98825939963281895</v>
      </c>
      <c r="AA25" s="169"/>
      <c r="AB25" s="169">
        <f>EXP(-0.5*S25)</f>
        <v>0.98681741721719929</v>
      </c>
      <c r="AC25" s="169"/>
      <c r="AD25" s="169">
        <f>EXP(-0.5*U25)</f>
        <v>0.98408771796388717</v>
      </c>
      <c r="AE25" s="169"/>
      <c r="AG25" s="154">
        <v>1</v>
      </c>
      <c r="AI25" s="154">
        <v>0.5</v>
      </c>
      <c r="AK25" s="154">
        <f>6*AK21</f>
        <v>0.375</v>
      </c>
      <c r="AM25" s="154">
        <f>20*AM19</f>
        <v>0.3125</v>
      </c>
    </row>
    <row r="26" spans="3:40">
      <c r="C26" s="159" t="s">
        <v>368</v>
      </c>
      <c r="D26" s="164">
        <v>1.8485162733864999E-2</v>
      </c>
      <c r="F26" s="171"/>
      <c r="G26" s="171">
        <f>G24-2*D17</f>
        <v>-3.7775979233442283</v>
      </c>
      <c r="H26" s="171"/>
      <c r="I26" s="167">
        <f>I22-4*$D$19</f>
        <v>-3.6769492871472433</v>
      </c>
      <c r="J26" s="167"/>
      <c r="K26" s="167">
        <f>K20-6*$D$21</f>
        <v>-3.579037960189718</v>
      </c>
      <c r="L26" s="167"/>
      <c r="M26" s="167">
        <f>M18-8*D23</f>
        <v>-3.3726220811744296</v>
      </c>
      <c r="O26" s="170"/>
      <c r="P26" s="170">
        <f>EXP(G26)</f>
        <v>2.2877579175287058E-2</v>
      </c>
      <c r="Q26" s="170"/>
      <c r="R26" s="170">
        <f>EXP(I26)</f>
        <v>2.5300040381398131E-2</v>
      </c>
      <c r="S26" s="170"/>
      <c r="T26" s="170">
        <f>EXP(K26)</f>
        <v>2.7902528690612105E-2</v>
      </c>
      <c r="U26" s="170"/>
      <c r="V26" s="170">
        <f>EXP(M26)</f>
        <v>3.4299583039242763E-2</v>
      </c>
      <c r="X26" s="169"/>
      <c r="Y26" s="169">
        <f>EXP(-0.5*P26)</f>
        <v>0.98862638462456975</v>
      </c>
      <c r="Z26" s="169"/>
      <c r="AA26" s="169">
        <f>EXP(-0.5*R26)</f>
        <v>0.98742965499660684</v>
      </c>
      <c r="AB26" s="169"/>
      <c r="AC26" s="169">
        <f>EXP(-0.5*T26)</f>
        <v>0.98614560354336434</v>
      </c>
      <c r="AD26" s="169"/>
      <c r="AE26" s="169">
        <f>EXP(-0.5*V26)</f>
        <v>0.9829964290774742</v>
      </c>
      <c r="AH26" s="154">
        <v>0.5</v>
      </c>
      <c r="AJ26" s="154">
        <f>AJ24</f>
        <v>0.375</v>
      </c>
      <c r="AL26" s="154">
        <f>AL24</f>
        <v>0.3125</v>
      </c>
      <c r="AN26" s="154">
        <f>AN24</f>
        <v>0.2734375</v>
      </c>
    </row>
    <row r="27" spans="3:40">
      <c r="F27" s="171"/>
      <c r="G27" s="171"/>
      <c r="H27" s="171">
        <f>H23-4*D18</f>
        <v>-3.7510422727391415</v>
      </c>
      <c r="I27" s="167"/>
      <c r="J27" s="167">
        <f>J21-6*$D$20</f>
        <v>-3.634209613684471</v>
      </c>
      <c r="K27" s="167"/>
      <c r="L27" s="167">
        <f>$L$19-8*$D$22</f>
        <v>-3.4443847645911978</v>
      </c>
      <c r="M27" s="167"/>
      <c r="O27" s="170"/>
      <c r="P27" s="170"/>
      <c r="Q27" s="170">
        <f>EXP(H27)</f>
        <v>2.3493246720225864E-2</v>
      </c>
      <c r="R27" s="170"/>
      <c r="S27" s="170">
        <f>EXP(J27)</f>
        <v>2.640479613144623E-2</v>
      </c>
      <c r="T27" s="170"/>
      <c r="U27" s="170">
        <f>EXP(L27)</f>
        <v>3.1924397021373743E-2</v>
      </c>
      <c r="V27" s="170"/>
      <c r="X27" s="169"/>
      <c r="Y27" s="169"/>
      <c r="Z27" s="169">
        <f>EXP(-0.5*Q27)</f>
        <v>0.98832209887214639</v>
      </c>
      <c r="AA27" s="169"/>
      <c r="AB27" s="169">
        <f>EXP(-0.5*S27)</f>
        <v>0.98688437131722895</v>
      </c>
      <c r="AC27" s="169"/>
      <c r="AD27" s="169">
        <f>EXP(-0.5*U27)</f>
        <v>0.9841645222368014</v>
      </c>
      <c r="AE27" s="169"/>
      <c r="AI27" s="154">
        <v>0.25</v>
      </c>
      <c r="AK27" s="154">
        <f>AK23</f>
        <v>0.25</v>
      </c>
      <c r="AM27" s="154">
        <f>AM23</f>
        <v>0.234375</v>
      </c>
    </row>
    <row r="28" spans="3:40">
      <c r="F28" s="167"/>
      <c r="G28" s="167"/>
      <c r="H28" s="167"/>
      <c r="I28" s="167">
        <f>I22-6*$D$19</f>
        <v>-3.6822038244257387</v>
      </c>
      <c r="J28" s="167"/>
      <c r="K28" s="167">
        <f>K20-8*$D$21</f>
        <v>-3.584038009835524</v>
      </c>
      <c r="L28" s="167"/>
      <c r="M28" s="167">
        <f>M18-10*D23</f>
        <v>-3.3773796511676872</v>
      </c>
      <c r="O28" s="170"/>
      <c r="P28" s="170"/>
      <c r="Q28" s="170"/>
      <c r="R28" s="170">
        <f>EXP(I28)</f>
        <v>2.5167449034227136E-2</v>
      </c>
      <c r="S28" s="170"/>
      <c r="T28" s="170">
        <f>EXP(K28)</f>
        <v>2.7763362869856336E-2</v>
      </c>
      <c r="U28" s="170"/>
      <c r="V28" s="170">
        <f>EXP(M28)</f>
        <v>3.4136787933813327E-2</v>
      </c>
      <c r="X28" s="169"/>
      <c r="Y28" s="169"/>
      <c r="Z28" s="169"/>
      <c r="AA28" s="169">
        <f>EXP(-0.5*R28)</f>
        <v>0.98749511948068525</v>
      </c>
      <c r="AB28" s="169"/>
      <c r="AC28" s="169">
        <f>EXP(-0.5*T28)</f>
        <v>0.98621422481192134</v>
      </c>
      <c r="AD28" s="169"/>
      <c r="AE28" s="169">
        <f>EXP(-0.5*V28)</f>
        <v>0.98307644583766851</v>
      </c>
      <c r="AJ28" s="154">
        <f>AJ22</f>
        <v>0.125</v>
      </c>
      <c r="AL28" s="154">
        <f>AL22</f>
        <v>0.15625</v>
      </c>
      <c r="AN28" s="154">
        <f>AN22</f>
        <v>0.1640625</v>
      </c>
    </row>
    <row r="29" spans="3:40">
      <c r="F29" s="167"/>
      <c r="G29" s="167"/>
      <c r="H29" s="167"/>
      <c r="I29" s="167"/>
      <c r="J29" s="167">
        <f>J21-8*$D$20</f>
        <v>-3.639335385777132</v>
      </c>
      <c r="K29" s="167"/>
      <c r="L29" s="167">
        <f>$L$19-10*$D$22</f>
        <v>-3.449262097346649</v>
      </c>
      <c r="M29" s="167"/>
      <c r="O29" s="170"/>
      <c r="P29" s="170"/>
      <c r="Q29" s="170"/>
      <c r="R29" s="170"/>
      <c r="S29" s="170">
        <f>EXP(J29)</f>
        <v>2.6269797446144407E-2</v>
      </c>
      <c r="T29" s="170"/>
      <c r="U29" s="170">
        <f>EXP(L29)</f>
        <v>3.1769070212264543E-2</v>
      </c>
      <c r="V29" s="170"/>
      <c r="X29" s="169"/>
      <c r="Y29" s="169"/>
      <c r="Z29" s="169"/>
      <c r="AA29" s="169"/>
      <c r="AB29" s="169">
        <f>EXP(-0.5*S29)</f>
        <v>0.9869509876118181</v>
      </c>
      <c r="AC29" s="169"/>
      <c r="AD29" s="169">
        <f>EXP(-0.5*U29)</f>
        <v>0.98424095877236262</v>
      </c>
      <c r="AE29" s="169"/>
      <c r="AK29" s="154">
        <f>AK21</f>
        <v>6.25E-2</v>
      </c>
      <c r="AM29" s="154">
        <f>AM21</f>
        <v>9.375E-2</v>
      </c>
    </row>
    <row r="30" spans="3:40">
      <c r="F30" s="167"/>
      <c r="G30" s="167"/>
      <c r="H30" s="167"/>
      <c r="I30" s="167"/>
      <c r="J30" s="167"/>
      <c r="K30" s="167">
        <f>K20-10*$D$21</f>
        <v>-3.5890380594813296</v>
      </c>
      <c r="L30" s="167"/>
      <c r="M30" s="167">
        <f>M18-12*D23</f>
        <v>-3.3821372211609448</v>
      </c>
      <c r="O30" s="170"/>
      <c r="P30" s="170"/>
      <c r="Q30" s="170"/>
      <c r="R30" s="170"/>
      <c r="S30" s="170"/>
      <c r="T30" s="170">
        <f>EXP(K30)</f>
        <v>2.7624891148401807E-2</v>
      </c>
      <c r="U30" s="170"/>
      <c r="V30" s="170">
        <f>EXP(M30)</f>
        <v>3.3974765498020178E-2</v>
      </c>
      <c r="X30" s="169"/>
      <c r="Y30" s="169"/>
      <c r="Z30" s="169"/>
      <c r="AA30" s="169"/>
      <c r="AB30" s="169"/>
      <c r="AC30" s="169">
        <f>EXP(-0.5*T30)</f>
        <v>0.98628250856645272</v>
      </c>
      <c r="AD30" s="169"/>
      <c r="AE30" s="169">
        <f>EXP(-0.5*V30)</f>
        <v>0.98315608928379394</v>
      </c>
      <c r="AL30" s="154">
        <f>AL20</f>
        <v>3.125E-2</v>
      </c>
      <c r="AN30" s="154">
        <f>AN20</f>
        <v>5.46875E-2</v>
      </c>
    </row>
    <row r="31" spans="3:40">
      <c r="D31" s="158"/>
      <c r="E31" s="158"/>
      <c r="F31" s="167"/>
      <c r="G31" s="167"/>
      <c r="H31" s="177"/>
      <c r="I31" s="167"/>
      <c r="J31" s="167"/>
      <c r="K31" s="167"/>
      <c r="L31" s="167">
        <f>$L$19-12*$D$22</f>
        <v>-3.4541394301021002</v>
      </c>
      <c r="M31" s="167"/>
      <c r="O31" s="170"/>
      <c r="P31" s="170"/>
      <c r="Q31" s="170"/>
      <c r="R31" s="170"/>
      <c r="S31" s="170"/>
      <c r="T31" s="170"/>
      <c r="U31" s="170">
        <f>EXP(L31)</f>
        <v>3.1614499139202973E-2</v>
      </c>
      <c r="V31" s="170"/>
      <c r="X31" s="169"/>
      <c r="Y31" s="169"/>
      <c r="Z31" s="169"/>
      <c r="AA31" s="169"/>
      <c r="AB31" s="169"/>
      <c r="AC31" s="169"/>
      <c r="AD31" s="169">
        <f>EXP(-0.5*U31)</f>
        <v>0.98431702930247489</v>
      </c>
      <c r="AE31" s="169"/>
      <c r="AM31" s="154">
        <f>AM19</f>
        <v>1.5625E-2</v>
      </c>
    </row>
    <row r="32" spans="3:40">
      <c r="D32" s="158"/>
      <c r="E32" s="158"/>
      <c r="F32" s="167"/>
      <c r="G32" s="177"/>
      <c r="H32" s="167"/>
      <c r="I32" s="167"/>
      <c r="J32" s="167"/>
      <c r="K32" s="167"/>
      <c r="L32" s="167"/>
      <c r="M32" s="167">
        <f>M18-14*D23</f>
        <v>-3.3868947911542024</v>
      </c>
      <c r="O32" s="170"/>
      <c r="P32" s="170"/>
      <c r="Q32" s="170"/>
      <c r="R32" s="170"/>
      <c r="S32" s="170"/>
      <c r="T32" s="170"/>
      <c r="U32" s="170"/>
      <c r="V32" s="170">
        <f>EXP(M32)</f>
        <v>3.3813512064564073E-2</v>
      </c>
      <c r="X32" s="169"/>
      <c r="Y32" s="169"/>
      <c r="Z32" s="169"/>
      <c r="AA32" s="169"/>
      <c r="AB32" s="169"/>
      <c r="AC32" s="169"/>
      <c r="AD32" s="169"/>
      <c r="AE32" s="169">
        <f>EXP(-0.5*V32)</f>
        <v>0.9832353611269754</v>
      </c>
      <c r="AN32" s="154">
        <f>AN18</f>
        <v>7.8125E-3</v>
      </c>
    </row>
    <row r="33" spans="3:18">
      <c r="D33" s="158"/>
      <c r="E33" s="158"/>
    </row>
    <row r="34" spans="3:18">
      <c r="D34" s="158"/>
      <c r="E34" s="158"/>
      <c r="F34" s="158"/>
      <c r="H34" s="158"/>
    </row>
    <row r="35" spans="3:18">
      <c r="D35" s="158"/>
      <c r="E35" s="158"/>
      <c r="H35" s="158"/>
    </row>
    <row r="36" spans="3:18">
      <c r="D36" s="158"/>
      <c r="E36" s="158"/>
      <c r="G36" s="158"/>
      <c r="H36" s="211"/>
      <c r="I36" s="211"/>
      <c r="J36" s="211"/>
      <c r="K36" s="211"/>
      <c r="M36" s="212" t="s">
        <v>438</v>
      </c>
      <c r="N36" s="212"/>
      <c r="O36" s="212"/>
      <c r="P36" s="212"/>
    </row>
    <row r="37" spans="3:18">
      <c r="E37" s="158"/>
      <c r="H37" s="211"/>
      <c r="I37" s="211"/>
      <c r="J37" s="211"/>
      <c r="K37" s="211"/>
      <c r="M37" s="212"/>
      <c r="N37" s="212"/>
      <c r="O37" s="212"/>
      <c r="P37" s="212"/>
    </row>
    <row r="38" spans="3:18">
      <c r="H38" s="211"/>
      <c r="I38" s="211"/>
      <c r="J38" s="211"/>
      <c r="K38" s="211"/>
      <c r="M38" s="212" t="s">
        <v>437</v>
      </c>
      <c r="N38" s="212"/>
      <c r="O38" s="212"/>
      <c r="P38" s="212"/>
    </row>
    <row r="39" spans="3:18">
      <c r="H39" s="211"/>
      <c r="I39" s="211"/>
      <c r="J39" s="211"/>
      <c r="K39" s="211"/>
      <c r="M39" s="212"/>
      <c r="N39" s="212"/>
      <c r="O39" s="212"/>
      <c r="P39" s="212"/>
    </row>
    <row r="40" spans="3:18">
      <c r="C40" s="154" t="s">
        <v>354</v>
      </c>
      <c r="D40" s="154"/>
      <c r="E40" s="154"/>
      <c r="H40" s="165"/>
      <c r="M40" s="154" t="s">
        <v>431</v>
      </c>
      <c r="N40" s="154">
        <f>(1-G7/G5)*1/0.5</f>
        <v>4.8000879438227395E-2</v>
      </c>
      <c r="O40" s="154" t="s">
        <v>430</v>
      </c>
      <c r="P40" s="154">
        <f>(G24-F25-G7*SQRT(0.5))/0.5</f>
        <v>0.43189900670988879</v>
      </c>
    </row>
    <row r="41" spans="3:18">
      <c r="C41" s="154"/>
      <c r="D41" s="154" t="s">
        <v>353</v>
      </c>
      <c r="E41" s="154" t="s">
        <v>352</v>
      </c>
      <c r="F41" s="154" t="s">
        <v>351</v>
      </c>
      <c r="H41" s="165"/>
      <c r="M41" s="154" t="s">
        <v>429</v>
      </c>
      <c r="N41" s="154">
        <f t="shared" ref="N41:N46" si="2">(1-G8/G7)*1/0.5</f>
        <v>4.8809256325518691E-2</v>
      </c>
      <c r="O41" s="154" t="s">
        <v>428</v>
      </c>
      <c r="P41" s="154">
        <f>(H23-G24-G8*SQRT(0.5))/0.5+N41*G24</f>
        <v>-0.12588409694664107</v>
      </c>
      <c r="R41" s="165"/>
    </row>
    <row r="42" spans="3:18">
      <c r="C42" s="154" t="s">
        <v>350</v>
      </c>
      <c r="D42" s="154">
        <f>X25</f>
        <v>0.99080000000000001</v>
      </c>
      <c r="E42" s="154">
        <v>0.99080000000000001</v>
      </c>
      <c r="F42" s="154">
        <f t="shared" ref="F42:F49" si="3">(D42-E42)^2</f>
        <v>0</v>
      </c>
      <c r="H42" s="165"/>
      <c r="M42" s="154" t="s">
        <v>427</v>
      </c>
      <c r="N42" s="154">
        <f>(1-G9/G8)*1/0.5</f>
        <v>4.8942222095690768E-2</v>
      </c>
      <c r="O42" s="154" t="s">
        <v>426</v>
      </c>
      <c r="P42" s="154">
        <f>(I22-H23-G9*SQRT(0.5))/0.5+N42*H23</f>
        <v>-4.0652910097422806E-2</v>
      </c>
    </row>
    <row r="43" spans="3:18">
      <c r="C43" s="154" t="s">
        <v>349</v>
      </c>
      <c r="D43" s="154">
        <f>D42*(0.5*Y24+0.5*Y26)</f>
        <v>0.97950000640148105</v>
      </c>
      <c r="E43" s="154">
        <v>0.97950000000000004</v>
      </c>
      <c r="F43" s="154">
        <f t="shared" si="3"/>
        <v>4.0978959146250286E-17</v>
      </c>
      <c r="H43" s="165"/>
      <c r="M43" s="154" t="s">
        <v>425</v>
      </c>
      <c r="N43" s="154">
        <f t="shared" si="2"/>
        <v>4.9011046647879253E-2</v>
      </c>
      <c r="O43" s="154" t="s">
        <v>424</v>
      </c>
      <c r="P43" s="154">
        <f>(J21-I22-G10*SQRT(0.5))/0.5+N43*I22</f>
        <v>-8.9606014016054669E-2</v>
      </c>
    </row>
    <row r="44" spans="3:18">
      <c r="C44" s="154" t="s">
        <v>348</v>
      </c>
      <c r="D44" s="154">
        <f>D43*(0.25*Z23+0.5*Z25+0.25*Z27)</f>
        <v>0.96800000632632321</v>
      </c>
      <c r="E44" s="154">
        <v>0.96799999999999997</v>
      </c>
      <c r="F44" s="154">
        <f t="shared" si="3"/>
        <v>4.0022365775483625E-17</v>
      </c>
      <c r="H44" s="165"/>
      <c r="M44" s="154" t="s">
        <v>423</v>
      </c>
      <c r="N44" s="154">
        <f t="shared" si="2"/>
        <v>4.9055028035582371E-2</v>
      </c>
      <c r="O44" s="154" t="s">
        <v>422</v>
      </c>
      <c r="P44" s="154">
        <f>(K20-J21-G11*SQRT(0.5))/0.5+N44*J21</f>
        <v>-7.2932997142774E-2</v>
      </c>
    </row>
    <row r="45" spans="3:18">
      <c r="C45" s="154" t="s">
        <v>367</v>
      </c>
      <c r="D45" s="154">
        <f>D44*(AA22*AJ22+AA24*AJ24+AA26*AJ26+AA28*AJ28)</f>
        <v>0.95579998004639144</v>
      </c>
      <c r="E45" s="154">
        <v>0.95579999999999998</v>
      </c>
      <c r="F45" s="154">
        <f t="shared" si="3"/>
        <v>3.9814649389657313E-16</v>
      </c>
      <c r="H45" s="165"/>
      <c r="M45" s="154" t="s">
        <v>421</v>
      </c>
      <c r="N45" s="154">
        <f t="shared" si="2"/>
        <v>4.9086268756431295E-2</v>
      </c>
      <c r="O45" s="154" t="s">
        <v>420</v>
      </c>
      <c r="P45" s="154">
        <f>(L19-K20-G12*SQRT(0.5))/0.5+N45*K20</f>
        <v>9.8502104749149166E-2</v>
      </c>
    </row>
    <row r="46" spans="3:18">
      <c r="C46" s="154" t="s">
        <v>366</v>
      </c>
      <c r="D46" s="154">
        <f>D45*(AB21*AK21+AB23*AK23+AB25*AK25+AB27*AK27+AB29*AK29)</f>
        <v>0.94319990544047339</v>
      </c>
      <c r="E46" s="154">
        <v>0.94320000000000004</v>
      </c>
      <c r="F46" s="154">
        <f t="shared" si="3"/>
        <v>8.9415040808905955E-15</v>
      </c>
      <c r="H46" s="165"/>
      <c r="M46" s="154" t="s">
        <v>419</v>
      </c>
      <c r="N46" s="154">
        <f t="shared" si="2"/>
        <v>4.910994110858069E-2</v>
      </c>
      <c r="O46" s="154" t="s">
        <v>418</v>
      </c>
      <c r="P46" s="154">
        <f>(M18-L19-G13*SQRT(0.5))/0.5+N46*L19</f>
        <v>-3.0385736104087818E-2</v>
      </c>
    </row>
    <row r="47" spans="3:18">
      <c r="C47" s="154" t="s">
        <v>365</v>
      </c>
      <c r="D47" s="154">
        <f>D46*(AC20*AL20+AC22*AL22+AC24*AL24+AC26*AL26+AC28*AL28+AC30*AL30)</f>
        <v>0.9300997579415422</v>
      </c>
      <c r="E47" s="154">
        <v>0.93010000000000004</v>
      </c>
      <c r="F47" s="154">
        <f t="shared" si="3"/>
        <v>5.8592297008643343E-14</v>
      </c>
    </row>
    <row r="48" spans="3:18">
      <c r="C48" s="154" t="s">
        <v>364</v>
      </c>
      <c r="D48" s="154">
        <f>D47*(AD19*AM19+AD21*AM21+AD23*AM23+AD25*AM25+AD27*AM27+AD29*AM29+AD31*AM31)</f>
        <v>0.9152994905321028</v>
      </c>
      <c r="E48" s="154">
        <v>0.9153</v>
      </c>
      <c r="F48" s="154">
        <f t="shared" si="3"/>
        <v>2.5955753828029703E-13</v>
      </c>
    </row>
    <row r="49" spans="3:6">
      <c r="C49" s="154" t="s">
        <v>363</v>
      </c>
      <c r="D49" s="154">
        <f>D48*(AE18*AN18+AE20*AN20+AE22*AN22+AE24*AN24+AE26*AN26+AE28*AN28+AE30*AN30+AE32*AN32)</f>
        <v>0.89969908140158195</v>
      </c>
      <c r="E49" s="154">
        <v>0.89970000000000006</v>
      </c>
      <c r="F49" s="154">
        <f t="shared" si="3"/>
        <v>8.4382305375283875E-13</v>
      </c>
    </row>
    <row r="51" spans="3:6">
      <c r="E51" s="164"/>
      <c r="F51" s="157"/>
    </row>
    <row r="52" spans="3:6" ht="14">
      <c r="C52" s="182" t="s">
        <v>398</v>
      </c>
      <c r="D52" s="182">
        <v>2.3004237610612342E-2</v>
      </c>
      <c r="E52" s="183" t="s">
        <v>397</v>
      </c>
      <c r="F52" s="183">
        <v>3.9039982411235453E-3</v>
      </c>
    </row>
    <row r="53" spans="3:6" ht="14">
      <c r="C53" s="182" t="s">
        <v>395</v>
      </c>
      <c r="D53" s="182">
        <v>2.37477004016684E-2</v>
      </c>
      <c r="E53" s="183" t="s">
        <v>394</v>
      </c>
      <c r="F53" s="183">
        <v>3.8087226157008602E-3</v>
      </c>
    </row>
    <row r="54" spans="3:6" ht="14">
      <c r="C54" s="182" t="s">
        <v>392</v>
      </c>
      <c r="D54" s="182">
        <v>2.5567322375367109E-2</v>
      </c>
      <c r="E54" s="183" t="s">
        <v>391</v>
      </c>
      <c r="F54" s="183">
        <v>3.7155189416216029E-3</v>
      </c>
    </row>
    <row r="55" spans="3:6" ht="14">
      <c r="C55" s="182" t="s">
        <v>389</v>
      </c>
      <c r="D55" s="182">
        <v>2.6813968960031777E-2</v>
      </c>
      <c r="E55" s="183" t="s">
        <v>388</v>
      </c>
      <c r="F55" s="183">
        <v>3.6244682055371598E-3</v>
      </c>
    </row>
    <row r="56" spans="3:6" ht="14">
      <c r="C56" s="182" t="s">
        <v>386</v>
      </c>
      <c r="D56" s="182">
        <v>2.8324225628191996E-2</v>
      </c>
      <c r="E56" s="183" t="s">
        <v>385</v>
      </c>
      <c r="F56" s="183">
        <v>3.5355690108188039E-3</v>
      </c>
    </row>
    <row r="57" spans="3:6" ht="14">
      <c r="C57" s="182" t="s">
        <v>383</v>
      </c>
      <c r="D57" s="182">
        <v>3.2553335789395815E-2</v>
      </c>
      <c r="E57" s="183" t="s">
        <v>382</v>
      </c>
      <c r="F57" s="183">
        <v>3.4487950654828229E-3</v>
      </c>
    </row>
    <row r="58" spans="3:6" ht="14">
      <c r="C58" s="182" t="s">
        <v>380</v>
      </c>
      <c r="D58" s="182">
        <v>3.4958564117177592E-2</v>
      </c>
      <c r="E58" s="183" t="s">
        <v>379</v>
      </c>
      <c r="F58" s="183">
        <v>3.3641100042021105E-3</v>
      </c>
    </row>
  </sheetData>
  <mergeCells count="5">
    <mergeCell ref="H36:K37"/>
    <mergeCell ref="H38:K39"/>
    <mergeCell ref="M36:P37"/>
    <mergeCell ref="M38:P39"/>
    <mergeCell ref="A2:C2"/>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AN44"/>
  <sheetViews>
    <sheetView topLeftCell="A12" workbookViewId="0">
      <selection activeCell="B41" sqref="B41"/>
    </sheetView>
  </sheetViews>
  <sheetFormatPr baseColWidth="10" defaultColWidth="8.6640625" defaultRowHeight="13"/>
  <cols>
    <col min="1" max="2" width="8.6640625" style="154"/>
    <col min="3" max="3" width="17.1640625" style="154" customWidth="1"/>
    <col min="4" max="16384" width="8.6640625" style="154"/>
  </cols>
  <sheetData>
    <row r="2" spans="1:7" ht="14">
      <c r="A2" s="183" t="s">
        <v>443</v>
      </c>
      <c r="B2" s="183"/>
      <c r="C2" s="183"/>
    </row>
    <row r="4" spans="1:7">
      <c r="A4" s="165"/>
      <c r="C4" s="154" t="s">
        <v>400</v>
      </c>
      <c r="D4" s="154">
        <v>4.0000000000000001E-3</v>
      </c>
    </row>
    <row r="5" spans="1:7">
      <c r="C5" s="154" t="s">
        <v>397</v>
      </c>
      <c r="F5" s="154" t="s">
        <v>400</v>
      </c>
      <c r="G5" s="154">
        <v>4.0000000000000001E-3</v>
      </c>
    </row>
    <row r="7" spans="1:7">
      <c r="A7" s="154" t="s">
        <v>417</v>
      </c>
      <c r="B7" s="154">
        <v>0.5</v>
      </c>
      <c r="C7" s="154" t="s">
        <v>398</v>
      </c>
      <c r="D7" s="154">
        <v>2.3004237610612342E-2</v>
      </c>
      <c r="F7" s="154" t="s">
        <v>397</v>
      </c>
      <c r="G7" s="154">
        <v>3.9039982411235453E-3</v>
      </c>
    </row>
    <row r="8" spans="1:7">
      <c r="A8" s="154" t="s">
        <v>416</v>
      </c>
      <c r="B8" s="154">
        <v>1</v>
      </c>
      <c r="C8" s="154" t="s">
        <v>395</v>
      </c>
      <c r="D8" s="154">
        <v>2.3747700401668376E-2</v>
      </c>
      <c r="F8" s="154" t="s">
        <v>394</v>
      </c>
      <c r="G8" s="154">
        <v>3.8087226157008588E-3</v>
      </c>
    </row>
    <row r="9" spans="1:7">
      <c r="A9" s="154" t="s">
        <v>415</v>
      </c>
      <c r="B9" s="154">
        <v>1.5</v>
      </c>
      <c r="C9" s="154" t="s">
        <v>392</v>
      </c>
      <c r="D9" s="154">
        <v>2.5567322375367098E-2</v>
      </c>
      <c r="F9" s="154" t="s">
        <v>391</v>
      </c>
      <c r="G9" s="154">
        <v>3.7155189416215998E-3</v>
      </c>
    </row>
    <row r="10" spans="1:7">
      <c r="A10" s="154" t="s">
        <v>414</v>
      </c>
      <c r="B10" s="154">
        <v>2</v>
      </c>
      <c r="C10" s="154" t="s">
        <v>389</v>
      </c>
      <c r="D10" s="154">
        <v>2.6813968960031777E-2</v>
      </c>
      <c r="F10" s="154" t="s">
        <v>388</v>
      </c>
      <c r="G10" s="154">
        <v>3.6244682055371551E-3</v>
      </c>
    </row>
    <row r="11" spans="1:7">
      <c r="A11" s="154" t="s">
        <v>413</v>
      </c>
      <c r="B11" s="154">
        <v>2.5</v>
      </c>
      <c r="C11" s="154" t="s">
        <v>386</v>
      </c>
      <c r="D11" s="154">
        <v>2.8324225628191996E-2</v>
      </c>
      <c r="F11" s="154" t="s">
        <v>385</v>
      </c>
      <c r="G11" s="154">
        <v>3.5355690108188039E-3</v>
      </c>
    </row>
    <row r="12" spans="1:7">
      <c r="A12" s="154" t="s">
        <v>412</v>
      </c>
      <c r="B12" s="154">
        <v>3</v>
      </c>
      <c r="C12" s="154" t="s">
        <v>383</v>
      </c>
      <c r="D12" s="154">
        <v>3.2553335789395815E-2</v>
      </c>
      <c r="F12" s="154" t="s">
        <v>382</v>
      </c>
      <c r="G12" s="154">
        <v>3.4487950654828229E-3</v>
      </c>
    </row>
    <row r="13" spans="1:7">
      <c r="A13" s="154" t="s">
        <v>411</v>
      </c>
      <c r="B13" s="154">
        <v>3.5</v>
      </c>
      <c r="C13" s="154" t="s">
        <v>380</v>
      </c>
      <c r="D13" s="154">
        <v>3.4958564117177592E-2</v>
      </c>
      <c r="F13" s="154" t="s">
        <v>379</v>
      </c>
      <c r="G13" s="154">
        <v>3.3641100042021105E-3</v>
      </c>
    </row>
    <row r="14" spans="1:7">
      <c r="A14" s="154" t="s">
        <v>410</v>
      </c>
      <c r="B14" s="154">
        <v>4</v>
      </c>
    </row>
    <row r="15" spans="1:7">
      <c r="C15" s="154" t="s">
        <v>377</v>
      </c>
      <c r="D15" s="154">
        <v>0.70710678118654757</v>
      </c>
    </row>
    <row r="17" spans="3:40">
      <c r="C17" s="154" t="s">
        <v>376</v>
      </c>
      <c r="D17" s="154">
        <v>2.7605436300388135E-3</v>
      </c>
      <c r="F17" s="174" t="s">
        <v>436</v>
      </c>
      <c r="G17" s="167"/>
      <c r="H17" s="167"/>
      <c r="I17" s="167"/>
      <c r="J17" s="167"/>
      <c r="K17" s="167"/>
      <c r="L17" s="167"/>
      <c r="M17" s="167"/>
      <c r="O17" s="178" t="s">
        <v>435</v>
      </c>
      <c r="P17" s="170"/>
      <c r="Q17" s="170"/>
      <c r="R17" s="170"/>
      <c r="S17" s="170"/>
      <c r="T17" s="170"/>
      <c r="U17" s="170"/>
      <c r="V17" s="170"/>
      <c r="X17" s="179" t="s">
        <v>434</v>
      </c>
      <c r="Y17" s="180"/>
      <c r="Z17" s="180"/>
      <c r="AA17" s="180"/>
      <c r="AB17" s="180"/>
      <c r="AC17" s="180"/>
      <c r="AD17" s="180"/>
      <c r="AE17" s="180"/>
      <c r="AG17" s="154" t="s">
        <v>375</v>
      </c>
    </row>
    <row r="18" spans="3:40">
      <c r="C18" s="154" t="s">
        <v>374</v>
      </c>
      <c r="D18" s="154">
        <v>2.6931735892206424E-3</v>
      </c>
      <c r="F18" s="167"/>
      <c r="G18" s="167"/>
      <c r="H18" s="167"/>
      <c r="I18" s="167"/>
      <c r="J18" s="167"/>
      <c r="K18" s="167"/>
      <c r="L18" s="167"/>
      <c r="M18" s="167">
        <v>-3.3535918012013992</v>
      </c>
      <c r="O18" s="170"/>
      <c r="P18" s="170"/>
      <c r="Q18" s="170"/>
      <c r="R18" s="170"/>
      <c r="S18" s="170"/>
      <c r="T18" s="170"/>
      <c r="U18" s="170"/>
      <c r="V18" s="170">
        <v>3.4958564117177585E-2</v>
      </c>
      <c r="X18" s="180"/>
      <c r="Y18" s="180"/>
      <c r="Z18" s="180"/>
      <c r="AA18" s="180"/>
      <c r="AB18" s="180"/>
      <c r="AC18" s="180"/>
      <c r="AD18" s="180"/>
      <c r="AE18" s="180">
        <v>0.98267259440741417</v>
      </c>
      <c r="AN18" s="154">
        <v>7.8125E-3</v>
      </c>
    </row>
    <row r="19" spans="3:40">
      <c r="C19" s="154" t="s">
        <v>373</v>
      </c>
      <c r="D19" s="154">
        <v>2.6272686392476994E-3</v>
      </c>
      <c r="F19" s="167"/>
      <c r="G19" s="167"/>
      <c r="H19" s="167"/>
      <c r="I19" s="167"/>
      <c r="J19" s="167"/>
      <c r="K19" s="167"/>
      <c r="L19" s="167">
        <v>-3.4248754335693929</v>
      </c>
      <c r="M19" s="167"/>
      <c r="O19" s="170"/>
      <c r="P19" s="170"/>
      <c r="Q19" s="170"/>
      <c r="R19" s="170"/>
      <c r="S19" s="170"/>
      <c r="T19" s="170"/>
      <c r="U19" s="170">
        <v>3.2553335789395822E-2</v>
      </c>
      <c r="V19" s="170"/>
      <c r="X19" s="180"/>
      <c r="Y19" s="180"/>
      <c r="Z19" s="180"/>
      <c r="AA19" s="180"/>
      <c r="AB19" s="180"/>
      <c r="AC19" s="180"/>
      <c r="AD19" s="180">
        <v>0.98385508128313126</v>
      </c>
      <c r="AE19" s="180"/>
      <c r="AM19" s="154">
        <v>1.5625E-2</v>
      </c>
    </row>
    <row r="20" spans="3:40">
      <c r="C20" s="154" t="s">
        <v>372</v>
      </c>
      <c r="D20" s="154">
        <v>2.56288604633036E-3</v>
      </c>
      <c r="F20" s="167"/>
      <c r="G20" s="167"/>
      <c r="H20" s="167"/>
      <c r="I20" s="167"/>
      <c r="J20" s="167"/>
      <c r="K20" s="167">
        <v>-3.5640378112522999</v>
      </c>
      <c r="L20" s="167"/>
      <c r="M20" s="167">
        <v>-3.3583493711946568</v>
      </c>
      <c r="O20" s="170"/>
      <c r="P20" s="170"/>
      <c r="Q20" s="170"/>
      <c r="R20" s="170"/>
      <c r="S20" s="170"/>
      <c r="T20" s="170">
        <v>2.8324225628192E-2</v>
      </c>
      <c r="U20" s="170"/>
      <c r="V20" s="170">
        <v>3.4792641309177086E-2</v>
      </c>
      <c r="X20" s="180"/>
      <c r="Y20" s="180"/>
      <c r="Z20" s="180"/>
      <c r="AA20" s="180"/>
      <c r="AB20" s="180"/>
      <c r="AC20" s="180">
        <v>0.98593769817188814</v>
      </c>
      <c r="AD20" s="180"/>
      <c r="AE20" s="180">
        <v>0.98275412168728082</v>
      </c>
      <c r="AL20" s="154">
        <v>3.125E-2</v>
      </c>
      <c r="AN20" s="154">
        <v>5.46875E-2</v>
      </c>
    </row>
    <row r="21" spans="3:40">
      <c r="C21" s="154" t="s">
        <v>371</v>
      </c>
      <c r="D21" s="154">
        <v>2.5000248229029905E-3</v>
      </c>
      <c r="F21" s="167"/>
      <c r="G21" s="167"/>
      <c r="H21" s="167"/>
      <c r="I21" s="167"/>
      <c r="J21" s="167">
        <v>-3.618832297406489</v>
      </c>
      <c r="K21" s="167"/>
      <c r="L21" s="167">
        <v>-3.4297527663248442</v>
      </c>
      <c r="M21" s="167"/>
      <c r="O21" s="170"/>
      <c r="P21" s="170"/>
      <c r="Q21" s="170"/>
      <c r="R21" s="170"/>
      <c r="S21" s="170">
        <v>2.681396896003178E-2</v>
      </c>
      <c r="T21" s="170"/>
      <c r="U21" s="170">
        <v>3.2394948905200581E-2</v>
      </c>
      <c r="V21" s="170"/>
      <c r="X21" s="180"/>
      <c r="Y21" s="180"/>
      <c r="Z21" s="180"/>
      <c r="AA21" s="180"/>
      <c r="AB21" s="180">
        <v>0.98668248883429044</v>
      </c>
      <c r="AC21" s="180"/>
      <c r="AD21" s="180">
        <v>0.98393299923879807</v>
      </c>
      <c r="AE21" s="180"/>
      <c r="AK21" s="154">
        <v>6.25E-2</v>
      </c>
      <c r="AM21" s="154">
        <v>9.375E-2</v>
      </c>
    </row>
    <row r="22" spans="3:40">
      <c r="C22" s="154" t="s">
        <v>370</v>
      </c>
      <c r="D22" s="154">
        <v>2.4386663777256077E-3</v>
      </c>
      <c r="F22" s="167"/>
      <c r="G22" s="167"/>
      <c r="H22" s="167"/>
      <c r="I22" s="167">
        <v>-3.6664402125902527</v>
      </c>
      <c r="J22" s="167"/>
      <c r="K22" s="167">
        <v>-3.5690378608981059</v>
      </c>
      <c r="L22" s="167"/>
      <c r="M22" s="167">
        <v>-3.3631069411879144</v>
      </c>
      <c r="O22" s="170"/>
      <c r="P22" s="170"/>
      <c r="Q22" s="170"/>
      <c r="R22" s="170">
        <v>2.5567322375367109E-2</v>
      </c>
      <c r="S22" s="170"/>
      <c r="T22" s="170">
        <v>2.81829565643546E-2</v>
      </c>
      <c r="U22" s="170"/>
      <c r="V22" s="170">
        <v>3.4627506015735887E-2</v>
      </c>
      <c r="X22" s="180"/>
      <c r="Y22" s="180"/>
      <c r="Z22" s="180"/>
      <c r="AA22" s="180">
        <v>0.98729770273037365</v>
      </c>
      <c r="AB22" s="180"/>
      <c r="AC22" s="180">
        <v>0.98600734187929595</v>
      </c>
      <c r="AD22" s="180"/>
      <c r="AE22" s="180">
        <v>0.98283526873242766</v>
      </c>
      <c r="AJ22" s="154">
        <v>0.125</v>
      </c>
      <c r="AL22" s="154">
        <v>0.15625</v>
      </c>
      <c r="AN22" s="154">
        <v>0.1640625</v>
      </c>
    </row>
    <row r="23" spans="3:40">
      <c r="C23" s="154" t="s">
        <v>369</v>
      </c>
      <c r="D23" s="154">
        <v>2.3787849966288173E-3</v>
      </c>
      <c r="F23" s="167"/>
      <c r="G23" s="167"/>
      <c r="H23" s="167">
        <v>-3.740269578382259</v>
      </c>
      <c r="I23" s="167"/>
      <c r="J23" s="167">
        <v>-3.6239580694991496</v>
      </c>
      <c r="K23" s="167"/>
      <c r="L23" s="167">
        <v>-3.4346300990802954</v>
      </c>
      <c r="M23" s="167"/>
      <c r="O23" s="170"/>
      <c r="P23" s="170"/>
      <c r="Q23" s="170">
        <v>2.3747700401668372E-2</v>
      </c>
      <c r="R23" s="170"/>
      <c r="S23" s="170">
        <v>2.6676878314101097E-2</v>
      </c>
      <c r="T23" s="170"/>
      <c r="U23" s="170">
        <v>3.2237332645719423E-2</v>
      </c>
      <c r="V23" s="170"/>
      <c r="X23" s="180"/>
      <c r="Y23" s="180"/>
      <c r="Z23" s="180">
        <v>0.98819636577237402</v>
      </c>
      <c r="AA23" s="180"/>
      <c r="AB23" s="180">
        <v>0.98675012362214953</v>
      </c>
      <c r="AC23" s="180"/>
      <c r="AD23" s="180">
        <v>0.98401054421380529</v>
      </c>
      <c r="AE23" s="180"/>
      <c r="AI23" s="154">
        <v>0.25</v>
      </c>
      <c r="AK23" s="154">
        <v>0.25</v>
      </c>
      <c r="AM23" s="154">
        <v>0.234375</v>
      </c>
    </row>
    <row r="24" spans="3:40">
      <c r="F24" s="167"/>
      <c r="G24" s="167">
        <v>-3.7720768360841506</v>
      </c>
      <c r="H24" s="167"/>
      <c r="I24" s="167">
        <v>-3.671694749868748</v>
      </c>
      <c r="J24" s="167"/>
      <c r="K24" s="167">
        <v>-3.574037910543912</v>
      </c>
      <c r="L24" s="167"/>
      <c r="M24" s="167">
        <v>-3.367864511181172</v>
      </c>
      <c r="O24" s="170"/>
      <c r="P24" s="170">
        <v>2.3004237610612339E-2</v>
      </c>
      <c r="Q24" s="170"/>
      <c r="R24" s="170">
        <v>2.5433330268390175E-2</v>
      </c>
      <c r="S24" s="170"/>
      <c r="T24" s="170">
        <v>2.8042392089890959E-2</v>
      </c>
      <c r="U24" s="170"/>
      <c r="V24" s="170">
        <v>3.4463154499096732E-2</v>
      </c>
      <c r="X24" s="180"/>
      <c r="Y24" s="180">
        <v>0.98856377767151637</v>
      </c>
      <c r="Z24" s="180"/>
      <c r="AA24" s="180">
        <v>0.98736384999585303</v>
      </c>
      <c r="AB24" s="180"/>
      <c r="AC24" s="180">
        <v>0.98607664311650467</v>
      </c>
      <c r="AD24" s="180"/>
      <c r="AE24" s="180">
        <v>0.98291603728450205</v>
      </c>
      <c r="AH24" s="154">
        <v>0.5</v>
      </c>
      <c r="AJ24" s="154">
        <v>0.375</v>
      </c>
      <c r="AL24" s="154">
        <v>0.3125</v>
      </c>
      <c r="AN24" s="154">
        <v>0.2734375</v>
      </c>
    </row>
    <row r="25" spans="3:40">
      <c r="F25" s="167">
        <v>-3.9907868830691338</v>
      </c>
      <c r="G25" s="167"/>
      <c r="H25" s="167">
        <v>-3.7456559255607003</v>
      </c>
      <c r="I25" s="167"/>
      <c r="J25" s="167">
        <v>-3.6290838415918105</v>
      </c>
      <c r="K25" s="167"/>
      <c r="L25" s="167">
        <v>-3.4395074318357466</v>
      </c>
      <c r="M25" s="167"/>
      <c r="O25" s="170">
        <v>1.8485162733864996E-2</v>
      </c>
      <c r="P25" s="170"/>
      <c r="Q25" s="170">
        <v>2.3620130917808266E-2</v>
      </c>
      <c r="R25" s="170"/>
      <c r="S25" s="170">
        <v>2.6540488565722338E-2</v>
      </c>
      <c r="T25" s="170"/>
      <c r="U25" s="170">
        <v>3.2080483261510251E-2</v>
      </c>
      <c r="V25" s="170"/>
      <c r="X25" s="180">
        <v>0.99080000000000001</v>
      </c>
      <c r="Y25" s="180"/>
      <c r="Z25" s="180">
        <v>0.98825939963281895</v>
      </c>
      <c r="AA25" s="180"/>
      <c r="AB25" s="180">
        <v>0.98681741721719929</v>
      </c>
      <c r="AC25" s="180"/>
      <c r="AD25" s="180">
        <v>0.98408771796388717</v>
      </c>
      <c r="AE25" s="180"/>
      <c r="AG25" s="154">
        <v>1</v>
      </c>
      <c r="AI25" s="154">
        <v>0.5</v>
      </c>
      <c r="AK25" s="154">
        <v>0.375</v>
      </c>
      <c r="AM25" s="154">
        <v>0.3125</v>
      </c>
    </row>
    <row r="26" spans="3:40">
      <c r="C26" s="154" t="s">
        <v>368</v>
      </c>
      <c r="D26" s="154">
        <v>1.8485162733864999E-2</v>
      </c>
      <c r="F26" s="167"/>
      <c r="G26" s="167">
        <v>-3.7775979233442283</v>
      </c>
      <c r="H26" s="167"/>
      <c r="I26" s="167">
        <v>-3.6769492871472433</v>
      </c>
      <c r="J26" s="167"/>
      <c r="K26" s="167">
        <v>-3.579037960189718</v>
      </c>
      <c r="L26" s="167"/>
      <c r="M26" s="167">
        <v>-3.3726220811744296</v>
      </c>
      <c r="O26" s="170"/>
      <c r="P26" s="170">
        <v>2.2877579175287058E-2</v>
      </c>
      <c r="Q26" s="170"/>
      <c r="R26" s="170">
        <v>2.5300040381398131E-2</v>
      </c>
      <c r="S26" s="170"/>
      <c r="T26" s="170">
        <v>2.7902528690612105E-2</v>
      </c>
      <c r="U26" s="170"/>
      <c r="V26" s="170">
        <v>3.4299583039242763E-2</v>
      </c>
      <c r="X26" s="180"/>
      <c r="Y26" s="180">
        <v>0.98862638462456975</v>
      </c>
      <c r="Z26" s="180"/>
      <c r="AA26" s="180">
        <v>0.98742965499660684</v>
      </c>
      <c r="AB26" s="180"/>
      <c r="AC26" s="180">
        <v>0.98614560354336434</v>
      </c>
      <c r="AD26" s="180"/>
      <c r="AE26" s="180">
        <v>0.9829964290774742</v>
      </c>
      <c r="AH26" s="154">
        <v>0.5</v>
      </c>
      <c r="AJ26" s="154">
        <v>0.375</v>
      </c>
      <c r="AL26" s="154">
        <v>0.3125</v>
      </c>
      <c r="AN26" s="154">
        <v>0.2734375</v>
      </c>
    </row>
    <row r="27" spans="3:40">
      <c r="F27" s="167"/>
      <c r="G27" s="167"/>
      <c r="H27" s="167">
        <v>-3.7510422727391415</v>
      </c>
      <c r="I27" s="167"/>
      <c r="J27" s="167">
        <v>-3.634209613684471</v>
      </c>
      <c r="K27" s="167"/>
      <c r="L27" s="167">
        <v>-3.4443847645911978</v>
      </c>
      <c r="M27" s="167"/>
      <c r="O27" s="170"/>
      <c r="P27" s="170"/>
      <c r="Q27" s="170">
        <v>2.3493246720225864E-2</v>
      </c>
      <c r="R27" s="170"/>
      <c r="S27" s="170">
        <v>2.640479613144623E-2</v>
      </c>
      <c r="T27" s="170"/>
      <c r="U27" s="170">
        <v>3.1924397021373743E-2</v>
      </c>
      <c r="V27" s="170"/>
      <c r="X27" s="180"/>
      <c r="Y27" s="180"/>
      <c r="Z27" s="180">
        <v>0.98832209887214639</v>
      </c>
      <c r="AA27" s="180"/>
      <c r="AB27" s="180">
        <v>0.98688437131722895</v>
      </c>
      <c r="AC27" s="180"/>
      <c r="AD27" s="180">
        <v>0.9841645222368014</v>
      </c>
      <c r="AE27" s="180"/>
      <c r="AI27" s="154">
        <v>0.25</v>
      </c>
      <c r="AK27" s="154">
        <v>0.25</v>
      </c>
      <c r="AM27" s="154">
        <v>0.234375</v>
      </c>
    </row>
    <row r="28" spans="3:40">
      <c r="F28" s="167"/>
      <c r="G28" s="167"/>
      <c r="H28" s="167"/>
      <c r="I28" s="167">
        <v>-3.6822038244257387</v>
      </c>
      <c r="J28" s="167"/>
      <c r="K28" s="167">
        <v>-3.584038009835524</v>
      </c>
      <c r="L28" s="167"/>
      <c r="M28" s="167">
        <v>-3.3773796511676872</v>
      </c>
      <c r="O28" s="170"/>
      <c r="P28" s="170"/>
      <c r="Q28" s="170"/>
      <c r="R28" s="170">
        <v>2.5167449034227136E-2</v>
      </c>
      <c r="S28" s="170"/>
      <c r="T28" s="170">
        <v>2.7763362869856336E-2</v>
      </c>
      <c r="U28" s="170"/>
      <c r="V28" s="170">
        <v>3.4136787933813327E-2</v>
      </c>
      <c r="X28" s="180"/>
      <c r="Y28" s="180"/>
      <c r="Z28" s="180"/>
      <c r="AA28" s="180">
        <v>0.98749511948068525</v>
      </c>
      <c r="AB28" s="180"/>
      <c r="AC28" s="180">
        <v>0.98621422481192134</v>
      </c>
      <c r="AD28" s="180"/>
      <c r="AE28" s="180">
        <v>0.98307644583766851</v>
      </c>
      <c r="AJ28" s="154">
        <v>0.125</v>
      </c>
      <c r="AL28" s="154">
        <v>0.15625</v>
      </c>
      <c r="AN28" s="154">
        <v>0.1640625</v>
      </c>
    </row>
    <row r="29" spans="3:40">
      <c r="F29" s="167"/>
      <c r="G29" s="167"/>
      <c r="H29" s="167"/>
      <c r="I29" s="167"/>
      <c r="J29" s="167">
        <v>-3.639335385777132</v>
      </c>
      <c r="K29" s="167"/>
      <c r="L29" s="167">
        <v>-3.449262097346649</v>
      </c>
      <c r="M29" s="167"/>
      <c r="O29" s="170"/>
      <c r="P29" s="170"/>
      <c r="Q29" s="170"/>
      <c r="R29" s="170"/>
      <c r="S29" s="170">
        <v>2.6269797446144407E-2</v>
      </c>
      <c r="T29" s="170"/>
      <c r="U29" s="170">
        <v>3.1769070212264543E-2</v>
      </c>
      <c r="V29" s="170"/>
      <c r="X29" s="180"/>
      <c r="Y29" s="180"/>
      <c r="Z29" s="180"/>
      <c r="AA29" s="180"/>
      <c r="AB29" s="180">
        <v>0.9869509876118181</v>
      </c>
      <c r="AC29" s="180"/>
      <c r="AD29" s="180">
        <v>0.98424095877236262</v>
      </c>
      <c r="AE29" s="180"/>
      <c r="AK29" s="154">
        <v>6.25E-2</v>
      </c>
      <c r="AM29" s="154">
        <v>9.375E-2</v>
      </c>
    </row>
    <row r="30" spans="3:40">
      <c r="F30" s="167"/>
      <c r="G30" s="167"/>
      <c r="H30" s="167"/>
      <c r="I30" s="167"/>
      <c r="J30" s="167"/>
      <c r="K30" s="167">
        <v>-3.5890380594813296</v>
      </c>
      <c r="L30" s="167"/>
      <c r="M30" s="167">
        <v>-3.3821372211609448</v>
      </c>
      <c r="O30" s="170"/>
      <c r="P30" s="170"/>
      <c r="Q30" s="170"/>
      <c r="R30" s="170"/>
      <c r="S30" s="170"/>
      <c r="T30" s="170">
        <v>2.7624891148401807E-2</v>
      </c>
      <c r="U30" s="170"/>
      <c r="V30" s="170">
        <v>3.3974765498020178E-2</v>
      </c>
      <c r="X30" s="180"/>
      <c r="Y30" s="180"/>
      <c r="Z30" s="180"/>
      <c r="AA30" s="180"/>
      <c r="AB30" s="180"/>
      <c r="AC30" s="180">
        <v>0.98628250856645272</v>
      </c>
      <c r="AD30" s="180"/>
      <c r="AE30" s="180">
        <v>0.98315608928379394</v>
      </c>
      <c r="AL30" s="154">
        <v>3.125E-2</v>
      </c>
      <c r="AN30" s="154">
        <v>5.46875E-2</v>
      </c>
    </row>
    <row r="31" spans="3:40">
      <c r="F31" s="167"/>
      <c r="G31" s="167"/>
      <c r="H31" s="167"/>
      <c r="I31" s="167"/>
      <c r="J31" s="167"/>
      <c r="K31" s="167"/>
      <c r="L31" s="167">
        <v>-3.4541394301021002</v>
      </c>
      <c r="M31" s="167"/>
      <c r="O31" s="170"/>
      <c r="P31" s="170"/>
      <c r="Q31" s="170"/>
      <c r="R31" s="170"/>
      <c r="S31" s="170"/>
      <c r="T31" s="170"/>
      <c r="U31" s="170">
        <v>3.1614499139202973E-2</v>
      </c>
      <c r="V31" s="170"/>
      <c r="X31" s="180"/>
      <c r="Y31" s="180"/>
      <c r="Z31" s="180"/>
      <c r="AA31" s="180"/>
      <c r="AB31" s="180"/>
      <c r="AC31" s="180"/>
      <c r="AD31" s="180">
        <v>0.98431702930247489</v>
      </c>
      <c r="AE31" s="180"/>
      <c r="AM31" s="154">
        <v>1.5625E-2</v>
      </c>
    </row>
    <row r="32" spans="3:40">
      <c r="F32" s="167"/>
      <c r="G32" s="167"/>
      <c r="H32" s="167"/>
      <c r="I32" s="167"/>
      <c r="J32" s="167"/>
      <c r="K32" s="167"/>
      <c r="L32" s="167"/>
      <c r="M32" s="167">
        <v>-3.3868947911542024</v>
      </c>
      <c r="O32" s="170"/>
      <c r="P32" s="170"/>
      <c r="Q32" s="170"/>
      <c r="R32" s="170"/>
      <c r="S32" s="170"/>
      <c r="T32" s="170"/>
      <c r="U32" s="170"/>
      <c r="V32" s="170">
        <v>3.3813512064564073E-2</v>
      </c>
      <c r="X32" s="180"/>
      <c r="Y32" s="180"/>
      <c r="Z32" s="180"/>
      <c r="AA32" s="180"/>
      <c r="AB32" s="180"/>
      <c r="AC32" s="180"/>
      <c r="AD32" s="180"/>
      <c r="AE32" s="180">
        <v>0.9832353611269754</v>
      </c>
      <c r="AN32" s="154">
        <v>7.8125E-3</v>
      </c>
    </row>
    <row r="34" spans="1:4" ht="14">
      <c r="A34" s="183" t="s">
        <v>441</v>
      </c>
      <c r="B34" s="183"/>
      <c r="C34" s="183"/>
      <c r="D34" s="183"/>
    </row>
    <row r="35" spans="1:4" ht="14">
      <c r="A35" s="183"/>
      <c r="B35" s="183"/>
      <c r="C35" s="183"/>
      <c r="D35" s="183"/>
    </row>
    <row r="36" spans="1:4" ht="14">
      <c r="A36" s="183" t="s">
        <v>440</v>
      </c>
      <c r="B36" s="183"/>
      <c r="C36" s="183"/>
      <c r="D36" s="183"/>
    </row>
    <row r="37" spans="1:4" ht="14">
      <c r="A37" s="183"/>
      <c r="B37" s="183"/>
      <c r="C37" s="183"/>
      <c r="D37" s="183"/>
    </row>
    <row r="38" spans="1:4" ht="14">
      <c r="A38" s="183" t="s">
        <v>407</v>
      </c>
      <c r="B38" s="183">
        <v>0.43189900670988879</v>
      </c>
      <c r="C38" s="183" t="s">
        <v>397</v>
      </c>
      <c r="D38" s="183">
        <v>3.9039982411235453E-3</v>
      </c>
    </row>
    <row r="39" spans="1:4" ht="14">
      <c r="A39" s="183" t="s">
        <v>406</v>
      </c>
      <c r="B39" s="183">
        <v>5.8228168225341763E-2</v>
      </c>
      <c r="C39" s="183" t="s">
        <v>394</v>
      </c>
      <c r="D39" s="183">
        <v>3.8087226157008602E-3</v>
      </c>
    </row>
    <row r="40" spans="1:4" ht="14">
      <c r="A40" s="183" t="s">
        <v>405</v>
      </c>
      <c r="B40" s="183">
        <v>0.14240419430551701</v>
      </c>
      <c r="C40" s="183" t="s">
        <v>391</v>
      </c>
      <c r="D40" s="183">
        <v>3.7155189416216029E-3</v>
      </c>
    </row>
    <row r="41" spans="1:4" ht="14">
      <c r="A41" s="183" t="s">
        <v>404</v>
      </c>
      <c r="B41" s="183">
        <v>9.0090058274866519E-2</v>
      </c>
      <c r="C41" s="183" t="s">
        <v>388</v>
      </c>
      <c r="D41" s="183">
        <v>3.6244682055371551E-3</v>
      </c>
    </row>
    <row r="42" spans="1:4" ht="14">
      <c r="A42" s="183" t="s">
        <v>403</v>
      </c>
      <c r="B42" s="183">
        <v>0.10458892266257229</v>
      </c>
      <c r="C42" s="183" t="s">
        <v>385</v>
      </c>
      <c r="D42" s="183">
        <v>3.5355690108188039E-3</v>
      </c>
    </row>
    <row r="43" spans="1:4" ht="14">
      <c r="A43" s="183" t="s">
        <v>402</v>
      </c>
      <c r="B43" s="183">
        <v>0.2734474226103627</v>
      </c>
      <c r="C43" s="183" t="s">
        <v>382</v>
      </c>
      <c r="D43" s="183">
        <v>3.4487950654828229E-3</v>
      </c>
    </row>
    <row r="44" spans="1:4" ht="14">
      <c r="A44" s="183" t="s">
        <v>401</v>
      </c>
      <c r="B44" s="183">
        <v>0.13780969474272983</v>
      </c>
      <c r="C44" s="183" t="s">
        <v>379</v>
      </c>
      <c r="D44" s="183">
        <v>3.3641100042021105E-3</v>
      </c>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AN52"/>
  <sheetViews>
    <sheetView topLeftCell="A22" workbookViewId="0">
      <selection activeCell="K51" sqref="K51"/>
    </sheetView>
  </sheetViews>
  <sheetFormatPr baseColWidth="10" defaultColWidth="8.6640625" defaultRowHeight="13"/>
  <cols>
    <col min="1" max="2" width="8.6640625" style="154"/>
    <col min="3" max="3" width="16.5" style="154" customWidth="1"/>
    <col min="4" max="4" width="14.5" style="154" customWidth="1"/>
    <col min="5" max="16384" width="8.6640625" style="154"/>
  </cols>
  <sheetData>
    <row r="2" spans="1:7" ht="14">
      <c r="A2" s="207" t="s">
        <v>438</v>
      </c>
      <c r="B2" s="207"/>
      <c r="C2" s="207"/>
    </row>
    <row r="4" spans="1:7">
      <c r="C4" s="154" t="s">
        <v>400</v>
      </c>
      <c r="D4" s="154">
        <v>4.0000000000000001E-3</v>
      </c>
    </row>
    <row r="5" spans="1:7">
      <c r="C5" s="154" t="s">
        <v>397</v>
      </c>
      <c r="F5" s="154" t="s">
        <v>400</v>
      </c>
      <c r="G5" s="154">
        <v>4.0000000000000001E-3</v>
      </c>
    </row>
    <row r="7" spans="1:7">
      <c r="A7" s="154" t="s">
        <v>417</v>
      </c>
      <c r="B7" s="154">
        <v>0.5</v>
      </c>
      <c r="C7" s="154" t="s">
        <v>398</v>
      </c>
      <c r="D7" s="154">
        <v>2.3004237610612342E-2</v>
      </c>
      <c r="F7" s="154" t="s">
        <v>397</v>
      </c>
      <c r="G7" s="154">
        <v>3.9039982411235453E-3</v>
      </c>
    </row>
    <row r="8" spans="1:7">
      <c r="A8" s="154" t="s">
        <v>416</v>
      </c>
      <c r="B8" s="154">
        <v>1</v>
      </c>
      <c r="C8" s="154" t="s">
        <v>395</v>
      </c>
      <c r="D8" s="154">
        <v>2.3747700401668376E-2</v>
      </c>
      <c r="F8" s="154" t="s">
        <v>394</v>
      </c>
      <c r="G8" s="154">
        <v>3.8087226157008588E-3</v>
      </c>
    </row>
    <row r="9" spans="1:7">
      <c r="A9" s="154" t="s">
        <v>415</v>
      </c>
      <c r="B9" s="154">
        <v>1.5</v>
      </c>
      <c r="C9" s="154" t="s">
        <v>392</v>
      </c>
      <c r="D9" s="154">
        <v>2.5567322375367109E-2</v>
      </c>
      <c r="F9" s="154" t="s">
        <v>391</v>
      </c>
      <c r="G9" s="154">
        <v>3.7155189416216029E-3</v>
      </c>
    </row>
    <row r="10" spans="1:7">
      <c r="A10" s="154" t="s">
        <v>414</v>
      </c>
      <c r="B10" s="154">
        <v>2</v>
      </c>
      <c r="C10" s="154" t="s">
        <v>389</v>
      </c>
      <c r="D10" s="154">
        <v>2.6813968960031777E-2</v>
      </c>
      <c r="F10" s="154" t="s">
        <v>388</v>
      </c>
      <c r="G10" s="154">
        <v>3.6244682055371551E-3</v>
      </c>
    </row>
    <row r="11" spans="1:7">
      <c r="A11" s="154" t="s">
        <v>413</v>
      </c>
      <c r="B11" s="154">
        <v>2.5</v>
      </c>
      <c r="C11" s="154" t="s">
        <v>386</v>
      </c>
      <c r="D11" s="154">
        <v>2.8324225628191996E-2</v>
      </c>
      <c r="F11" s="154" t="s">
        <v>385</v>
      </c>
      <c r="G11" s="154">
        <v>3.5355690108188039E-3</v>
      </c>
    </row>
    <row r="12" spans="1:7">
      <c r="A12" s="154" t="s">
        <v>412</v>
      </c>
      <c r="B12" s="154">
        <v>3</v>
      </c>
      <c r="C12" s="154" t="s">
        <v>383</v>
      </c>
      <c r="D12" s="154">
        <v>3.2553335789395815E-2</v>
      </c>
      <c r="F12" s="154" t="s">
        <v>382</v>
      </c>
      <c r="G12" s="154">
        <v>3.4487950654828229E-3</v>
      </c>
    </row>
    <row r="13" spans="1:7">
      <c r="A13" s="154" t="s">
        <v>411</v>
      </c>
      <c r="B13" s="154">
        <v>3.5</v>
      </c>
      <c r="C13" s="154" t="s">
        <v>380</v>
      </c>
      <c r="D13" s="154">
        <v>3.4958564117177592E-2</v>
      </c>
      <c r="F13" s="154" t="s">
        <v>379</v>
      </c>
      <c r="G13" s="154">
        <v>3.3641100042021105E-3</v>
      </c>
    </row>
    <row r="14" spans="1:7">
      <c r="A14" s="154" t="s">
        <v>410</v>
      </c>
      <c r="B14" s="154">
        <v>4</v>
      </c>
    </row>
    <row r="15" spans="1:7">
      <c r="C15" s="154" t="s">
        <v>377</v>
      </c>
      <c r="D15" s="154">
        <v>0.70710678118654757</v>
      </c>
    </row>
    <row r="17" spans="3:40">
      <c r="C17" s="154" t="s">
        <v>376</v>
      </c>
      <c r="D17" s="154">
        <v>2.7605436300388135E-3</v>
      </c>
      <c r="F17" s="167" t="s">
        <v>436</v>
      </c>
      <c r="G17" s="167"/>
      <c r="H17" s="167"/>
      <c r="I17" s="167"/>
      <c r="J17" s="167"/>
      <c r="K17" s="167"/>
      <c r="L17" s="167"/>
      <c r="M17" s="167"/>
      <c r="O17" s="170" t="s">
        <v>435</v>
      </c>
      <c r="P17" s="170"/>
      <c r="Q17" s="170"/>
      <c r="R17" s="170"/>
      <c r="S17" s="170"/>
      <c r="T17" s="170"/>
      <c r="U17" s="170"/>
      <c r="V17" s="170"/>
      <c r="X17" s="169" t="s">
        <v>434</v>
      </c>
      <c r="Y17" s="169"/>
      <c r="Z17" s="169"/>
      <c r="AA17" s="169"/>
      <c r="AB17" s="169"/>
      <c r="AC17" s="169"/>
      <c r="AD17" s="169"/>
      <c r="AE17" s="169"/>
      <c r="AG17" s="154" t="s">
        <v>375</v>
      </c>
    </row>
    <row r="18" spans="3:40">
      <c r="C18" s="154" t="s">
        <v>374</v>
      </c>
      <c r="D18" s="154">
        <v>2.6931735892206424E-3</v>
      </c>
      <c r="F18" s="167"/>
      <c r="G18" s="167"/>
      <c r="H18" s="167"/>
      <c r="I18" s="167"/>
      <c r="J18" s="167"/>
      <c r="K18" s="167"/>
      <c r="L18" s="167"/>
      <c r="M18" s="167">
        <v>-3.3535918012013992</v>
      </c>
      <c r="O18" s="170"/>
      <c r="P18" s="170"/>
      <c r="Q18" s="170"/>
      <c r="R18" s="170"/>
      <c r="S18" s="170"/>
      <c r="T18" s="170"/>
      <c r="U18" s="170"/>
      <c r="V18" s="170">
        <v>3.4958564117177585E-2</v>
      </c>
      <c r="X18" s="169"/>
      <c r="Y18" s="169"/>
      <c r="Z18" s="169"/>
      <c r="AA18" s="169"/>
      <c r="AB18" s="169"/>
      <c r="AC18" s="169"/>
      <c r="AD18" s="169"/>
      <c r="AE18" s="169">
        <v>0.98267259440741417</v>
      </c>
      <c r="AN18" s="154">
        <v>7.8125E-3</v>
      </c>
    </row>
    <row r="19" spans="3:40">
      <c r="C19" s="154" t="s">
        <v>373</v>
      </c>
      <c r="D19" s="154">
        <v>2.6272686392476994E-3</v>
      </c>
      <c r="F19" s="167"/>
      <c r="G19" s="167"/>
      <c r="H19" s="167"/>
      <c r="I19" s="167"/>
      <c r="J19" s="167"/>
      <c r="K19" s="167"/>
      <c r="L19" s="167">
        <v>-3.4248754335693929</v>
      </c>
      <c r="M19" s="167"/>
      <c r="O19" s="170"/>
      <c r="P19" s="170"/>
      <c r="Q19" s="170"/>
      <c r="R19" s="170"/>
      <c r="S19" s="170"/>
      <c r="T19" s="170"/>
      <c r="U19" s="170">
        <v>3.2553335789395822E-2</v>
      </c>
      <c r="V19" s="170"/>
      <c r="X19" s="169"/>
      <c r="Y19" s="169"/>
      <c r="Z19" s="169"/>
      <c r="AA19" s="169"/>
      <c r="AB19" s="169"/>
      <c r="AC19" s="169"/>
      <c r="AD19" s="169">
        <v>0.98385508128313126</v>
      </c>
      <c r="AE19" s="169"/>
      <c r="AM19" s="154">
        <v>1.5625E-2</v>
      </c>
    </row>
    <row r="20" spans="3:40">
      <c r="C20" s="154" t="s">
        <v>372</v>
      </c>
      <c r="D20" s="154">
        <v>2.56288604633036E-3</v>
      </c>
      <c r="F20" s="167"/>
      <c r="G20" s="167"/>
      <c r="H20" s="167"/>
      <c r="I20" s="167"/>
      <c r="J20" s="167"/>
      <c r="K20" s="167">
        <v>-3.5640378112522999</v>
      </c>
      <c r="L20" s="167"/>
      <c r="M20" s="167">
        <v>-3.3583493711946568</v>
      </c>
      <c r="O20" s="170"/>
      <c r="P20" s="170"/>
      <c r="Q20" s="170"/>
      <c r="R20" s="170"/>
      <c r="S20" s="170"/>
      <c r="T20" s="170">
        <v>2.8324225628192E-2</v>
      </c>
      <c r="U20" s="170"/>
      <c r="V20" s="170">
        <v>3.4792641309177086E-2</v>
      </c>
      <c r="X20" s="169"/>
      <c r="Y20" s="169"/>
      <c r="Z20" s="169"/>
      <c r="AA20" s="169"/>
      <c r="AB20" s="169"/>
      <c r="AC20" s="169">
        <v>0.98593769817188814</v>
      </c>
      <c r="AD20" s="169"/>
      <c r="AE20" s="169">
        <v>0.98275412168728082</v>
      </c>
      <c r="AL20" s="154">
        <v>3.125E-2</v>
      </c>
      <c r="AN20" s="154">
        <v>5.46875E-2</v>
      </c>
    </row>
    <row r="21" spans="3:40">
      <c r="C21" s="154" t="s">
        <v>371</v>
      </c>
      <c r="D21" s="154">
        <v>2.5000248229029905E-3</v>
      </c>
      <c r="F21" s="167"/>
      <c r="G21" s="167"/>
      <c r="H21" s="167"/>
      <c r="I21" s="167"/>
      <c r="J21" s="167">
        <v>-3.618832297406489</v>
      </c>
      <c r="K21" s="167"/>
      <c r="L21" s="167">
        <v>-3.4297527663248442</v>
      </c>
      <c r="M21" s="167"/>
      <c r="O21" s="170"/>
      <c r="P21" s="170"/>
      <c r="Q21" s="170"/>
      <c r="R21" s="170"/>
      <c r="S21" s="170">
        <v>2.681396896003178E-2</v>
      </c>
      <c r="T21" s="170"/>
      <c r="U21" s="170">
        <v>3.2394948905200581E-2</v>
      </c>
      <c r="V21" s="170"/>
      <c r="X21" s="169"/>
      <c r="Y21" s="169"/>
      <c r="Z21" s="169"/>
      <c r="AA21" s="169"/>
      <c r="AB21" s="169">
        <v>0.98668248883429044</v>
      </c>
      <c r="AC21" s="169"/>
      <c r="AD21" s="169">
        <v>0.98393299923879807</v>
      </c>
      <c r="AE21" s="169"/>
      <c r="AK21" s="154">
        <v>6.25E-2</v>
      </c>
      <c r="AM21" s="154">
        <v>9.375E-2</v>
      </c>
    </row>
    <row r="22" spans="3:40">
      <c r="C22" s="154" t="s">
        <v>370</v>
      </c>
      <c r="D22" s="154">
        <v>2.4386663777256077E-3</v>
      </c>
      <c r="F22" s="167"/>
      <c r="G22" s="167"/>
      <c r="H22" s="167"/>
      <c r="I22" s="167">
        <v>-3.6664402125902527</v>
      </c>
      <c r="J22" s="167"/>
      <c r="K22" s="167">
        <v>-3.5690378608981059</v>
      </c>
      <c r="L22" s="167"/>
      <c r="M22" s="167">
        <v>-3.3631069411879144</v>
      </c>
      <c r="O22" s="170"/>
      <c r="P22" s="170"/>
      <c r="Q22" s="170"/>
      <c r="R22" s="170">
        <v>2.5567322375367109E-2</v>
      </c>
      <c r="S22" s="170"/>
      <c r="T22" s="170">
        <v>2.81829565643546E-2</v>
      </c>
      <c r="U22" s="170"/>
      <c r="V22" s="170">
        <v>3.4627506015735887E-2</v>
      </c>
      <c r="X22" s="169"/>
      <c r="Y22" s="169"/>
      <c r="Z22" s="169"/>
      <c r="AA22" s="169">
        <v>0.98729770273037365</v>
      </c>
      <c r="AB22" s="169"/>
      <c r="AC22" s="169">
        <v>0.98600734187929595</v>
      </c>
      <c r="AD22" s="169"/>
      <c r="AE22" s="169">
        <v>0.98283526873242766</v>
      </c>
      <c r="AJ22" s="154">
        <v>0.125</v>
      </c>
      <c r="AL22" s="154">
        <v>0.15625</v>
      </c>
      <c r="AN22" s="154">
        <v>0.1640625</v>
      </c>
    </row>
    <row r="23" spans="3:40">
      <c r="C23" s="154" t="s">
        <v>369</v>
      </c>
      <c r="D23" s="154">
        <v>2.3787849966288173E-3</v>
      </c>
      <c r="F23" s="167"/>
      <c r="G23" s="167"/>
      <c r="H23" s="167">
        <v>-3.740269578382259</v>
      </c>
      <c r="I23" s="167"/>
      <c r="J23" s="167">
        <v>-3.6239580694991496</v>
      </c>
      <c r="K23" s="167"/>
      <c r="L23" s="167">
        <v>-3.4346300990802954</v>
      </c>
      <c r="M23" s="167"/>
      <c r="O23" s="170"/>
      <c r="P23" s="170"/>
      <c r="Q23" s="170">
        <v>2.3747700401668372E-2</v>
      </c>
      <c r="R23" s="170"/>
      <c r="S23" s="170">
        <v>2.6676878314101097E-2</v>
      </c>
      <c r="T23" s="170"/>
      <c r="U23" s="170">
        <v>3.2237332645719423E-2</v>
      </c>
      <c r="V23" s="170"/>
      <c r="X23" s="169"/>
      <c r="Y23" s="169"/>
      <c r="Z23" s="169">
        <v>0.98819636577237402</v>
      </c>
      <c r="AA23" s="169"/>
      <c r="AB23" s="169">
        <v>0.98675012362214953</v>
      </c>
      <c r="AC23" s="169"/>
      <c r="AD23" s="169">
        <v>0.98401054421380529</v>
      </c>
      <c r="AE23" s="169"/>
      <c r="AI23" s="154">
        <v>0.25</v>
      </c>
      <c r="AK23" s="154">
        <v>0.25</v>
      </c>
      <c r="AM23" s="154">
        <v>0.234375</v>
      </c>
    </row>
    <row r="24" spans="3:40">
      <c r="F24" s="167"/>
      <c r="G24" s="167">
        <v>-3.7720768360841506</v>
      </c>
      <c r="H24" s="167"/>
      <c r="I24" s="167">
        <v>-3.671694749868748</v>
      </c>
      <c r="J24" s="167"/>
      <c r="K24" s="167">
        <v>-3.574037910543912</v>
      </c>
      <c r="L24" s="167"/>
      <c r="M24" s="167">
        <v>-3.367864511181172</v>
      </c>
      <c r="O24" s="170"/>
      <c r="P24" s="170">
        <v>2.3004237610612339E-2</v>
      </c>
      <c r="Q24" s="170"/>
      <c r="R24" s="170">
        <v>2.5433330268390175E-2</v>
      </c>
      <c r="S24" s="170"/>
      <c r="T24" s="170">
        <v>2.8042392089890959E-2</v>
      </c>
      <c r="U24" s="170"/>
      <c r="V24" s="170">
        <v>3.4463154499096732E-2</v>
      </c>
      <c r="X24" s="169"/>
      <c r="Y24" s="169">
        <v>0.98856377767151637</v>
      </c>
      <c r="Z24" s="169"/>
      <c r="AA24" s="169">
        <v>0.98736384999585303</v>
      </c>
      <c r="AB24" s="169"/>
      <c r="AC24" s="169">
        <v>0.98607664311650467</v>
      </c>
      <c r="AD24" s="169"/>
      <c r="AE24" s="169">
        <v>0.98291603728450205</v>
      </c>
      <c r="AH24" s="154">
        <v>0.5</v>
      </c>
      <c r="AJ24" s="154">
        <v>0.375</v>
      </c>
      <c r="AL24" s="154">
        <v>0.3125</v>
      </c>
      <c r="AN24" s="154">
        <v>0.2734375</v>
      </c>
    </row>
    <row r="25" spans="3:40">
      <c r="F25" s="167">
        <v>-3.9907868830691338</v>
      </c>
      <c r="G25" s="167"/>
      <c r="H25" s="167">
        <v>-3.7456559255607003</v>
      </c>
      <c r="I25" s="167"/>
      <c r="J25" s="167">
        <v>-3.6290838415918105</v>
      </c>
      <c r="K25" s="167"/>
      <c r="L25" s="167">
        <v>-3.4395074318357466</v>
      </c>
      <c r="M25" s="167"/>
      <c r="O25" s="170">
        <v>1.8485162733864996E-2</v>
      </c>
      <c r="P25" s="170"/>
      <c r="Q25" s="170">
        <v>2.3620130917808266E-2</v>
      </c>
      <c r="R25" s="170"/>
      <c r="S25" s="170">
        <v>2.6540488565722338E-2</v>
      </c>
      <c r="T25" s="170"/>
      <c r="U25" s="170">
        <v>3.2080483261510251E-2</v>
      </c>
      <c r="V25" s="170"/>
      <c r="X25" s="169">
        <v>0.99080000000000001</v>
      </c>
      <c r="Y25" s="169"/>
      <c r="Z25" s="169">
        <v>0.98825939963281895</v>
      </c>
      <c r="AA25" s="169"/>
      <c r="AB25" s="169">
        <v>0.98681741721719929</v>
      </c>
      <c r="AC25" s="169"/>
      <c r="AD25" s="169">
        <v>0.98408771796388717</v>
      </c>
      <c r="AE25" s="169"/>
      <c r="AG25" s="154">
        <v>1</v>
      </c>
      <c r="AI25" s="154">
        <v>0.5</v>
      </c>
      <c r="AK25" s="154">
        <v>0.375</v>
      </c>
      <c r="AM25" s="154">
        <v>0.3125</v>
      </c>
    </row>
    <row r="26" spans="3:40">
      <c r="C26" s="154" t="s">
        <v>368</v>
      </c>
      <c r="D26" s="154">
        <v>1.8485162733864999E-2</v>
      </c>
      <c r="F26" s="167"/>
      <c r="G26" s="167">
        <v>-3.7775979233442283</v>
      </c>
      <c r="H26" s="167"/>
      <c r="I26" s="167">
        <v>-3.6769492871472433</v>
      </c>
      <c r="J26" s="167"/>
      <c r="K26" s="167">
        <v>-3.579037960189718</v>
      </c>
      <c r="L26" s="167"/>
      <c r="M26" s="167">
        <v>-3.3726220811744296</v>
      </c>
      <c r="O26" s="170"/>
      <c r="P26" s="170">
        <v>2.2877579175287058E-2</v>
      </c>
      <c r="Q26" s="170"/>
      <c r="R26" s="170">
        <v>2.5300040381398131E-2</v>
      </c>
      <c r="S26" s="170"/>
      <c r="T26" s="170">
        <v>2.7902528690612105E-2</v>
      </c>
      <c r="U26" s="170"/>
      <c r="V26" s="170">
        <v>3.4299583039242763E-2</v>
      </c>
      <c r="X26" s="169"/>
      <c r="Y26" s="169">
        <v>0.98862638462456975</v>
      </c>
      <c r="Z26" s="169"/>
      <c r="AA26" s="169">
        <v>0.98742965499660684</v>
      </c>
      <c r="AB26" s="169"/>
      <c r="AC26" s="169">
        <v>0.98614560354336434</v>
      </c>
      <c r="AD26" s="169"/>
      <c r="AE26" s="169">
        <v>0.9829964290774742</v>
      </c>
      <c r="AH26" s="154">
        <v>0.5</v>
      </c>
      <c r="AJ26" s="154">
        <v>0.375</v>
      </c>
      <c r="AL26" s="154">
        <v>0.3125</v>
      </c>
      <c r="AN26" s="154">
        <v>0.2734375</v>
      </c>
    </row>
    <row r="27" spans="3:40">
      <c r="F27" s="167"/>
      <c r="G27" s="167"/>
      <c r="H27" s="167">
        <v>-3.7510422727391415</v>
      </c>
      <c r="I27" s="167"/>
      <c r="J27" s="167">
        <v>-3.634209613684471</v>
      </c>
      <c r="K27" s="167"/>
      <c r="L27" s="167">
        <v>-3.4443847645911978</v>
      </c>
      <c r="M27" s="167"/>
      <c r="O27" s="170"/>
      <c r="P27" s="170"/>
      <c r="Q27" s="170">
        <v>2.3493246720225864E-2</v>
      </c>
      <c r="R27" s="170"/>
      <c r="S27" s="170">
        <v>2.640479613144623E-2</v>
      </c>
      <c r="T27" s="170"/>
      <c r="U27" s="170">
        <v>3.1924397021373743E-2</v>
      </c>
      <c r="V27" s="170"/>
      <c r="X27" s="169"/>
      <c r="Y27" s="169"/>
      <c r="Z27" s="169">
        <v>0.98832209887214639</v>
      </c>
      <c r="AA27" s="169"/>
      <c r="AB27" s="169">
        <v>0.98688437131722895</v>
      </c>
      <c r="AC27" s="169"/>
      <c r="AD27" s="169">
        <v>0.9841645222368014</v>
      </c>
      <c r="AE27" s="169"/>
      <c r="AI27" s="154">
        <v>0.25</v>
      </c>
      <c r="AK27" s="154">
        <v>0.25</v>
      </c>
      <c r="AM27" s="154">
        <v>0.234375</v>
      </c>
    </row>
    <row r="28" spans="3:40">
      <c r="F28" s="167"/>
      <c r="G28" s="167"/>
      <c r="H28" s="167"/>
      <c r="I28" s="167">
        <v>-3.6822038244257387</v>
      </c>
      <c r="J28" s="167"/>
      <c r="K28" s="167">
        <v>-3.584038009835524</v>
      </c>
      <c r="L28" s="167"/>
      <c r="M28" s="167">
        <v>-3.3773796511676872</v>
      </c>
      <c r="O28" s="170"/>
      <c r="P28" s="170"/>
      <c r="Q28" s="170"/>
      <c r="R28" s="170">
        <v>2.5167449034227136E-2</v>
      </c>
      <c r="S28" s="170"/>
      <c r="T28" s="170">
        <v>2.7763362869856336E-2</v>
      </c>
      <c r="U28" s="170"/>
      <c r="V28" s="170">
        <v>3.4136787933813327E-2</v>
      </c>
      <c r="X28" s="169"/>
      <c r="Y28" s="169"/>
      <c r="Z28" s="169"/>
      <c r="AA28" s="169">
        <v>0.98749511948068525</v>
      </c>
      <c r="AB28" s="169"/>
      <c r="AC28" s="169">
        <v>0.98621422481192134</v>
      </c>
      <c r="AD28" s="169"/>
      <c r="AE28" s="169">
        <v>0.98307644583766851</v>
      </c>
      <c r="AJ28" s="154">
        <v>0.125</v>
      </c>
      <c r="AL28" s="154">
        <v>0.15625</v>
      </c>
      <c r="AN28" s="154">
        <v>0.1640625</v>
      </c>
    </row>
    <row r="29" spans="3:40">
      <c r="F29" s="167"/>
      <c r="G29" s="167"/>
      <c r="H29" s="167"/>
      <c r="I29" s="167"/>
      <c r="J29" s="167">
        <v>-3.639335385777132</v>
      </c>
      <c r="K29" s="167"/>
      <c r="L29" s="167">
        <v>-3.449262097346649</v>
      </c>
      <c r="M29" s="167"/>
      <c r="O29" s="170"/>
      <c r="P29" s="170"/>
      <c r="Q29" s="170"/>
      <c r="R29" s="170"/>
      <c r="S29" s="170">
        <v>2.6269797446144407E-2</v>
      </c>
      <c r="T29" s="170"/>
      <c r="U29" s="170">
        <v>3.1769070212264543E-2</v>
      </c>
      <c r="V29" s="170"/>
      <c r="X29" s="169"/>
      <c r="Y29" s="169"/>
      <c r="Z29" s="169"/>
      <c r="AA29" s="169"/>
      <c r="AB29" s="169">
        <v>0.9869509876118181</v>
      </c>
      <c r="AC29" s="169"/>
      <c r="AD29" s="169">
        <v>0.98424095877236262</v>
      </c>
      <c r="AE29" s="169"/>
      <c r="AK29" s="154">
        <v>6.25E-2</v>
      </c>
      <c r="AM29" s="154">
        <v>9.375E-2</v>
      </c>
    </row>
    <row r="30" spans="3:40">
      <c r="F30" s="167"/>
      <c r="G30" s="167"/>
      <c r="H30" s="167"/>
      <c r="I30" s="167"/>
      <c r="J30" s="167"/>
      <c r="K30" s="167">
        <v>-3.5890380594813296</v>
      </c>
      <c r="L30" s="167"/>
      <c r="M30" s="167">
        <v>-3.3821372211609448</v>
      </c>
      <c r="O30" s="170"/>
      <c r="P30" s="170"/>
      <c r="Q30" s="170"/>
      <c r="R30" s="170"/>
      <c r="S30" s="170"/>
      <c r="T30" s="170">
        <v>2.7624891148401807E-2</v>
      </c>
      <c r="U30" s="170"/>
      <c r="V30" s="170">
        <v>3.3974765498020178E-2</v>
      </c>
      <c r="X30" s="169"/>
      <c r="Y30" s="169"/>
      <c r="Z30" s="169"/>
      <c r="AA30" s="169"/>
      <c r="AB30" s="169"/>
      <c r="AC30" s="169">
        <v>0.98628250856645272</v>
      </c>
      <c r="AD30" s="169"/>
      <c r="AE30" s="169">
        <v>0.98315608928379394</v>
      </c>
      <c r="AL30" s="154">
        <v>3.125E-2</v>
      </c>
      <c r="AN30" s="154">
        <v>5.46875E-2</v>
      </c>
    </row>
    <row r="31" spans="3:40">
      <c r="F31" s="167"/>
      <c r="G31" s="167"/>
      <c r="H31" s="167"/>
      <c r="I31" s="167"/>
      <c r="J31" s="167"/>
      <c r="K31" s="167"/>
      <c r="L31" s="167">
        <v>-3.4541394301021002</v>
      </c>
      <c r="M31" s="167"/>
      <c r="O31" s="170"/>
      <c r="P31" s="170"/>
      <c r="Q31" s="170"/>
      <c r="R31" s="170"/>
      <c r="S31" s="170"/>
      <c r="T31" s="170"/>
      <c r="U31" s="170">
        <v>3.1614499139202973E-2</v>
      </c>
      <c r="V31" s="170"/>
      <c r="X31" s="169"/>
      <c r="Y31" s="169"/>
      <c r="Z31" s="169"/>
      <c r="AA31" s="169"/>
      <c r="AB31" s="169"/>
      <c r="AC31" s="169"/>
      <c r="AD31" s="169">
        <v>0.98431702930247489</v>
      </c>
      <c r="AE31" s="169"/>
      <c r="AM31" s="154">
        <v>1.5625E-2</v>
      </c>
    </row>
    <row r="32" spans="3:40">
      <c r="F32" s="167"/>
      <c r="G32" s="167"/>
      <c r="H32" s="167"/>
      <c r="I32" s="167"/>
      <c r="J32" s="167"/>
      <c r="K32" s="167"/>
      <c r="L32" s="167"/>
      <c r="M32" s="167">
        <v>-3.3868947911542024</v>
      </c>
      <c r="O32" s="170"/>
      <c r="P32" s="170"/>
      <c r="Q32" s="170"/>
      <c r="R32" s="170"/>
      <c r="S32" s="170"/>
      <c r="T32" s="170"/>
      <c r="U32" s="170"/>
      <c r="V32" s="170">
        <v>3.3813512064564073E-2</v>
      </c>
      <c r="X32" s="169"/>
      <c r="Y32" s="169"/>
      <c r="Z32" s="169"/>
      <c r="AA32" s="169"/>
      <c r="AB32" s="169"/>
      <c r="AC32" s="169"/>
      <c r="AD32" s="169"/>
      <c r="AE32" s="169">
        <v>0.9832353611269754</v>
      </c>
      <c r="AN32" s="154">
        <v>7.8125E-3</v>
      </c>
    </row>
    <row r="42" spans="1:4" ht="14">
      <c r="A42" s="183" t="s">
        <v>438</v>
      </c>
      <c r="B42" s="183"/>
      <c r="C42" s="183"/>
      <c r="D42" s="183"/>
    </row>
    <row r="43" spans="1:4" ht="14">
      <c r="A43" s="183"/>
      <c r="B43" s="183"/>
      <c r="C43" s="183"/>
      <c r="D43" s="183"/>
    </row>
    <row r="44" spans="1:4" ht="14">
      <c r="A44" s="183" t="s">
        <v>437</v>
      </c>
      <c r="B44" s="183"/>
      <c r="C44" s="183"/>
      <c r="D44" s="183"/>
    </row>
    <row r="45" spans="1:4" ht="14">
      <c r="A45" s="183"/>
      <c r="B45" s="183"/>
      <c r="C45" s="183"/>
      <c r="D45" s="183"/>
    </row>
    <row r="46" spans="1:4" ht="14">
      <c r="A46" s="183" t="s">
        <v>431</v>
      </c>
      <c r="B46" s="183">
        <v>4.8000879438227395E-2</v>
      </c>
      <c r="C46" s="183" t="s">
        <v>430</v>
      </c>
      <c r="D46" s="183">
        <v>0.43189900670988879</v>
      </c>
    </row>
    <row r="47" spans="1:4" ht="14">
      <c r="A47" s="183" t="s">
        <v>429</v>
      </c>
      <c r="B47" s="183">
        <v>4.8809256325518691E-2</v>
      </c>
      <c r="C47" s="183" t="s">
        <v>428</v>
      </c>
      <c r="D47" s="183">
        <v>-0.12588409694664107</v>
      </c>
    </row>
    <row r="48" spans="1:4" ht="14">
      <c r="A48" s="183" t="s">
        <v>427</v>
      </c>
      <c r="B48" s="183">
        <v>4.8942222095690768E-2</v>
      </c>
      <c r="C48" s="183" t="s">
        <v>426</v>
      </c>
      <c r="D48" s="183">
        <v>-4.0652910097422806E-2</v>
      </c>
    </row>
    <row r="49" spans="1:4" ht="14">
      <c r="A49" s="183" t="s">
        <v>425</v>
      </c>
      <c r="B49" s="183">
        <v>4.9011046647879253E-2</v>
      </c>
      <c r="C49" s="183" t="s">
        <v>424</v>
      </c>
      <c r="D49" s="183">
        <v>-8.9606014016054669E-2</v>
      </c>
    </row>
    <row r="50" spans="1:4" ht="14">
      <c r="A50" s="183" t="s">
        <v>423</v>
      </c>
      <c r="B50" s="183">
        <v>4.9055028035582371E-2</v>
      </c>
      <c r="C50" s="183" t="s">
        <v>422</v>
      </c>
      <c r="D50" s="183">
        <v>-7.2932997142774E-2</v>
      </c>
    </row>
    <row r="51" spans="1:4" ht="14">
      <c r="A51" s="183" t="s">
        <v>421</v>
      </c>
      <c r="B51" s="183">
        <v>4.9086268756431295E-2</v>
      </c>
      <c r="C51" s="183" t="s">
        <v>420</v>
      </c>
      <c r="D51" s="183">
        <v>9.8502104749149166E-2</v>
      </c>
    </row>
    <row r="52" spans="1:4" ht="14">
      <c r="A52" s="183" t="s">
        <v>419</v>
      </c>
      <c r="B52" s="183">
        <v>4.910994110858069E-2</v>
      </c>
      <c r="C52" s="183" t="s">
        <v>418</v>
      </c>
      <c r="D52" s="183">
        <v>-3.0385736104087818E-2</v>
      </c>
    </row>
  </sheetData>
  <mergeCells count="1">
    <mergeCell ref="A2:C2"/>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198"/>
  <sheetViews>
    <sheetView topLeftCell="A173" workbookViewId="0">
      <selection activeCell="N189" sqref="N189"/>
    </sheetView>
  </sheetViews>
  <sheetFormatPr baseColWidth="10" defaultColWidth="8.83203125" defaultRowHeight="14"/>
  <cols>
    <col min="13" max="13" width="13.33203125" customWidth="1"/>
  </cols>
  <sheetData>
    <row r="1" spans="1:9" ht="16">
      <c r="A1" s="136" t="s">
        <v>222</v>
      </c>
      <c r="B1" s="136">
        <v>0.02</v>
      </c>
      <c r="C1" s="137" t="s">
        <v>223</v>
      </c>
      <c r="D1" s="138">
        <f>B2*EXP(-0.07*B3)</f>
        <v>5.7936324975453989E-3</v>
      </c>
      <c r="E1" s="138" t="s">
        <v>224</v>
      </c>
      <c r="F1" s="138">
        <f>(1-D1/B2)*(1/B3)</f>
        <v>6.8789167484867075E-2</v>
      </c>
    </row>
    <row r="2" spans="1:9" ht="16">
      <c r="A2" s="139" t="s">
        <v>225</v>
      </c>
      <c r="B2" s="136">
        <v>6.0000000000000001E-3</v>
      </c>
      <c r="C2" s="137" t="s">
        <v>226</v>
      </c>
      <c r="D2" s="138">
        <f>B2*EXP(-0.07*0.5*2)</f>
        <v>5.5943629194356893E-3</v>
      </c>
      <c r="E2" s="138" t="s">
        <v>227</v>
      </c>
      <c r="F2" s="138">
        <f>(1-D2/D1)*(1/B3)</f>
        <v>6.8789167484867075E-2</v>
      </c>
    </row>
    <row r="3" spans="1:9" ht="16">
      <c r="A3" s="136" t="s">
        <v>228</v>
      </c>
      <c r="B3" s="136">
        <v>0.5</v>
      </c>
      <c r="C3" s="137" t="s">
        <v>229</v>
      </c>
      <c r="D3" s="138">
        <f>B2*EXP(-0.07*0.5*3)</f>
        <v>5.4019471355175935E-3</v>
      </c>
      <c r="E3" s="138" t="s">
        <v>230</v>
      </c>
      <c r="F3" s="138">
        <f>(1-D3/D2)*1/B3</f>
        <v>6.8789167484867075E-2</v>
      </c>
    </row>
    <row r="4" spans="1:9" ht="16">
      <c r="A4" s="136" t="s">
        <v>231</v>
      </c>
      <c r="B4" s="136">
        <v>0.03</v>
      </c>
      <c r="C4" s="137" t="s">
        <v>232</v>
      </c>
      <c r="D4" s="138">
        <f>B2*EXP(-0.07*0.5*4)</f>
        <v>5.2161494123928349E-3</v>
      </c>
      <c r="E4" s="138" t="s">
        <v>233</v>
      </c>
      <c r="F4" s="138">
        <f>(1-D4/D3)*1/B3</f>
        <v>6.8789167484867075E-2</v>
      </c>
    </row>
    <row r="5" spans="1:9" ht="16">
      <c r="C5" s="137" t="s">
        <v>234</v>
      </c>
      <c r="D5" s="138">
        <f>B2*EXP(-0.07*0.5*5)</f>
        <v>5.0367421246152446E-3</v>
      </c>
      <c r="E5" s="138" t="s">
        <v>235</v>
      </c>
      <c r="F5" s="138">
        <f>(1-D5/D4)*1/B3</f>
        <v>6.8789167484866853E-2</v>
      </c>
    </row>
    <row r="6" spans="1:9" ht="16">
      <c r="C6" s="137" t="s">
        <v>236</v>
      </c>
      <c r="D6" s="138">
        <f>B2*EXP(-0.07*0.5*6)</f>
        <v>4.8635054758211227E-3</v>
      </c>
      <c r="E6" s="138" t="s">
        <v>237</v>
      </c>
      <c r="F6" s="138">
        <f>(1-D6/D5)*1/B3</f>
        <v>6.8789167484867297E-2</v>
      </c>
    </row>
    <row r="7" spans="1:9" ht="16">
      <c r="C7" s="137" t="s">
        <v>238</v>
      </c>
      <c r="D7" s="138">
        <f>B2*EXP(-0.07*0.5*7)</f>
        <v>4.6962272294512088E-3</v>
      </c>
      <c r="E7" s="138" t="s">
        <v>239</v>
      </c>
      <c r="F7" s="138">
        <f>(1-D7/D6)*1/B3</f>
        <v>6.8789167484867075E-2</v>
      </c>
    </row>
    <row r="8" spans="1:9" ht="16">
      <c r="C8" s="137" t="s">
        <v>240</v>
      </c>
      <c r="D8" s="138">
        <f>B2*EXP(-0.07*0.5*8)</f>
        <v>4.5347024487343533E-3</v>
      </c>
      <c r="E8" s="138" t="s">
        <v>241</v>
      </c>
      <c r="F8" s="138">
        <f>(1-D8/D7)*1/B3</f>
        <v>6.8789167484866631E-2</v>
      </c>
    </row>
    <row r="9" spans="1:9" ht="16">
      <c r="A9" s="140" t="s">
        <v>242</v>
      </c>
      <c r="C9" s="141"/>
    </row>
    <row r="10" spans="1:9" ht="16">
      <c r="A10" s="140" t="s">
        <v>243</v>
      </c>
      <c r="C10" s="141"/>
    </row>
    <row r="11" spans="1:9" ht="16">
      <c r="A11" s="142">
        <v>0</v>
      </c>
      <c r="B11" s="142">
        <v>0.5</v>
      </c>
      <c r="C11" s="143">
        <v>1</v>
      </c>
      <c r="D11" s="142">
        <v>1.5</v>
      </c>
      <c r="E11" s="142">
        <v>2</v>
      </c>
      <c r="F11" s="142">
        <v>2.5</v>
      </c>
      <c r="G11" s="142">
        <v>3</v>
      </c>
      <c r="H11" s="142">
        <v>3.5</v>
      </c>
      <c r="I11" s="142">
        <v>4</v>
      </c>
    </row>
    <row r="12" spans="1:9">
      <c r="I12">
        <f>H13+(B4*F8-F8*H13)*B3+D8*(B3^0.5)</f>
        <v>4.8094313402749181E-2</v>
      </c>
    </row>
    <row r="13" spans="1:9">
      <c r="H13">
        <f>G14+(B4*F7-F7*G14)*B3+D7*(B3^0.5)</f>
        <v>4.5418093457146362E-2</v>
      </c>
    </row>
    <row r="14" spans="1:9">
      <c r="G14">
        <f>F15+(B4*F6-F6*F15)*B3+D6*(B3^0.5)</f>
        <v>4.2528263754044268E-2</v>
      </c>
      <c r="I14">
        <f>I12-2*D8*((0.5)^0.5)</f>
        <v>4.1681275698422574E-2</v>
      </c>
    </row>
    <row r="15" spans="1:9">
      <c r="F15">
        <f>E16+(B4*F5-F5*E16)*B3+D5*(B3^0.5)</f>
        <v>3.9413002349324829E-2</v>
      </c>
      <c r="H15">
        <f>H13-2*D7*((0.5)^0.5)</f>
        <v>3.8776625217270641E-2</v>
      </c>
    </row>
    <row r="16" spans="1:9">
      <c r="E16">
        <f>D17+(B4*F4-F4*D17)*B3+D4*(B3^0.5)</f>
        <v>3.6059916130752746E-2</v>
      </c>
      <c r="G16">
        <f>G14-2*D6*((0.5)^0.5)</f>
        <v>3.5650228349462222E-2</v>
      </c>
      <c r="I16">
        <f>I12-4*D8*((0.5)^0.5)</f>
        <v>3.5268237994095966E-2</v>
      </c>
    </row>
    <row r="17" spans="1:9">
      <c r="D17">
        <f>C18+(B4*F3-F3*C18)*B3+D3*(B3^0.5)</f>
        <v>3.2456015127544556E-2</v>
      </c>
      <c r="F17">
        <f>F15-2*D5*((0.5)^0.5)</f>
        <v>3.2289973326518069E-2</v>
      </c>
      <c r="H17">
        <f>H13-4*D7*((0.5)^0.5)</f>
        <v>3.2135156977394913E-2</v>
      </c>
    </row>
    <row r="18" spans="1:9">
      <c r="C18">
        <f>B19+(B4*F2-F2*B19)*B3+D2*(B3^0.5)</f>
        <v>2.8587685714443617E-2</v>
      </c>
      <c r="E18">
        <f>E16-2*D4*((0.5)^0.5)</f>
        <v>2.868316688838235E-2</v>
      </c>
      <c r="G18">
        <f>G14-4*D6*((0.5)^0.5)</f>
        <v>2.8772192944880176E-2</v>
      </c>
      <c r="I18">
        <f>I12-6*D8*((0.5)^0.5)</f>
        <v>2.8855200289769359E-2</v>
      </c>
    </row>
    <row r="19" spans="1:9">
      <c r="B19">
        <f>B1+(B4*F1-F1*B1)*B3+D1*(B3^0.5)</f>
        <v>2.4440662664141442E-2</v>
      </c>
      <c r="D19">
        <f>D17-2*D3*((0.5)^0.5)</f>
        <v>2.4816508225273082E-2</v>
      </c>
      <c r="F19">
        <f>F15-4*D5*((0.5)^0.5)</f>
        <v>2.5166944303711317E-2</v>
      </c>
      <c r="H19">
        <f>H13-6*D7*((0.5)^0.5)</f>
        <v>2.5493688737519189E-2</v>
      </c>
    </row>
    <row r="20" spans="1:9">
      <c r="A20">
        <v>0.02</v>
      </c>
      <c r="C20">
        <f>C18-2*D2*((0.5)^0.5)</f>
        <v>2.0676061800940521E-2</v>
      </c>
      <c r="E20">
        <f>E16-4*D4*((0.5)^0.5)</f>
        <v>2.130641764601195E-2</v>
      </c>
      <c r="G20">
        <f>G14-6*D6*((0.5)^0.5)</f>
        <v>2.1894157540298134E-2</v>
      </c>
      <c r="I20">
        <f>I12-8*D8*((0.5)^0.5)</f>
        <v>2.2442162585442751E-2</v>
      </c>
    </row>
    <row r="21" spans="1:9">
      <c r="B21">
        <f>B19-2*D1*((0.5)^0.5)</f>
        <v>1.6247229010707229E-2</v>
      </c>
      <c r="D21">
        <f>D17-4*D3*((0.5)^0.5)</f>
        <v>1.7177001323001609E-2</v>
      </c>
      <c r="F21">
        <f>F15-6*D5*((0.5)^0.5)</f>
        <v>1.8043915280904557E-2</v>
      </c>
      <c r="H21">
        <f>H13-8*D7*((0.5)^0.5)</f>
        <v>1.8852220497643464E-2</v>
      </c>
    </row>
    <row r="22" spans="1:9">
      <c r="C22">
        <f>C18-4*D2*((0.5)^0.5)</f>
        <v>1.2764437887437426E-2</v>
      </c>
      <c r="E22">
        <f>E16-6*D4*((0.5)^0.5)</f>
        <v>1.3929668403641553E-2</v>
      </c>
      <c r="G22">
        <f>G14-8*D6*((0.5)^0.5)</f>
        <v>1.5016122135716087E-2</v>
      </c>
      <c r="I22">
        <f>I12-10*D8*((0.5)^0.5)</f>
        <v>1.6029124881116144E-2</v>
      </c>
    </row>
    <row r="23" spans="1:9">
      <c r="D23">
        <f>D17-6*D3*((0.5)^0.5)</f>
        <v>9.5374944207301388E-3</v>
      </c>
      <c r="F23">
        <f>F15-8*D5*((0.5)^0.5)</f>
        <v>1.0920886258097801E-2</v>
      </c>
      <c r="H23">
        <f>H13-10*D7*((0.5)^0.5)</f>
        <v>1.2210752257767736E-2</v>
      </c>
    </row>
    <row r="24" spans="1:9">
      <c r="E24">
        <f>E16-8*D4*((0.5)^0.5)</f>
        <v>6.5529191612711535E-3</v>
      </c>
      <c r="G24">
        <f>G14-10*D6*((0.5)^0.5)</f>
        <v>8.1380867311340449E-3</v>
      </c>
      <c r="I24">
        <f>I12-12*D8*((0.5)^0.5)</f>
        <v>9.6160871767895367E-3</v>
      </c>
    </row>
    <row r="25" spans="1:9">
      <c r="F25">
        <f>F15-10*D5*((0.5)^0.5)</f>
        <v>3.7978572352910453E-3</v>
      </c>
      <c r="H25">
        <f>H13-12*D7*((0.5)^0.5)</f>
        <v>5.569284017892015E-3</v>
      </c>
    </row>
    <row r="26" spans="1:9">
      <c r="G26">
        <f>G14-12*D6*((0.5)^0.5)</f>
        <v>1.2600513265519989E-3</v>
      </c>
      <c r="I26">
        <f>I12-14*D8*((0.5)^0.5)</f>
        <v>3.2030494724629294E-3</v>
      </c>
    </row>
    <row r="27" spans="1:9">
      <c r="H27">
        <f>H13-14*D7*((0.5)^0.5)</f>
        <v>-1.0721842219837199E-3</v>
      </c>
    </row>
    <row r="28" spans="1:9">
      <c r="I28">
        <f>I12-16*D8*((0.5)^0.5)</f>
        <v>-3.209988231863678E-3</v>
      </c>
    </row>
    <row r="30" spans="1:9" ht="15">
      <c r="A30" s="140" t="s">
        <v>244</v>
      </c>
    </row>
    <row r="31" spans="1:9" ht="15">
      <c r="A31" s="142">
        <v>0</v>
      </c>
      <c r="B31" s="142">
        <v>0.5</v>
      </c>
      <c r="C31" s="142">
        <v>1</v>
      </c>
      <c r="D31" s="142">
        <v>1.5</v>
      </c>
      <c r="E31" s="142">
        <v>2</v>
      </c>
      <c r="F31" s="142">
        <v>2.5</v>
      </c>
      <c r="G31" s="142">
        <v>3</v>
      </c>
      <c r="H31" s="142">
        <v>3.5</v>
      </c>
      <c r="I31" s="142">
        <v>4</v>
      </c>
    </row>
    <row r="32" spans="1:9">
      <c r="I32">
        <f>EXP(-I12*0.5)</f>
        <v>0.97623967242973075</v>
      </c>
    </row>
    <row r="33" spans="1:9">
      <c r="H33">
        <f>EXP(-H13*0.5)</f>
        <v>0.97754686285848003</v>
      </c>
    </row>
    <row r="34" spans="1:9">
      <c r="G34">
        <f>EXP(-G14*0.5)</f>
        <v>0.97896035578124796</v>
      </c>
      <c r="I34">
        <f>EXP(-I14*0.5)</f>
        <v>0.97937502744467386</v>
      </c>
    </row>
    <row r="35" spans="1:9">
      <c r="F35">
        <f>EXP(-F15*0.5)</f>
        <v>0.98048640268802056</v>
      </c>
      <c r="H35">
        <f>EXP(-H15*0.5)</f>
        <v>0.98079843188993043</v>
      </c>
    </row>
    <row r="36" spans="1:9">
      <c r="E36">
        <f>EXP(-E16*0.5)</f>
        <v>0.9821316091546165</v>
      </c>
      <c r="G36">
        <f>EXP(-G16*0.5)</f>
        <v>0.98233281342159029</v>
      </c>
      <c r="I36">
        <f>EXP(-I16*0.5)</f>
        <v>0.98252045217031136</v>
      </c>
    </row>
    <row r="37" spans="1:9">
      <c r="D37">
        <f>EXP(-D17*0.5)</f>
        <v>0.98390295716178799</v>
      </c>
      <c r="F37">
        <f>EXP(-F17*0.5)</f>
        <v>0.98398464506216377</v>
      </c>
      <c r="H37">
        <f>EXP(-H17*0.5)</f>
        <v>0.9840608164654413</v>
      </c>
    </row>
    <row r="38" spans="1:9">
      <c r="C38">
        <f>EXP(-C18*0.5)</f>
        <v>0.98580782911040499</v>
      </c>
      <c r="E38">
        <f>EXP(-E18*0.5)</f>
        <v>0.98576076718939509</v>
      </c>
      <c r="G38">
        <f>EXP(-G18*0.5)</f>
        <v>0.98571688896910192</v>
      </c>
      <c r="I38">
        <f>EXP(-I18*0.5)</f>
        <v>0.98567597894718306</v>
      </c>
    </row>
    <row r="39" spans="1:9">
      <c r="B39">
        <f>EXP(-B19*0.5)</f>
        <v>0.98785403368690616</v>
      </c>
      <c r="D39">
        <f>EXP(-D19*0.5)</f>
        <v>0.9876684108520285</v>
      </c>
      <c r="F39">
        <f>EXP(-F19*0.5)</f>
        <v>0.98749536869017718</v>
      </c>
      <c r="H39">
        <f>EXP(-H19*0.5)</f>
        <v>0.98733405256025764</v>
      </c>
    </row>
    <row r="40" spans="1:9">
      <c r="A40">
        <f>EXP(-A20*0.5)</f>
        <v>0.99004983374916811</v>
      </c>
      <c r="C40">
        <f>EXP(-C20*0.5)</f>
        <v>0.98971522286994995</v>
      </c>
      <c r="E40">
        <f>EXP(-E20*0.5)</f>
        <v>0.98940333563467109</v>
      </c>
      <c r="G40">
        <f>EXP(-G20*0.5)</f>
        <v>0.98911262244675169</v>
      </c>
      <c r="I40">
        <f>EXP(-I20*0.5)</f>
        <v>0.98884164021969545</v>
      </c>
    </row>
    <row r="41" spans="1:9">
      <c r="B41">
        <f>EXP(-B21*0.5)</f>
        <v>0.99190929288169538</v>
      </c>
      <c r="D41">
        <f>EXP(-D21*0.5)</f>
        <v>0.99144827515196399</v>
      </c>
      <c r="F41">
        <f>EXP(-F21*0.5)</f>
        <v>0.99101861810348024</v>
      </c>
      <c r="H41">
        <f>EXP(-H21*0.5)</f>
        <v>0.99061817626928761</v>
      </c>
    </row>
    <row r="42" spans="1:9">
      <c r="C42">
        <f>EXP(-C22*0.5)</f>
        <v>0.99363810415712595</v>
      </c>
      <c r="E42">
        <f>EXP(-E22*0.5)</f>
        <v>0.9930593640443931</v>
      </c>
      <c r="G42">
        <f>EXP(-G22*0.5)</f>
        <v>0.99252005401538512</v>
      </c>
      <c r="I42">
        <f>EXP(-I22*0.5)</f>
        <v>0.992017468536456</v>
      </c>
    </row>
    <row r="43" spans="1:9">
      <c r="D43">
        <f>EXP(-D23*0.5)</f>
        <v>0.99524260521183361</v>
      </c>
      <c r="F43">
        <f>EXP(-F23*0.5)</f>
        <v>0.9945544379923742</v>
      </c>
      <c r="H43">
        <f>EXP(-H23*0.5)</f>
        <v>0.99391322380750002</v>
      </c>
    </row>
    <row r="44" spans="1:9">
      <c r="E44">
        <f>EXP(-E24*0.5)</f>
        <v>0.99672890215562027</v>
      </c>
      <c r="G44">
        <f>EXP(-G24*0.5)</f>
        <v>0.99593922397419909</v>
      </c>
      <c r="I44">
        <f>EXP(-I24*0.5)</f>
        <v>0.99520349655060736</v>
      </c>
    </row>
    <row r="45" spans="1:9">
      <c r="F45">
        <f>EXP(-F25*0.5)</f>
        <v>0.99810287320660962</v>
      </c>
      <c r="H45">
        <f>EXP(-H25*0.5)</f>
        <v>0.99721923151032399</v>
      </c>
    </row>
    <row r="46" spans="1:9">
      <c r="G46">
        <f>EXP(-G26*0.5)</f>
        <v>0.9993701727612192</v>
      </c>
      <c r="I46">
        <f>EXP(-I26*0.5)</f>
        <v>0.9983997570201627</v>
      </c>
    </row>
    <row r="47" spans="1:9">
      <c r="H47">
        <f>EXP(-H27*0.5)</f>
        <v>1.0005362358340493</v>
      </c>
    </row>
    <row r="48" spans="1:9">
      <c r="I48">
        <f>EXP(-I28*0.5)</f>
        <v>1.0016062828083436</v>
      </c>
    </row>
    <row r="49" spans="1:9">
      <c r="A49" s="14"/>
      <c r="B49" s="14"/>
      <c r="C49" s="14"/>
      <c r="D49" s="14"/>
      <c r="E49" s="14"/>
    </row>
    <row r="50" spans="1:9" ht="15">
      <c r="A50" s="144" t="s">
        <v>245</v>
      </c>
      <c r="B50" s="14"/>
      <c r="C50" s="14"/>
      <c r="D50" s="14"/>
      <c r="E50" s="14"/>
    </row>
    <row r="51" spans="1:9">
      <c r="A51" s="145" t="s">
        <v>94</v>
      </c>
      <c r="B51" s="145">
        <f>A40</f>
        <v>0.99004983374916811</v>
      </c>
      <c r="C51" s="14"/>
      <c r="D51" s="14"/>
      <c r="E51" s="14"/>
    </row>
    <row r="52" spans="1:9">
      <c r="A52" s="145" t="s">
        <v>92</v>
      </c>
      <c r="B52" s="145">
        <f>A40*(0.5*B39+0.5*B41)</f>
        <v>0.98003217616597205</v>
      </c>
      <c r="C52" s="14"/>
      <c r="D52" s="14"/>
      <c r="E52" s="14"/>
    </row>
    <row r="53" spans="1:9">
      <c r="A53" s="145" t="s">
        <v>90</v>
      </c>
      <c r="B53" s="145">
        <f>B52*(0.25*C38+0.5*C40+0.25*C42)</f>
        <v>0.96995655822267901</v>
      </c>
      <c r="C53" s="14"/>
      <c r="D53" s="14"/>
      <c r="E53" s="14"/>
    </row>
    <row r="54" spans="1:9">
      <c r="A54" s="145" t="s">
        <v>88</v>
      </c>
      <c r="B54" s="145">
        <f>B53*((0.5^3)*D37+(0.5^3)*3*D39+(0.5^3)*3*D41+(0.5^3)*D43)</f>
        <v>0.95983210564176602</v>
      </c>
      <c r="C54" s="14"/>
      <c r="D54" s="14"/>
      <c r="E54" s="14"/>
    </row>
    <row r="55" spans="1:9">
      <c r="A55" s="145" t="s">
        <v>86</v>
      </c>
      <c r="B55" s="145">
        <f>B54*((0.5^4)*E36+(0.5^4)*4*E38+(0.5^4)*6*E40+(0.5^4)*4*E42+(0.5^4)*E44)</f>
        <v>0.94966754663520614</v>
      </c>
      <c r="C55" s="14"/>
      <c r="D55" s="14"/>
      <c r="E55" s="14"/>
    </row>
    <row r="56" spans="1:9">
      <c r="A56" s="145" t="s">
        <v>84</v>
      </c>
      <c r="B56" s="145">
        <f>B55*((0.5^5)*F35+(0.5^5)*5*F37+(0.5^5)*10*F39+(0.5^5)*10*F41+(0.5^5)*5*F43+(0.5^5)*F45)</f>
        <v>0.93947122019645879</v>
      </c>
      <c r="C56" s="14"/>
      <c r="D56" s="14"/>
      <c r="E56" s="14"/>
    </row>
    <row r="57" spans="1:9">
      <c r="A57" s="145" t="s">
        <v>82</v>
      </c>
      <c r="B57" s="145">
        <f>B56*((0.5^6)*G34+(0.5^6)*6*G36+(0.5^6)*15*G38+(0.5^6)*20*G40+(0.5^6)*15*G42+(0.5^6)*6*G44+(0.5^6)*G46)</f>
        <v>0.92925108486099761</v>
      </c>
      <c r="C57" s="14"/>
      <c r="D57" s="14"/>
      <c r="E57" s="14"/>
    </row>
    <row r="58" spans="1:9">
      <c r="A58" s="145" t="s">
        <v>80</v>
      </c>
      <c r="B58" s="145">
        <f>B57*((0.5^7)*H33+(0.5^7)*7*H35+(0.5^7)*21*H37+(0.5^7)*35*H39+(0.5^7)*35*H41+(0.5^7)*21*H43+(0.5^7)*7*H45+(0.5^7)*H47)</f>
        <v>0.91901472785778437</v>
      </c>
      <c r="C58" s="14"/>
      <c r="D58" s="14"/>
      <c r="E58" s="14"/>
    </row>
    <row r="59" spans="1:9">
      <c r="A59" s="14"/>
      <c r="B59" s="14"/>
      <c r="C59" s="14"/>
      <c r="D59" s="14"/>
      <c r="E59" s="14"/>
    </row>
    <row r="60" spans="1:9" ht="15">
      <c r="A60" s="146" t="s">
        <v>246</v>
      </c>
      <c r="B60" s="14"/>
      <c r="C60" s="14"/>
      <c r="D60" s="14"/>
      <c r="E60" s="14"/>
    </row>
    <row r="61" spans="1:9" ht="15">
      <c r="A61" s="146" t="s">
        <v>247</v>
      </c>
      <c r="B61" s="14"/>
      <c r="C61" s="14"/>
      <c r="D61" s="14"/>
      <c r="E61" s="14"/>
    </row>
    <row r="62" spans="1:9" ht="15">
      <c r="A62" s="147">
        <v>0</v>
      </c>
      <c r="B62" s="142">
        <v>0.5</v>
      </c>
      <c r="C62" s="142">
        <v>1</v>
      </c>
      <c r="D62" s="142">
        <v>1.5</v>
      </c>
      <c r="E62" s="142">
        <v>2</v>
      </c>
      <c r="F62" s="142">
        <v>2.5</v>
      </c>
      <c r="G62" s="142">
        <v>3</v>
      </c>
      <c r="H62" s="142">
        <v>3.5</v>
      </c>
      <c r="I62" s="142">
        <v>4</v>
      </c>
    </row>
    <row r="63" spans="1:9">
      <c r="I63">
        <f>100*(1+0.04/2)</f>
        <v>102</v>
      </c>
    </row>
    <row r="64" spans="1:9">
      <c r="H64">
        <f>2+I63*H33</f>
        <v>101.70978001156496</v>
      </c>
    </row>
    <row r="65" spans="1:9">
      <c r="G65">
        <f>2+G34*0.5*(H64+H66)</f>
        <v>101.73218344252378</v>
      </c>
      <c r="I65">
        <f t="shared" ref="I65:I79" si="0">100*(1+0.04/2)</f>
        <v>102</v>
      </c>
    </row>
    <row r="66" spans="1:9">
      <c r="F66">
        <f>2+F35*0.5*(G65+G67)</f>
        <v>102.07544315357961</v>
      </c>
      <c r="H66">
        <f>2+I65*H35</f>
        <v>102.0414400527729</v>
      </c>
    </row>
    <row r="67" spans="1:9">
      <c r="E67">
        <f>2+E36*0.5*(F66+F68)</f>
        <v>102.75165242369665</v>
      </c>
      <c r="G67">
        <f>2+G36*0.5*(H66+H68)</f>
        <v>102.40209701097571</v>
      </c>
      <c r="I67">
        <f t="shared" si="0"/>
        <v>102</v>
      </c>
    </row>
    <row r="68" spans="1:9" ht="15">
      <c r="A68" s="140"/>
      <c r="D68">
        <f>2+D37*0.5*(E67+E69)</f>
        <v>103.77724661539241</v>
      </c>
      <c r="F68">
        <f>2+F37*0.5*(G67+G69)</f>
        <v>103.09390784698549</v>
      </c>
      <c r="H68">
        <f>2+I67*H37</f>
        <v>102.37420327947501</v>
      </c>
    </row>
    <row r="69" spans="1:9">
      <c r="C69">
        <f>2+C38*0.5*(D68+D70)</f>
        <v>105.17360847668054</v>
      </c>
      <c r="E69">
        <f>2+E38*0.5*(F68+F70)</f>
        <v>104.1330730963562</v>
      </c>
      <c r="G69">
        <f>2+G38*0.5*(H68+H70)</f>
        <v>103.07653185644696</v>
      </c>
      <c r="I69">
        <f t="shared" si="0"/>
        <v>102</v>
      </c>
    </row>
    <row r="70" spans="1:9">
      <c r="B70">
        <f>2+B39*0.5*(C69+C71)</f>
        <v>106.96782636732114</v>
      </c>
      <c r="D70">
        <f>2+D39*0.5*(E69+E71)</f>
        <v>105.54064563503658</v>
      </c>
      <c r="F70">
        <f>2+F39*0.5*(G69+G71)</f>
        <v>104.1228459452321</v>
      </c>
      <c r="H70">
        <f>2+I69*H39</f>
        <v>102.70807336114628</v>
      </c>
    </row>
    <row r="71" spans="1:9" ht="15">
      <c r="A71" s="148">
        <f>A40*0.5*(B70+B72)</f>
        <v>107.19364302576004</v>
      </c>
      <c r="C71">
        <f>2+C40*(D70+D72)*0.5</f>
        <v>107.34326706930726</v>
      </c>
      <c r="E71">
        <f>2+E40*0.5*(F70+F72)</f>
        <v>105.53374321037478</v>
      </c>
      <c r="G71">
        <f>2+G40*0.5*(H70+H72)</f>
        <v>103.75551856762493</v>
      </c>
      <c r="I71">
        <f t="shared" si="0"/>
        <v>102</v>
      </c>
    </row>
    <row r="72" spans="1:9">
      <c r="B72">
        <f>2+B41*0.5*(C71+C73)</f>
        <v>109.57408772973803</v>
      </c>
      <c r="D72">
        <f>2+D41*0.5*(E71+E73)</f>
        <v>107.33526985070417</v>
      </c>
      <c r="F72">
        <f>2+F41*0.5*(G71+G73)</f>
        <v>105.16236561909147</v>
      </c>
      <c r="H72">
        <f>2+I71*H41</f>
        <v>103.04305397946733</v>
      </c>
    </row>
    <row r="73" spans="1:9">
      <c r="C73">
        <f>2+C42*0.5*(D72+D74)</f>
        <v>109.55980764070726</v>
      </c>
      <c r="E73">
        <f>2+E42*0.5*(F72+F74)</f>
        <v>106.9539326284055</v>
      </c>
      <c r="G73">
        <f>2+G42*0.5*(H72+H74)</f>
        <v>104.43908794040226</v>
      </c>
      <c r="I73">
        <f t="shared" si="0"/>
        <v>102</v>
      </c>
    </row>
    <row r="74" spans="1:9" ht="15">
      <c r="A74" s="140"/>
      <c r="D74">
        <f>2+D43*0.5*(E73+E75)</f>
        <v>109.16167645339735</v>
      </c>
      <c r="F74">
        <f>2+F43*0.5*(G73+G75)</f>
        <v>106.21257615873701</v>
      </c>
      <c r="H74">
        <f>2+I73*H43</f>
        <v>103.379148828365</v>
      </c>
    </row>
    <row r="75" spans="1:9">
      <c r="E75">
        <f>2+E44*0.5*(F74+F76)</f>
        <v>108.39391500636975</v>
      </c>
      <c r="G75">
        <f>2+G44*0.5*(H74+H76)</f>
        <v>105.12727097928125</v>
      </c>
      <c r="I75">
        <f t="shared" si="0"/>
        <v>102</v>
      </c>
    </row>
    <row r="76" spans="1:9">
      <c r="F76">
        <f>2+F45*0.5*(G75+G77)</f>
        <v>107.27358798533911</v>
      </c>
      <c r="H76">
        <f>2+I75*H45</f>
        <v>103.71636161405304</v>
      </c>
    </row>
    <row r="77" spans="1:9">
      <c r="G77">
        <f>2+G46*0.5*(H76+H78)</f>
        <v>105.82009889878788</v>
      </c>
      <c r="I77">
        <f t="shared" si="0"/>
        <v>102</v>
      </c>
    </row>
    <row r="78" spans="1:9">
      <c r="H78">
        <f>2+I77*H47</f>
        <v>104.05469605507302</v>
      </c>
    </row>
    <row r="79" spans="1:9">
      <c r="I79">
        <f t="shared" si="0"/>
        <v>102</v>
      </c>
    </row>
    <row r="81" spans="1:11" ht="15">
      <c r="A81" s="140" t="s">
        <v>248</v>
      </c>
    </row>
    <row r="82" spans="1:11">
      <c r="A82" t="s">
        <v>249</v>
      </c>
    </row>
    <row r="83" spans="1:11">
      <c r="A83" t="s">
        <v>250</v>
      </c>
    </row>
    <row r="84" spans="1:11" ht="15">
      <c r="A84" s="213" t="s">
        <v>251</v>
      </c>
      <c r="B84" s="213"/>
      <c r="C84" s="213" t="s">
        <v>252</v>
      </c>
      <c r="D84" s="213"/>
      <c r="F84" s="149" t="s">
        <v>253</v>
      </c>
      <c r="G84" s="149" t="s">
        <v>254</v>
      </c>
      <c r="H84" s="149" t="s">
        <v>255</v>
      </c>
      <c r="I84" s="149" t="s">
        <v>256</v>
      </c>
      <c r="J84" s="149" t="s">
        <v>257</v>
      </c>
    </row>
    <row r="85" spans="1:11">
      <c r="A85" s="150" t="s">
        <v>258</v>
      </c>
      <c r="B85" s="150">
        <f>H64</f>
        <v>101.70978001156496</v>
      </c>
      <c r="C85" s="150" t="s">
        <v>259</v>
      </c>
      <c r="D85" s="150">
        <f>MAX(B85-104,0)</f>
        <v>0</v>
      </c>
      <c r="F85" s="150" t="s">
        <v>260</v>
      </c>
      <c r="G85" s="150">
        <f>G34*0.5*(D85+D86)</f>
        <v>0</v>
      </c>
      <c r="H85" s="150">
        <f>MAX(G65-104,0)</f>
        <v>0</v>
      </c>
      <c r="I85" s="150" t="s">
        <v>261</v>
      </c>
      <c r="J85" s="150">
        <f>0</f>
        <v>0</v>
      </c>
    </row>
    <row r="86" spans="1:11">
      <c r="A86" s="150" t="s">
        <v>262</v>
      </c>
      <c r="B86" s="150">
        <f>H66</f>
        <v>102.0414400527729</v>
      </c>
      <c r="C86" s="150" t="s">
        <v>263</v>
      </c>
      <c r="D86" s="150">
        <f t="shared" ref="D86:D92" si="1">MAX(B86-104,0)</f>
        <v>0</v>
      </c>
      <c r="F86" s="150" t="s">
        <v>264</v>
      </c>
      <c r="G86" s="150">
        <f>G36*0.5*(D86+D87)</f>
        <v>0</v>
      </c>
      <c r="H86" s="150">
        <f>MAX(G67-104,0)</f>
        <v>0</v>
      </c>
      <c r="I86" s="150" t="s">
        <v>261</v>
      </c>
      <c r="J86" s="150">
        <f>0</f>
        <v>0</v>
      </c>
    </row>
    <row r="87" spans="1:11">
      <c r="A87" s="150" t="s">
        <v>265</v>
      </c>
      <c r="B87" s="150">
        <f>H68</f>
        <v>102.37420327947501</v>
      </c>
      <c r="C87" s="150" t="s">
        <v>266</v>
      </c>
      <c r="D87" s="150">
        <f t="shared" si="1"/>
        <v>0</v>
      </c>
      <c r="F87" s="150" t="s">
        <v>267</v>
      </c>
      <c r="G87" s="150">
        <f>G38*0.5*(D87+D88)</f>
        <v>0</v>
      </c>
      <c r="H87" s="150">
        <f>MAX(G69-104,0)</f>
        <v>0</v>
      </c>
      <c r="I87" s="150" t="s">
        <v>261</v>
      </c>
      <c r="J87" s="150">
        <f>0</f>
        <v>0</v>
      </c>
    </row>
    <row r="88" spans="1:11">
      <c r="A88" s="150" t="s">
        <v>268</v>
      </c>
      <c r="B88" s="150">
        <f>H70</f>
        <v>102.70807336114628</v>
      </c>
      <c r="C88" s="150" t="s">
        <v>269</v>
      </c>
      <c r="D88" s="150">
        <f t="shared" si="1"/>
        <v>0</v>
      </c>
      <c r="F88" s="150" t="s">
        <v>270</v>
      </c>
      <c r="G88" s="150">
        <f>G40*0.5*(D88+D89)</f>
        <v>0</v>
      </c>
      <c r="H88" s="150">
        <f>MAX(G71-104,0)</f>
        <v>0</v>
      </c>
      <c r="I88" s="150" t="s">
        <v>261</v>
      </c>
      <c r="J88" s="150">
        <f>0</f>
        <v>0</v>
      </c>
    </row>
    <row r="89" spans="1:11">
      <c r="A89" s="150" t="s">
        <v>271</v>
      </c>
      <c r="B89" s="150">
        <f>H72</f>
        <v>103.04305397946733</v>
      </c>
      <c r="C89" s="150" t="s">
        <v>272</v>
      </c>
      <c r="D89" s="150">
        <f t="shared" si="1"/>
        <v>0</v>
      </c>
      <c r="F89" s="150" t="s">
        <v>273</v>
      </c>
      <c r="G89" s="150">
        <f>G42*0.5*(D89+D90)</f>
        <v>0</v>
      </c>
      <c r="H89" s="150">
        <f>MAX(G73-104,0)</f>
        <v>0.43908794040225985</v>
      </c>
      <c r="I89" s="150" t="s">
        <v>274</v>
      </c>
      <c r="J89" s="150">
        <f>H89</f>
        <v>0.43908794040225985</v>
      </c>
    </row>
    <row r="90" spans="1:11">
      <c r="A90" s="150" t="s">
        <v>275</v>
      </c>
      <c r="B90" s="150">
        <f>H74</f>
        <v>103.379148828365</v>
      </c>
      <c r="C90" s="150" t="s">
        <v>276</v>
      </c>
      <c r="D90" s="150">
        <f t="shared" si="1"/>
        <v>0</v>
      </c>
      <c r="F90" s="150" t="s">
        <v>277</v>
      </c>
      <c r="G90" s="150">
        <f>G44*0.5*(D90+D91)</f>
        <v>0</v>
      </c>
      <c r="H90" s="150">
        <f>MAX(G75-104,0)</f>
        <v>1.1272709792812492</v>
      </c>
      <c r="I90" s="150" t="s">
        <v>274</v>
      </c>
      <c r="J90" s="150">
        <f>H90</f>
        <v>1.1272709792812492</v>
      </c>
    </row>
    <row r="91" spans="1:11">
      <c r="A91" s="150" t="s">
        <v>278</v>
      </c>
      <c r="B91" s="150">
        <f>H76</f>
        <v>103.71636161405304</v>
      </c>
      <c r="C91" s="150" t="s">
        <v>279</v>
      </c>
      <c r="D91" s="150">
        <f t="shared" si="1"/>
        <v>0</v>
      </c>
      <c r="F91" s="150" t="s">
        <v>280</v>
      </c>
      <c r="G91" s="150">
        <f>G46*0.5*(D91+D92)</f>
        <v>2.7330803003842243E-2</v>
      </c>
      <c r="H91" s="150">
        <f>MAX(G77-104,0)</f>
        <v>1.8200988987878759</v>
      </c>
      <c r="I91" s="150" t="s">
        <v>274</v>
      </c>
      <c r="J91" s="150">
        <f>H91</f>
        <v>1.8200988987878759</v>
      </c>
    </row>
    <row r="92" spans="1:11">
      <c r="A92" s="150" t="s">
        <v>281</v>
      </c>
      <c r="B92" s="150">
        <f>H78</f>
        <v>104.05469605507302</v>
      </c>
      <c r="C92" s="150" t="s">
        <v>282</v>
      </c>
      <c r="D92" s="150">
        <f t="shared" si="1"/>
        <v>5.4696055073023331E-2</v>
      </c>
    </row>
    <row r="94" spans="1:11" ht="15">
      <c r="A94" s="149" t="s">
        <v>283</v>
      </c>
      <c r="B94" s="149" t="s">
        <v>284</v>
      </c>
      <c r="C94" s="149" t="s">
        <v>255</v>
      </c>
      <c r="D94" s="149" t="s">
        <v>256</v>
      </c>
      <c r="E94" s="149" t="s">
        <v>285</v>
      </c>
      <c r="G94" s="151" t="s">
        <v>286</v>
      </c>
      <c r="H94" s="149" t="s">
        <v>287</v>
      </c>
      <c r="J94" s="149" t="s">
        <v>288</v>
      </c>
      <c r="K94" s="149" t="s">
        <v>289</v>
      </c>
    </row>
    <row r="95" spans="1:11">
      <c r="A95" s="150" t="s">
        <v>290</v>
      </c>
      <c r="B95" s="150">
        <f>F35*0.5*(J85+J86)</f>
        <v>0</v>
      </c>
      <c r="C95" s="150">
        <f>MAX(F66-104,0)</f>
        <v>0</v>
      </c>
      <c r="D95" s="150" t="s">
        <v>261</v>
      </c>
      <c r="E95" s="150">
        <f>0</f>
        <v>0</v>
      </c>
      <c r="G95" s="150" t="s">
        <v>291</v>
      </c>
      <c r="H95" s="150">
        <f>E16*0.5*(E95+E96)</f>
        <v>0</v>
      </c>
      <c r="J95" s="150" t="s">
        <v>292</v>
      </c>
      <c r="K95" s="150">
        <f>D37*0.5*(H95+H96)</f>
        <v>2.9786853559465826E-2</v>
      </c>
    </row>
    <row r="96" spans="1:11">
      <c r="A96" s="150" t="s">
        <v>293</v>
      </c>
      <c r="B96" s="150">
        <f>F37*0.5*(J86+J87)</f>
        <v>0</v>
      </c>
      <c r="C96" s="150">
        <f>MAX(F68-104,0)</f>
        <v>0</v>
      </c>
      <c r="D96" s="150" t="s">
        <v>261</v>
      </c>
      <c r="E96" s="150">
        <f>0</f>
        <v>0</v>
      </c>
      <c r="G96" s="150" t="s">
        <v>294</v>
      </c>
      <c r="H96" s="150">
        <f>E38*0.5*(E96+E97)</f>
        <v>6.0548356609050884E-2</v>
      </c>
      <c r="J96" s="150" t="s">
        <v>295</v>
      </c>
      <c r="K96" s="150">
        <f>D39*0.5*(H96+H97)</f>
        <v>0.34387881235674267</v>
      </c>
    </row>
    <row r="97" spans="1:11">
      <c r="A97" s="150" t="s">
        <v>296</v>
      </c>
      <c r="B97" s="150">
        <f>F39*0.5*(J87+J88)</f>
        <v>0</v>
      </c>
      <c r="C97" s="150">
        <f>MAX(F70-104,0)</f>
        <v>0.12284594523210046</v>
      </c>
      <c r="D97" s="150" t="s">
        <v>274</v>
      </c>
      <c r="E97" s="150">
        <f>C97</f>
        <v>0.12284594523210046</v>
      </c>
      <c r="G97" s="150" t="s">
        <v>297</v>
      </c>
      <c r="H97" s="150">
        <f>E40*0.5*(E97+E98)</f>
        <v>0.63579630436899925</v>
      </c>
      <c r="J97" s="150" t="s">
        <v>298</v>
      </c>
      <c r="K97" s="150">
        <f>D41*0.5*(H97+H98)</f>
        <v>1.1458936446047143</v>
      </c>
    </row>
    <row r="98" spans="1:11">
      <c r="A98" s="150" t="s">
        <v>299</v>
      </c>
      <c r="B98" s="150">
        <f>F41*0.5*(J88+J89)</f>
        <v>0.21757216196167542</v>
      </c>
      <c r="C98" s="150">
        <f>MAX(F72-104,0)</f>
        <v>1.1623656190914744</v>
      </c>
      <c r="D98" s="150" t="s">
        <v>274</v>
      </c>
      <c r="E98" s="150">
        <f>C98</f>
        <v>1.1623656190914744</v>
      </c>
      <c r="G98" s="150" t="s">
        <v>300</v>
      </c>
      <c r="H98" s="150">
        <f>E42*0.5*(E98+E99)</f>
        <v>1.675758767788603</v>
      </c>
      <c r="J98" s="150" t="s">
        <v>301</v>
      </c>
      <c r="K98" s="150">
        <f>D43*0.5*(H98+H99)</f>
        <v>2.1944442335860761</v>
      </c>
    </row>
    <row r="99" spans="1:11">
      <c r="A99" s="150" t="s">
        <v>302</v>
      </c>
      <c r="B99" s="150">
        <f>F43*0.5*(J89+J90)</f>
        <v>0.77891460753008734</v>
      </c>
      <c r="C99" s="150">
        <f>MAX(F74-104,0)</f>
        <v>2.2125761587370079</v>
      </c>
      <c r="D99" s="150" t="s">
        <v>274</v>
      </c>
      <c r="E99" s="150">
        <f>C99</f>
        <v>2.2125761587370079</v>
      </c>
      <c r="G99" s="150" t="s">
        <v>303</v>
      </c>
      <c r="H99" s="150">
        <f>E44*0.5*(E99+E100)</f>
        <v>2.7341091821852563</v>
      </c>
    </row>
    <row r="100" spans="1:11">
      <c r="A100" s="150" t="s">
        <v>304</v>
      </c>
      <c r="B100" s="150">
        <f>F45*0.5*(J90+J91)</f>
        <v>1.4708891718517043</v>
      </c>
      <c r="C100" s="150">
        <f>MAX(F76-104,0)</f>
        <v>3.2735879853391054</v>
      </c>
      <c r="D100" s="150" t="s">
        <v>274</v>
      </c>
      <c r="E100" s="150">
        <f>C100</f>
        <v>3.2735879853391054</v>
      </c>
    </row>
    <row r="102" spans="1:11" ht="15">
      <c r="A102" s="149" t="s">
        <v>305</v>
      </c>
      <c r="B102" s="149" t="s">
        <v>306</v>
      </c>
      <c r="D102" s="149" t="s">
        <v>307</v>
      </c>
      <c r="E102" s="149" t="s">
        <v>308</v>
      </c>
      <c r="G102" s="151" t="s">
        <v>309</v>
      </c>
      <c r="H102" s="149" t="s">
        <v>310</v>
      </c>
    </row>
    <row r="103" spans="1:11">
      <c r="A103" s="150" t="s">
        <v>311</v>
      </c>
      <c r="B103" s="150">
        <f>C38*0.5*(K95+K96)</f>
        <v>0.18418126946497568</v>
      </c>
      <c r="D103" s="150" t="s">
        <v>312</v>
      </c>
      <c r="E103" s="150">
        <f>B39*0.5*(B103+B104)</f>
        <v>0.45510756833918009</v>
      </c>
      <c r="G103" s="150" t="s">
        <v>313</v>
      </c>
      <c r="H103" s="150">
        <f>A40*0.5*(E103+E104)</f>
        <v>0.81372005763308441</v>
      </c>
    </row>
    <row r="104" spans="1:11">
      <c r="A104" s="150" t="s">
        <v>314</v>
      </c>
      <c r="B104" s="150">
        <f>C40*0.5*(K96+K97)</f>
        <v>0.73722523963356068</v>
      </c>
      <c r="D104" s="150" t="s">
        <v>312</v>
      </c>
      <c r="E104" s="150">
        <f>B41*0.5*(B104+B105)</f>
        <v>1.1886885920048913</v>
      </c>
    </row>
    <row r="105" spans="1:11">
      <c r="A105" s="150" t="s">
        <v>315</v>
      </c>
      <c r="B105" s="150">
        <f>C42*0.5*(K97+K98)</f>
        <v>1.6595434982648667</v>
      </c>
    </row>
    <row r="107" spans="1:11" ht="15">
      <c r="A107" s="214" t="s">
        <v>316</v>
      </c>
      <c r="B107" s="214"/>
      <c r="C107" s="148">
        <f>A71-H103</f>
        <v>106.37992296812695</v>
      </c>
    </row>
    <row r="110" spans="1:11" ht="15">
      <c r="A110" s="146" t="s">
        <v>317</v>
      </c>
    </row>
    <row r="111" spans="1:11" ht="15">
      <c r="A111" s="140" t="s">
        <v>318</v>
      </c>
    </row>
    <row r="112" spans="1:11" ht="15">
      <c r="A112" s="148" t="s">
        <v>319</v>
      </c>
      <c r="B112" s="152">
        <v>2.0645397971460144E-2</v>
      </c>
    </row>
    <row r="113" spans="1:18">
      <c r="A113" s="153">
        <f>(0.5^2)*((C18-B112)/(1+C18))+2*0.5*0.5*((C20-B112)/(1+C20))+(0.5^2)*((C22-B112)/(1+C22))</f>
        <v>-2.6697394295283061E-15</v>
      </c>
      <c r="B113" s="153"/>
      <c r="C113" s="153"/>
      <c r="D113" s="153"/>
      <c r="E113" s="153"/>
      <c r="F113" s="153"/>
      <c r="G113" s="153"/>
      <c r="H113" s="153"/>
      <c r="I113" s="153"/>
      <c r="J113" s="153"/>
      <c r="K113" s="153"/>
    </row>
    <row r="114" spans="1:18" ht="15">
      <c r="A114" s="148" t="s">
        <v>320</v>
      </c>
      <c r="B114" s="152">
        <v>2.1543343106090129E-2</v>
      </c>
    </row>
    <row r="115" spans="1:18">
      <c r="A115">
        <f>(0.5^5)*((F15-B114)/(1+F15))+(0.5^5)*5*((F17-B114)/(1+F17))+(0.5^5)*10*((F19-B114)/(1+F19))+(0.5^5)*10*((F21-B114)/(1+F21))+(0.5^5)*5*((F23-B114)/(1+F23))+(0.5^5)*((F25-B114)/(1+F25))</f>
        <v>-2.2010388303628226E-15</v>
      </c>
    </row>
    <row r="116" spans="1:18" ht="15">
      <c r="A116" s="148" t="s">
        <v>321</v>
      </c>
      <c r="B116" s="152">
        <v>2.1823687138447789E-2</v>
      </c>
    </row>
    <row r="117" spans="1:18">
      <c r="A117">
        <f>(0.5^6)*((G14-B116)/(1+G14))+(0.5^6)*6*((G16-B116)/(1+G16))+(0.5^6)*15*((G18-B116)/(1+G18))+(0.5^6)*20*((G20-B116)/(1+G20))+(0.5^6)*15*((G22-B116)/(1+G22))+(0.5^6)*6*((G24-B116)/(1+G24))+(0.5^6)*((G26-B116)/(1+G26))</f>
        <v>9.9999999999660907E-7</v>
      </c>
    </row>
    <row r="119" spans="1:18" ht="15">
      <c r="A119" s="140" t="s">
        <v>322</v>
      </c>
    </row>
    <row r="120" spans="1:18" ht="15">
      <c r="A120" s="140" t="s">
        <v>323</v>
      </c>
      <c r="C120" s="140" t="s">
        <v>324</v>
      </c>
    </row>
    <row r="121" spans="1:18" ht="15">
      <c r="A121" s="140" t="s">
        <v>325</v>
      </c>
      <c r="B121">
        <f>(1-B51)/B51</f>
        <v>1.0050167084168003E-2</v>
      </c>
      <c r="C121" s="148" t="s">
        <v>325</v>
      </c>
      <c r="D121" s="152">
        <f>B121*2</f>
        <v>2.0100334168336006E-2</v>
      </c>
    </row>
    <row r="122" spans="1:18" ht="15">
      <c r="A122" s="140" t="s">
        <v>326</v>
      </c>
      <c r="B122">
        <f>(1-B54)/SUM(B51:B54)</f>
        <v>1.0299801639141281E-2</v>
      </c>
      <c r="C122" s="148" t="s">
        <v>326</v>
      </c>
      <c r="D122" s="152">
        <f>B122*2</f>
        <v>2.0599603278282561E-2</v>
      </c>
    </row>
    <row r="123" spans="1:18" ht="15">
      <c r="A123" s="140" t="s">
        <v>321</v>
      </c>
      <c r="B123">
        <f>(1-B56)/SUM(B51:B56)</f>
        <v>1.0455809482520053E-2</v>
      </c>
      <c r="C123" s="148" t="s">
        <v>321</v>
      </c>
      <c r="D123" s="152">
        <f>B123*2</f>
        <v>2.0911618965040107E-2</v>
      </c>
    </row>
    <row r="126" spans="1:18" ht="15">
      <c r="A126" s="140" t="s">
        <v>327</v>
      </c>
      <c r="E126" t="s">
        <v>328</v>
      </c>
      <c r="F126">
        <v>7.0000000000000007E-2</v>
      </c>
    </row>
    <row r="127" spans="1:18" ht="15">
      <c r="A127" s="140" t="s">
        <v>329</v>
      </c>
      <c r="K127" s="140" t="s">
        <v>330</v>
      </c>
    </row>
    <row r="128" spans="1:18" ht="15">
      <c r="A128" s="142">
        <v>0</v>
      </c>
      <c r="B128" s="142">
        <v>0.5</v>
      </c>
      <c r="C128" s="142">
        <v>1</v>
      </c>
      <c r="D128" s="142">
        <v>1.5</v>
      </c>
      <c r="E128" s="142">
        <v>2</v>
      </c>
      <c r="F128" s="142">
        <v>2.5</v>
      </c>
      <c r="G128" s="142">
        <v>3</v>
      </c>
      <c r="H128" s="142">
        <v>3.5</v>
      </c>
      <c r="I128" s="142">
        <v>4</v>
      </c>
      <c r="K128" s="142">
        <v>0</v>
      </c>
      <c r="L128" s="142">
        <v>0.5</v>
      </c>
      <c r="M128" s="142">
        <v>1</v>
      </c>
      <c r="N128" s="142">
        <v>1.5</v>
      </c>
      <c r="O128" s="142">
        <v>2</v>
      </c>
      <c r="P128" s="142">
        <v>2.5</v>
      </c>
      <c r="Q128" s="142">
        <v>3</v>
      </c>
      <c r="R128" s="142">
        <v>3.5</v>
      </c>
    </row>
    <row r="129" spans="1:18">
      <c r="I129">
        <f>MAX(0,(F126-I12)/2)*I32</f>
        <v>1.0692600154024245E-2</v>
      </c>
      <c r="R129">
        <f>MAX(0,(F126-H13)/2)*H33</f>
        <v>1.2014982812023463E-2</v>
      </c>
    </row>
    <row r="130" spans="1:18">
      <c r="H130">
        <f>(0.5*I129+0.5*I131)*H33</f>
        <v>1.2004239232888847E-2</v>
      </c>
      <c r="Q130">
        <f>(0.5*R129+0.5*R131)*G34</f>
        <v>1.3375976521579293E-2</v>
      </c>
    </row>
    <row r="131" spans="1:18">
      <c r="G131">
        <f>(0.5*H130+0.5*H132)*G34</f>
        <v>1.3300213999890049E-2</v>
      </c>
      <c r="I131">
        <f>MAX(0,(F126-I14)/2)*I34</f>
        <v>1.3867325695027776E-2</v>
      </c>
      <c r="P131">
        <f>(0.5*Q130+0.5*Q132)*F35</f>
        <v>1.4730547285389623E-2</v>
      </c>
      <c r="R131">
        <f>MAX(0,(F126-H15)/2)*H35</f>
        <v>1.5311918512606279E-2</v>
      </c>
    </row>
    <row r="132" spans="1:18">
      <c r="F132">
        <f>(0.5*G131+0.5*G133)*F35</f>
        <v>1.459654696187687E-2</v>
      </c>
      <c r="H132">
        <f>(0.5*I131+0.5*I133)*H35</f>
        <v>1.5167880498713496E-2</v>
      </c>
      <c r="O132">
        <f>(0.5*P131+0.5*P133)*E36</f>
        <v>1.6096174206971781E-2</v>
      </c>
      <c r="Q132">
        <f>(0.5*R131+0.5*R133)*G36</f>
        <v>1.6671451459075146E-2</v>
      </c>
    </row>
    <row r="133" spans="1:18">
      <c r="E133">
        <f>(0.5*F132+0.5*F134)*E36</f>
        <v>1.5909860696049993E-2</v>
      </c>
      <c r="G133">
        <f>(0.5*H132+0.5*H134)*G36</f>
        <v>1.6473879596635474E-2</v>
      </c>
      <c r="I133">
        <f>MAX(0,(F126-I16)/2)*I36</f>
        <v>1.7062333255356239E-2</v>
      </c>
      <c r="N133">
        <f>(0.5*O132+0.5*O134)*D37</f>
        <v>1.7491178156665337E-2</v>
      </c>
      <c r="P133">
        <f>(0.5*Q132+0.5*Q134)*F37</f>
        <v>1.8047491944661813E-2</v>
      </c>
      <c r="R133">
        <f>MAX(0,(F126-H17)/2)*H37</f>
        <v>1.8630654170080269E-2</v>
      </c>
    </row>
    <row r="134" spans="1:18">
      <c r="D134">
        <f>(0.5*E133+0.5*E135)*D37</f>
        <v>1.7257711023053384E-2</v>
      </c>
      <c r="F134">
        <f>(0.5*G133+0.5*G135)*F37</f>
        <v>1.7802085864419451E-2</v>
      </c>
      <c r="H134">
        <f>(0.5*I133+0.5*I135)*H37</f>
        <v>1.8372441826985577E-2</v>
      </c>
      <c r="M134">
        <f>(0.5*N133+0.5*N135)*C38</f>
        <v>1.8935118661419489E-2</v>
      </c>
      <c r="O134">
        <f>(0.5*P133+0.5*P135)*E38</f>
        <v>1.9458507338291988E-2</v>
      </c>
      <c r="Q134">
        <f>(0.5*R133+0.5*R135)*G38</f>
        <v>2.0011015153036785E-2</v>
      </c>
    </row>
    <row r="135" spans="1:18">
      <c r="C135">
        <f>(0.5*D134+0.5*D136)*C38</f>
        <v>1.8658975825642247E-2</v>
      </c>
      <c r="E135">
        <f>(0.5*F134+0.5*F136)*E38</f>
        <v>1.9170247352076571E-2</v>
      </c>
      <c r="G135">
        <f>(0.5*H134+0.5*H136)*G38</f>
        <v>1.9709786385865288E-2</v>
      </c>
      <c r="I135">
        <f>MAX(0,(F126-I18)/2)*I38</f>
        <v>2.0277720366483683E-2</v>
      </c>
      <c r="L135">
        <f>(0.5*M134+0.5*M136)*B39</f>
        <v>2.0449261503282488E-2</v>
      </c>
      <c r="N135">
        <f>(0.5*O134+0.5*O136)*D39</f>
        <v>2.0924257595161835E-2</v>
      </c>
      <c r="P135">
        <f>(0.5*Q134+0.5*Q136)*F39</f>
        <v>2.1431675792500538E-2</v>
      </c>
      <c r="R135">
        <f>MAX(0,(F126-H19)/2)*H39</f>
        <v>2.1971298331646714E-2</v>
      </c>
    </row>
    <row r="136" spans="1:18" ht="15">
      <c r="B136">
        <f>(0.5*C135+0.5*C137)*B39</f>
        <v>2.0134315985254832E-2</v>
      </c>
      <c r="D136">
        <f>(0.5*E135+0.5*E137)*D39</f>
        <v>2.0597488083003917E-2</v>
      </c>
      <c r="F136">
        <f>(0.5*G135+0.5*G137)*F39</f>
        <v>2.1092234116958698E-2</v>
      </c>
      <c r="H136">
        <f>(0.5*I135+0.5*I137)*H39</f>
        <v>2.1618323485919817E-2</v>
      </c>
      <c r="K136" s="148">
        <f>(0.5*L135+0.5*L137)*A40</f>
        <v>2.2057138084143228E-2</v>
      </c>
      <c r="M136">
        <f>(0.5*N135+0.5*N137)*C40</f>
        <v>2.2466264146040395E-2</v>
      </c>
      <c r="O136">
        <f>(0.5*P135+0.5*P137)*E40</f>
        <v>2.2912509827501901E-2</v>
      </c>
      <c r="Q136">
        <f>(0.5*R135+0.5*R137)*G40</f>
        <v>2.3395114074541687E-2</v>
      </c>
    </row>
    <row r="137" spans="1:18" ht="15">
      <c r="A137" s="148">
        <f>(0.5*B136+0.5*B138)*A40</f>
        <v>2.1706729596814356E-2</v>
      </c>
      <c r="C137">
        <f>(0.5*D136+0.5*D138)*C40</f>
        <v>2.2104771243565493E-2</v>
      </c>
      <c r="E137">
        <f>(0.5*F136+0.5*F138)*E40</f>
        <v>2.2539070991384781E-2</v>
      </c>
      <c r="G137">
        <f>(0.5*H136+0.5*H138)*G40</f>
        <v>2.3008862806253208E-2</v>
      </c>
      <c r="I137">
        <f>MAX(0,(F126-I20)/2)*I40</f>
        <v>2.3513584977156197E-2</v>
      </c>
      <c r="L137">
        <f>(0.5*M136+0.5*M138)*B41</f>
        <v>2.4108370511292374E-2</v>
      </c>
      <c r="N137">
        <f>(0.5*O136+0.5*O138)*D41</f>
        <v>2.4475193937761579E-2</v>
      </c>
      <c r="P137">
        <f>(0.5*Q136+0.5*Q138)*F41</f>
        <v>2.4884136985317218E-2</v>
      </c>
      <c r="R137">
        <f>MAX(0,(F126-H21)/2)*H41</f>
        <v>2.5333960025424044E-2</v>
      </c>
    </row>
    <row r="138" spans="1:18">
      <c r="B138">
        <f>(0.5*C137+0.5*C139)*B41</f>
        <v>2.3715455726971559E-2</v>
      </c>
      <c r="D138">
        <f>(0.5*E137+0.5*E139)*D41</f>
        <v>2.4071464627386175E-2</v>
      </c>
      <c r="F138">
        <f>(0.5*G137+0.5*G139)*F41</f>
        <v>2.4468701812020516E-2</v>
      </c>
      <c r="H138">
        <f>(0.5*I137+0.5*I139)*H41</f>
        <v>2.4905929231301732E-2</v>
      </c>
      <c r="M138">
        <f>(0.5*N137+0.5*N139)*C42</f>
        <v>2.6143766396677318E-2</v>
      </c>
      <c r="O138">
        <f>(0.5*P137+0.5*P139)*E42</f>
        <v>2.6460099013862311E-2</v>
      </c>
      <c r="Q138">
        <f>(0.5*R137+0.5*R139)*G42</f>
        <v>2.6824198722907422E-2</v>
      </c>
    </row>
    <row r="139" spans="1:18">
      <c r="C139">
        <f>(0.5*D138+0.5*D140)*C42</f>
        <v>2.5713019954001388E-2</v>
      </c>
      <c r="E139">
        <f>(0.5*F138+0.5*F140)*E42</f>
        <v>2.6019114504871446E-2</v>
      </c>
      <c r="G139">
        <f>(0.5*H138+0.5*H140)*G42</f>
        <v>2.6372049650964707E-2</v>
      </c>
      <c r="I139">
        <f>MAX(0,(F126-I22)/2)*I42</f>
        <v>2.6770025455066185E-2</v>
      </c>
      <c r="N139">
        <f>(0.5*O138+0.5*O140)*D43</f>
        <v>2.8147116513696613E-2</v>
      </c>
      <c r="P139">
        <f>(0.5*Q138+0.5*Q140)*F43</f>
        <v>2.8405927983405951E-2</v>
      </c>
      <c r="R139">
        <f>MAX(0,(F126-H23)/2)*H43</f>
        <v>2.8718748762446185E-2</v>
      </c>
    </row>
    <row r="140" spans="1:18">
      <c r="D140">
        <f>(0.5*E139+0.5*E141)*D43</f>
        <v>2.7683837119647746E-2</v>
      </c>
      <c r="F140">
        <f>(0.5*G139+0.5*G141)*F43</f>
        <v>2.7933229929309508E-2</v>
      </c>
      <c r="H140">
        <f>(0.5*I139+0.5*I141)*H43</f>
        <v>2.8235666334999875E-2</v>
      </c>
      <c r="O140">
        <f>(0.5*P139+0.5*P141)*E44</f>
        <v>3.0103228091101421E-2</v>
      </c>
      <c r="Q140">
        <f>(0.5*R139+0.5*R141)*G44</f>
        <v>3.0298723659796287E-2</v>
      </c>
    </row>
    <row r="141" spans="1:18">
      <c r="E141">
        <f>(0.5*F140+0.5*F142)*E44</f>
        <v>2.9613224735178158E-2</v>
      </c>
      <c r="G141">
        <f>(0.5*H140+0.5*H142)*G44</f>
        <v>2.9800300222001596E-2</v>
      </c>
      <c r="I141">
        <f>MAX(0,(F126-I24)/2)*I44</f>
        <v>3.0047140588533059E-2</v>
      </c>
      <c r="P141">
        <f>(0.5*Q140+0.5*Q142)*F45</f>
        <v>3.1998115735999255E-2</v>
      </c>
      <c r="R141">
        <f>MAX(0,(F126-H25)/2)*H45</f>
        <v>3.2125774538668841E-2</v>
      </c>
    </row>
    <row r="142" spans="1:18">
      <c r="F142">
        <f>(0.5*G141+0.5*G143)*F45</f>
        <v>3.1487590859841472E-2</v>
      </c>
      <c r="H142">
        <f>(0.5*I141+0.5*I143)*H45</f>
        <v>3.1607945613701935E-2</v>
      </c>
      <c r="Q142">
        <f>(0.5*R141+0.5*R143)*G46</f>
        <v>3.3819147543597348E-2</v>
      </c>
    </row>
    <row r="143" spans="1:18">
      <c r="G143">
        <f>(0.5*H142+0.5*H144)*G46</f>
        <v>3.3294580486399022E-2</v>
      </c>
      <c r="I143">
        <f>MAX(0,(F126-I26)/2)*I46</f>
        <v>3.3345029588190425E-2</v>
      </c>
      <c r="R143">
        <f>MAX(0,(F126-H27)/2)*H47</f>
        <v>3.5555147836983853E-2</v>
      </c>
    </row>
    <row r="144" spans="1:18">
      <c r="H144">
        <f>(0.5*I143+0.5*I145)*H47</f>
        <v>3.5023181457876459E-2</v>
      </c>
    </row>
    <row r="145" spans="1:20">
      <c r="I145">
        <f>MAX(0,(F126-I28)/2)*I48</f>
        <v>3.6663792088679786E-2</v>
      </c>
    </row>
    <row r="147" spans="1:20" ht="15">
      <c r="A147" s="140" t="s">
        <v>331</v>
      </c>
      <c r="I147" s="140" t="s">
        <v>332</v>
      </c>
      <c r="P147" s="140" t="s">
        <v>333</v>
      </c>
    </row>
    <row r="148" spans="1:20" ht="15">
      <c r="A148" s="142">
        <v>0</v>
      </c>
      <c r="B148" s="142">
        <v>0.5</v>
      </c>
      <c r="C148" s="142">
        <v>1</v>
      </c>
      <c r="D148" s="142">
        <v>1.5</v>
      </c>
      <c r="E148" s="142">
        <v>2</v>
      </c>
      <c r="F148" s="142">
        <v>2.5</v>
      </c>
      <c r="G148" s="142">
        <v>3</v>
      </c>
      <c r="I148" s="142">
        <v>0</v>
      </c>
      <c r="J148" s="142">
        <v>0.5</v>
      </c>
      <c r="K148" s="142">
        <v>1</v>
      </c>
      <c r="L148" s="142">
        <v>1.5</v>
      </c>
      <c r="M148" s="142">
        <v>2</v>
      </c>
      <c r="N148" s="142">
        <v>2.5</v>
      </c>
      <c r="P148" s="142">
        <v>0</v>
      </c>
      <c r="Q148" s="142">
        <v>0.5</v>
      </c>
      <c r="R148" s="142">
        <v>1</v>
      </c>
      <c r="S148" s="142">
        <v>1.5</v>
      </c>
      <c r="T148" s="142">
        <v>2</v>
      </c>
    </row>
    <row r="149" spans="1:20">
      <c r="G149">
        <f>MAX(0,(F126-G14)/2)*G34</f>
        <v>1.3446870344634718E-2</v>
      </c>
      <c r="N149">
        <f>MAX(0,(F126-F15)/2)*F35</f>
        <v>1.4995067647768721E-2</v>
      </c>
      <c r="T149">
        <f>MAX(0,(F126-E16)/2)*E36</f>
        <v>1.6666814592673228E-2</v>
      </c>
    </row>
    <row r="150" spans="1:20">
      <c r="F150">
        <f>(0.5*G149+0.5*G151)*F35</f>
        <v>1.4863352343414772E-2</v>
      </c>
      <c r="M150">
        <f>(0.5*N149+0.5*N151)*E36</f>
        <v>1.6474330244780528E-2</v>
      </c>
      <c r="S150">
        <f>(0.5*T149+0.5*T151)*D37</f>
        <v>1.8217490203534553E-2</v>
      </c>
    </row>
    <row r="151" spans="1:20">
      <c r="E151">
        <f>(0.5*F150+0.5*F152)*E36</f>
        <v>1.6284234511194356E-2</v>
      </c>
      <c r="G151">
        <f>MAX(0,(F126-G16)/2)*G36</f>
        <v>1.6871453912930982E-2</v>
      </c>
      <c r="L151">
        <f>(0.5*M150+0.5*M152)*D37</f>
        <v>1.7970627814046125E-2</v>
      </c>
      <c r="N151">
        <f>MAX(0,(F126-F17)/2)*F37</f>
        <v>1.8553043605795426E-2</v>
      </c>
      <c r="R151">
        <f>(0.5*S150+0.5*S152)*C38</f>
        <v>1.9799914900837882E-2</v>
      </c>
      <c r="T151">
        <f>MAX(0,(F126-E18)/2)*E38</f>
        <v>2.036425655297221E-2</v>
      </c>
    </row>
    <row r="152" spans="1:20">
      <c r="D152">
        <f>(0.5*E151+0.5*E153)*D37</f>
        <v>1.7728681625949878E-2</v>
      </c>
      <c r="F152">
        <f>(0.5*G151+0.5*G153)*F37</f>
        <v>1.8297650437487961E-2</v>
      </c>
      <c r="K152">
        <f>(0.5*L151+0.5*L153)*C38</f>
        <v>1.9505087905502719E-2</v>
      </c>
      <c r="M152">
        <f>(0.5*N151+0.5*N153)*E38</f>
        <v>2.0054938588570739E-2</v>
      </c>
      <c r="Q152">
        <f>(0.5*R151+0.5*R153)*B39</f>
        <v>2.1437514685102074E-2</v>
      </c>
      <c r="S152">
        <f>(0.5*T151+0.5*T153)*D39</f>
        <v>2.1952438085035376E-2</v>
      </c>
    </row>
    <row r="153" spans="1:20" ht="15">
      <c r="C153">
        <f>(0.5*D152+0.5*D154)*C38</f>
        <v>1.9217000064732988E-2</v>
      </c>
      <c r="E153">
        <f>(0.5*F152+0.5*F154)*E38</f>
        <v>1.9753225274658618E-2</v>
      </c>
      <c r="G153">
        <f>MAX(0,(F126-G18)/2)*G38</f>
        <v>2.0319472854695556E-2</v>
      </c>
      <c r="J153">
        <f>(0.5*K152+0.5*K154)*B39</f>
        <v>2.1100350791910527E-2</v>
      </c>
      <c r="L153">
        <f>(0.5*M152+0.5*M154)*D39</f>
        <v>2.1601157537068705E-2</v>
      </c>
      <c r="N153">
        <f>MAX(0,(F126-F19)/2)*F39</f>
        <v>2.2136217432156925E-2</v>
      </c>
      <c r="P153" s="148">
        <f>(0.5*Q152+0.5*Q154)*A40</f>
        <v>2.3155686965018438E-2</v>
      </c>
      <c r="R153">
        <f>(0.5*S152+0.5*S154)*C40</f>
        <v>2.3602276018183165E-2</v>
      </c>
      <c r="T153">
        <f>MAX(0,(F126-E20)/2)*E40</f>
        <v>2.4088796402518674E-2</v>
      </c>
    </row>
    <row r="154" spans="1:20" ht="15">
      <c r="B154">
        <f>(0.5*C153+0.5*C155)*B39</f>
        <v>2.0771112894859223E-2</v>
      </c>
      <c r="D154">
        <f>(0.5*E153+0.5*E155)*D39</f>
        <v>2.1258633137160598E-2</v>
      </c>
      <c r="F154">
        <f>(0.5*G153+0.5*G155)*F39</f>
        <v>2.1779467524873412E-2</v>
      </c>
      <c r="I154" s="148">
        <f>(0.5*J153+0.5*J155)*A40</f>
        <v>2.2781140954229586E-2</v>
      </c>
      <c r="K154">
        <f>(0.5*L153+0.5*L155)*C40</f>
        <v>2.3214484161554597E-2</v>
      </c>
      <c r="M154">
        <f>(0.5*N153+0.5*N155)*E40</f>
        <v>2.36867814051549E-2</v>
      </c>
      <c r="Q154">
        <f>(0.5*R153+0.5*R155)*B41</f>
        <v>2.5339296290829056E-2</v>
      </c>
      <c r="S154">
        <f>(0.5*T153+0.5*T155)*D41</f>
        <v>2.5742647274451989E-2</v>
      </c>
    </row>
    <row r="155" spans="1:20" ht="15">
      <c r="A155" s="148">
        <f>(0.5*B154+0.5*B156)*A40</f>
        <v>2.2415124935679459E-2</v>
      </c>
      <c r="C155">
        <f>(0.5*D154+0.5*D156)*C40</f>
        <v>2.2836000047715788E-2</v>
      </c>
      <c r="E155">
        <f>(0.5*F154+0.5*F156)*E40</f>
        <v>2.3294892704170914E-2</v>
      </c>
      <c r="G155">
        <f>MAX(0,(F126-G20)/2)*G40</f>
        <v>2.3791047995163007E-2</v>
      </c>
      <c r="J155">
        <f>(0.5*K154+0.5*K156)*B41</f>
        <v>2.4919839662464624E-2</v>
      </c>
      <c r="L155">
        <f>(0.5*M154+0.5*M156)*D41</f>
        <v>2.5310284512368206E-2</v>
      </c>
      <c r="N155">
        <f>MAX(0,(F126-F21)/2)*F41</f>
        <v>2.574472364019266E-2</v>
      </c>
      <c r="R155">
        <f>(0.5*S154+0.5*S156)*C42</f>
        <v>2.7489686669681813E-2</v>
      </c>
      <c r="T155">
        <f>MAX(0,(F126-E22)/2)*E42</f>
        <v>2.7840583918418982E-2</v>
      </c>
    </row>
    <row r="156" spans="1:20">
      <c r="B156">
        <f>(0.5*C155+0.5*C157)*B41</f>
        <v>2.4509688478131859E-2</v>
      </c>
      <c r="D156">
        <f>(0.5*E155+0.5*E157)*D41</f>
        <v>2.4887974533471285E-2</v>
      </c>
      <c r="F156">
        <f>(0.5*G155+0.5*G157)*F41</f>
        <v>2.5309301767031129E-2</v>
      </c>
      <c r="K156">
        <f>(0.5*L155+0.5*L157)*C42</f>
        <v>2.7031722505322157E-2</v>
      </c>
      <c r="M156">
        <f>(0.5*N155+0.5*N157)*E42</f>
        <v>2.7370414712290108E-2</v>
      </c>
      <c r="S156">
        <f>(0.5*T155+0.5*T157)*D43</f>
        <v>2.9588738578550312E-2</v>
      </c>
    </row>
    <row r="157" spans="1:20">
      <c r="C157">
        <f>(0.5*D156+0.5*D158)*C42</f>
        <v>2.6583213289677794E-2</v>
      </c>
      <c r="E157">
        <f>(0.5*F156+0.5*F158)*E42</f>
        <v>2.6910398196469534E-2</v>
      </c>
      <c r="G157">
        <f>MAX(0,(F126-G22)/2)*G42</f>
        <v>2.728630071391721E-2</v>
      </c>
      <c r="L157">
        <f>(0.5*M156+0.5*M158)*D43</f>
        <v>2.9099308662910384E-2</v>
      </c>
      <c r="N157">
        <f>MAX(0,(F126-F23)/2)*F43</f>
        <v>2.937869738233255E-2</v>
      </c>
      <c r="T157">
        <f>MAX(0,(F126-E24)/2)*E44</f>
        <v>3.1619769614682547E-2</v>
      </c>
    </row>
    <row r="158" spans="1:20">
      <c r="D158">
        <f>(0.5*E157+0.5*E159)*D43</f>
        <v>2.8618856934566179E-2</v>
      </c>
      <c r="F158">
        <f>(0.5*G157+0.5*G159)*F43</f>
        <v>2.8887655979528221E-2</v>
      </c>
      <c r="M158">
        <f>(0.5*N157+0.5*N159)*E44</f>
        <v>3.1106399906627273E-2</v>
      </c>
    </row>
    <row r="159" spans="1:20">
      <c r="E159">
        <f>(0.5*F158+0.5*F160)*E44</f>
        <v>3.0600919716763819E-2</v>
      </c>
      <c r="G159">
        <f>MAX(0,(F126-G24)/2)*G44</f>
        <v>3.0805352947276789E-2</v>
      </c>
      <c r="N159">
        <f>MAX(0,(F126-F25)/2)*F45</f>
        <v>3.3038274452945084E-2</v>
      </c>
    </row>
    <row r="160" spans="1:20">
      <c r="F160">
        <f>(0.5*G159+0.5*G161)*F45</f>
        <v>3.2515037672844804E-2</v>
      </c>
    </row>
    <row r="161" spans="1:13">
      <c r="G161">
        <f>MAX(0,(F126-G26)/2)*G46</f>
        <v>3.4348327190690545E-2</v>
      </c>
    </row>
    <row r="163" spans="1:13" ht="15">
      <c r="A163" s="140" t="s">
        <v>334</v>
      </c>
      <c r="F163" s="140" t="s">
        <v>335</v>
      </c>
      <c r="J163" s="140" t="s">
        <v>336</v>
      </c>
    </row>
    <row r="164" spans="1:13" ht="15">
      <c r="A164" s="142">
        <v>0</v>
      </c>
      <c r="B164" s="142">
        <v>0.5</v>
      </c>
      <c r="C164" s="142">
        <v>1</v>
      </c>
      <c r="D164" s="142">
        <v>1.5</v>
      </c>
      <c r="F164" s="142">
        <v>0</v>
      </c>
      <c r="G164" s="142">
        <v>0.5</v>
      </c>
      <c r="H164" s="142">
        <v>1</v>
      </c>
      <c r="J164" s="142">
        <v>0</v>
      </c>
      <c r="K164" s="142">
        <v>0.5</v>
      </c>
    </row>
    <row r="165" spans="1:13">
      <c r="D165">
        <f>MAX(0,(F126-D17)/2)*D37</f>
        <v>1.8469818869823174E-2</v>
      </c>
      <c r="H165">
        <f>MAX(0,(F126-C18)/2)*C38</f>
        <v>2.041229182214108E-2</v>
      </c>
      <c r="K165">
        <f>MAX(0,(F126-B19)/2)*B39</f>
        <v>2.2502987579665176E-2</v>
      </c>
    </row>
    <row r="166" spans="1:13" ht="15">
      <c r="C166">
        <f>(0.5*D165+0.5*D167)*C38</f>
        <v>2.0102086855917575E-2</v>
      </c>
      <c r="G166">
        <f>(0.5*H165+0.5*H167)*B39</f>
        <v>2.2138114174366792E-2</v>
      </c>
      <c r="J166" s="148">
        <f>(0.5*K165+0.5*K167)*A40</f>
        <v>2.4336377396380872E-2</v>
      </c>
    </row>
    <row r="167" spans="1:13" ht="15">
      <c r="B167">
        <f>(0.5*C166+0.5*C168)*B39</f>
        <v>2.178320972373983E-2</v>
      </c>
      <c r="D167">
        <f>MAX(0,(F126-D19)/2)*D39</f>
        <v>2.2313153758945124E-2</v>
      </c>
      <c r="F167" s="148">
        <f>(0.5*G166+0.5*G168)*A40</f>
        <v>2.3932654479667918E-2</v>
      </c>
      <c r="H167">
        <f>MAX(0,(F126-C20)/2)*C40</f>
        <v>2.4408326243752901E-2</v>
      </c>
      <c r="K167">
        <f>MAX(0,(F126-B21)/2)*B41</f>
        <v>2.6658936531210556E-2</v>
      </c>
    </row>
    <row r="168" spans="1:13" ht="15">
      <c r="A168" s="148">
        <f>(0.5*B167+0.5*B169)*A40</f>
        <v>2.3539319095482784E-2</v>
      </c>
      <c r="C168">
        <f>(0.5*D167+0.5*D169)*C40</f>
        <v>2.3999994992024497E-2</v>
      </c>
      <c r="G168">
        <f>(0.5*H167+0.5*H169)*B41</f>
        <v>2.6208249137545693E-2</v>
      </c>
    </row>
    <row r="169" spans="1:13">
      <c r="B169">
        <f>(0.5*C168+0.5*C170)*B41</f>
        <v>2.5768576647140041E-2</v>
      </c>
      <c r="D169">
        <f>MAX(0,(F126-D21)/2)*D41</f>
        <v>2.6185635463332267E-2</v>
      </c>
      <c r="H169">
        <f>MAX(0,(F126-C22)/2)*C42</f>
        <v>2.8435717713947053E-2</v>
      </c>
    </row>
    <row r="170" spans="1:13">
      <c r="C170">
        <f>(0.5*D169+0.5*D171)*C42</f>
        <v>2.7957531431136953E-2</v>
      </c>
    </row>
    <row r="171" spans="1:13">
      <c r="D171">
        <f>MAX(0,(F126-D23)/2)*D43</f>
        <v>3.0087430785173785E-2</v>
      </c>
    </row>
    <row r="173" spans="1:13" ht="15">
      <c r="A173" s="148" t="s">
        <v>337</v>
      </c>
      <c r="B173" s="152"/>
      <c r="C173" s="148">
        <f>SUM(A137,K136,A155,I154,P153,A168,F167,J166)</f>
        <v>0.18392417150741663</v>
      </c>
    </row>
    <row r="175" spans="1:13" ht="15">
      <c r="A175" s="140" t="s">
        <v>338</v>
      </c>
      <c r="E175" t="s">
        <v>328</v>
      </c>
      <c r="F175">
        <v>0.02</v>
      </c>
    </row>
    <row r="176" spans="1:13">
      <c r="F176">
        <v>3.9413002349324829E-2</v>
      </c>
      <c r="K176">
        <v>3.9413002349324829E-2</v>
      </c>
      <c r="M176" t="s">
        <v>339</v>
      </c>
    </row>
    <row r="177" spans="1:14">
      <c r="E177">
        <v>3.6059916130752746E-2</v>
      </c>
      <c r="J177">
        <v>3.6059916130752746E-2</v>
      </c>
      <c r="M177" t="s">
        <v>340</v>
      </c>
      <c r="N177">
        <f>EXP(-H179*0.5)</f>
        <v>0.98580782911040499</v>
      </c>
    </row>
    <row r="178" spans="1:14">
      <c r="D178">
        <v>3.2456015127544556E-2</v>
      </c>
      <c r="F178">
        <v>3.2289973326518069E-2</v>
      </c>
      <c r="I178">
        <v>3.2456015127544556E-2</v>
      </c>
      <c r="K178">
        <v>3.2289973326518069E-2</v>
      </c>
      <c r="M178" t="s">
        <v>341</v>
      </c>
      <c r="N178">
        <f>(0.5*EXP(-I178*0.5)+0.5*EXP(-I180*0.5))*N177</f>
        <v>0.97179524511896587</v>
      </c>
    </row>
    <row r="179" spans="1:14">
      <c r="C179">
        <v>2.8587685714443617E-2</v>
      </c>
      <c r="E179">
        <v>2.868316688838235E-2</v>
      </c>
      <c r="H179">
        <v>2.8587685714443617E-2</v>
      </c>
      <c r="J179">
        <f>E179</f>
        <v>2.868316688838235E-2</v>
      </c>
      <c r="M179" t="s">
        <v>342</v>
      </c>
      <c r="N179">
        <f>(0.25*EXP(-J177*0.5)+0.5*EXP(-J179*0.5)+0.25*EXP(-J181*0.5))*N178</f>
        <v>0.95796088442276717</v>
      </c>
    </row>
    <row r="180" spans="1:14">
      <c r="B180">
        <v>2.4440662664141442E-2</v>
      </c>
      <c r="D180">
        <v>2.4816508225273082E-2</v>
      </c>
      <c r="F180">
        <v>2.5166944303711317E-2</v>
      </c>
      <c r="I180">
        <v>2.4816508225273082E-2</v>
      </c>
      <c r="K180">
        <v>2.5166944303711317E-2</v>
      </c>
      <c r="M180" t="s">
        <v>343</v>
      </c>
      <c r="N180">
        <f>((0.5^3)*EXP(-K176*0.5)+(0.5^3)*3*EXP(-K178*0.5)+(0.5^3)*3*EXP(-K180*0.5)+(0.5^3)*EXP(-K182*0.5))*N179</f>
        <v>0.9443033632686697</v>
      </c>
    </row>
    <row r="181" spans="1:14" ht="15">
      <c r="A181">
        <v>0.02</v>
      </c>
      <c r="C181">
        <v>2.0676061800940521E-2</v>
      </c>
      <c r="E181">
        <v>2.130641764601195E-2</v>
      </c>
      <c r="J181">
        <v>2.130641764601195E-2</v>
      </c>
      <c r="M181" s="140" t="s">
        <v>344</v>
      </c>
      <c r="N181" s="140">
        <f>(1-N180)/SUM(N177:N180)*2</f>
        <v>2.885935297051281E-2</v>
      </c>
    </row>
    <row r="182" spans="1:14">
      <c r="B182">
        <v>1.6247229010707229E-2</v>
      </c>
      <c r="D182">
        <v>1.7177001323001609E-2</v>
      </c>
      <c r="F182">
        <v>1.8043915280904557E-2</v>
      </c>
      <c r="K182">
        <v>1.8043915280904557E-2</v>
      </c>
    </row>
    <row r="183" spans="1:14">
      <c r="C183">
        <v>1.2764437887437426E-2</v>
      </c>
      <c r="E183">
        <v>1.3929668403641553E-2</v>
      </c>
    </row>
    <row r="184" spans="1:14">
      <c r="D184">
        <v>9.5374944207301388E-3</v>
      </c>
      <c r="F184">
        <v>1.0920886258097801E-2</v>
      </c>
      <c r="K184">
        <v>3.2289973326518069E-2</v>
      </c>
      <c r="M184" t="s">
        <v>345</v>
      </c>
    </row>
    <row r="185" spans="1:14">
      <c r="E185">
        <v>6.5529191612711535E-3</v>
      </c>
      <c r="J185">
        <f>E179</f>
        <v>2.868316688838235E-2</v>
      </c>
      <c r="M185" t="s">
        <v>340</v>
      </c>
      <c r="N185">
        <f>EXP(-H187*0.5)</f>
        <v>0.98971522286994995</v>
      </c>
    </row>
    <row r="186" spans="1:14">
      <c r="F186">
        <v>3.7978572352910453E-3</v>
      </c>
      <c r="I186">
        <v>2.4816508225273082E-2</v>
      </c>
      <c r="K186">
        <v>2.5166944303711317E-2</v>
      </c>
      <c r="M186" t="s">
        <v>341</v>
      </c>
      <c r="N186">
        <f>(0.5*EXP(-I186*0.5)+0.5*EXP(-I188*0.5))*N185</f>
        <v>0.97938095598703911</v>
      </c>
    </row>
    <row r="187" spans="1:14" ht="15">
      <c r="A187" s="142">
        <v>0</v>
      </c>
      <c r="B187" s="142">
        <v>0.5</v>
      </c>
      <c r="C187" s="142">
        <v>1</v>
      </c>
      <c r="D187" s="142">
        <v>1.5</v>
      </c>
      <c r="E187" s="142">
        <v>2</v>
      </c>
      <c r="F187" s="142">
        <v>2.5</v>
      </c>
      <c r="H187">
        <v>2.0676061800940521E-2</v>
      </c>
      <c r="J187">
        <v>2.130641764601195E-2</v>
      </c>
      <c r="M187" t="s">
        <v>342</v>
      </c>
      <c r="N187">
        <f>(0.25*EXP(-J185*0.5)+0.5*EXP(-J187*0.5)+0.25*EXP(-J189*0.5))*N186</f>
        <v>0.96900608031886115</v>
      </c>
    </row>
    <row r="188" spans="1:14">
      <c r="I188">
        <v>1.7177001323001609E-2</v>
      </c>
      <c r="K188">
        <v>1.8043915280904557E-2</v>
      </c>
      <c r="M188" t="s">
        <v>343</v>
      </c>
      <c r="N188">
        <f>((0.5^3)*EXP(-K184*0.5)+(0.5^3)*3*EXP(-K186*0.5)+(0.5^3)*3*EXP(-K188*0.5)+(0.5^3)*EXP(-K190*0.5))*N187</f>
        <v>0.95859908140315575</v>
      </c>
    </row>
    <row r="189" spans="1:14" ht="15">
      <c r="C189">
        <f>MAX(0,F175-N181)*SUM(N177:N180)</f>
        <v>0</v>
      </c>
      <c r="J189">
        <v>1.3929668403641553E-2</v>
      </c>
      <c r="M189" s="140" t="s">
        <v>344</v>
      </c>
      <c r="N189" s="140">
        <f>(1-N188)/SUM(N185:N188)*2</f>
        <v>2.1249213105304365E-2</v>
      </c>
    </row>
    <row r="190" spans="1:14">
      <c r="B190">
        <f>(0.5*C189+0.5*C191)/(1+B180)</f>
        <v>0</v>
      </c>
      <c r="K190">
        <v>1.0920886258097801E-2</v>
      </c>
    </row>
    <row r="191" spans="1:14" ht="15">
      <c r="A191" s="148">
        <f>(0.5*B190+0.5*B192)*EXP(-A181*0.5)</f>
        <v>3.0567847800659015E-3</v>
      </c>
      <c r="C191">
        <f>MAX(0,F175-N189)*SUM(N185:N188)</f>
        <v>0</v>
      </c>
    </row>
    <row r="192" spans="1:14">
      <c r="B192">
        <f>(0.5*C191+0.5*C193)*EXP(-B182*0.5)</f>
        <v>6.1750119556918115E-3</v>
      </c>
      <c r="K192">
        <v>2.5166944303711317E-2</v>
      </c>
      <c r="M192" t="s">
        <v>346</v>
      </c>
    </row>
    <row r="193" spans="3:14">
      <c r="C193">
        <f>MAX(0,F175-N197)*SUM(N193:N196)*0.5</f>
        <v>1.2450759358755807E-2</v>
      </c>
      <c r="J193">
        <v>2.130641764601195E-2</v>
      </c>
      <c r="M193" t="s">
        <v>340</v>
      </c>
      <c r="N193">
        <f>EXP(-H195*0.5)</f>
        <v>0.99363810415712595</v>
      </c>
    </row>
    <row r="194" spans="3:14">
      <c r="I194">
        <v>1.7177001323001609E-2</v>
      </c>
      <c r="K194">
        <v>1.8043915280904557E-2</v>
      </c>
      <c r="M194" t="s">
        <v>341</v>
      </c>
      <c r="N194">
        <f>(0.5*EXP(-I194*0.5)+0.5*EXP(-I196*0.5))*N193</f>
        <v>0.98702587995546776</v>
      </c>
    </row>
    <row r="195" spans="3:14">
      <c r="H195">
        <v>1.2764437887437426E-2</v>
      </c>
      <c r="J195">
        <v>1.3929668403641553E-2</v>
      </c>
      <c r="M195" t="s">
        <v>342</v>
      </c>
      <c r="N195">
        <f>(0.25*EXP(-J193*0.5)+0.5*EXP(-J195*0.5)+0.25*EXP(-J197*0.5))*N194</f>
        <v>0.98017862625018837</v>
      </c>
    </row>
    <row r="196" spans="3:14">
      <c r="I196">
        <v>9.5374944207301388E-3</v>
      </c>
      <c r="K196">
        <v>1.0920886258097801E-2</v>
      </c>
      <c r="M196" t="s">
        <v>343</v>
      </c>
      <c r="N196">
        <f>((0.5^3)*EXP(-K192*0.5)+(0.5^3)*3*EXP(-K194*0.5)+(0.5^3)*3*EXP(-K196*0.5)+(0.5^3)*EXP(-K198*0.5))*N195</f>
        <v>0.97311122104468117</v>
      </c>
    </row>
    <row r="197" spans="3:14" ht="15">
      <c r="J197">
        <v>6.5529191612711535E-3</v>
      </c>
      <c r="M197" s="140" t="s">
        <v>344</v>
      </c>
      <c r="N197" s="140">
        <f>(1-N196)/SUM(N193:N196)*2</f>
        <v>1.3670103975622277E-2</v>
      </c>
    </row>
    <row r="198" spans="3:14">
      <c r="K198">
        <v>3.7978572352910453E-3</v>
      </c>
    </row>
  </sheetData>
  <mergeCells count="3">
    <mergeCell ref="A84:B84"/>
    <mergeCell ref="C84:D84"/>
    <mergeCell ref="A107:B10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18</vt:i4>
      </vt:variant>
    </vt:vector>
  </HeadingPairs>
  <TitlesOfParts>
    <vt:vector size="18" baseType="lpstr">
      <vt:lpstr>A</vt:lpstr>
      <vt:lpstr>B2(bootstrap)</vt:lpstr>
      <vt:lpstr>B3(short way)</vt:lpstr>
      <vt:lpstr>C</vt:lpstr>
      <vt:lpstr>D5</vt:lpstr>
      <vt:lpstr>D6</vt:lpstr>
      <vt:lpstr>D7</vt:lpstr>
      <vt:lpstr>D8</vt:lpstr>
      <vt:lpstr>part2</vt:lpstr>
      <vt:lpstr>part3.1.1 vasicek model </vt:lpstr>
      <vt:lpstr>part3.1.2vasicek model solution</vt:lpstr>
      <vt:lpstr>part3.2 normal spot solution</vt:lpstr>
      <vt:lpstr>part3.3 Ho and Lee model</vt:lpstr>
      <vt:lpstr>part3.4 Hull and white model</vt:lpstr>
      <vt:lpstr>part3.5 log normally solution</vt:lpstr>
      <vt:lpstr>part3.6 BDT model</vt:lpstr>
      <vt:lpstr>part3.7 Black Karasinski model</vt:lpstr>
      <vt:lpstr>part4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Senay</dc:creator>
  <cp:lastModifiedBy>Hu, Pingtian</cp:lastModifiedBy>
  <dcterms:created xsi:type="dcterms:W3CDTF">2013-03-07T20:09:22Z</dcterms:created>
  <dcterms:modified xsi:type="dcterms:W3CDTF">2018-05-03T01:16:48Z</dcterms:modified>
</cp:coreProperties>
</file>