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jqiu\Desktop\Marsupial SO\second revision\For submission\ESM\Model\M3-Australian mar, social state\Model\"/>
    </mc:Choice>
  </mc:AlternateContent>
  <xr:revisionPtr revIDLastSave="0" documentId="13_ncr:1_{E39CD0B3-D2E6-455B-91FA-813E89048BA1}" xr6:coauthVersionLast="36" xr6:coauthVersionMax="36" xr10:uidLastSave="{00000000-0000-0000-0000-000000000000}"/>
  <bookViews>
    <workbookView xWindow="-108" yWindow="-108" windowWidth="19416" windowHeight="10416" activeTab="1" xr2:uid="{00000000-000D-0000-FFFF-FFFF00000000}"/>
  </bookViews>
  <sheets>
    <sheet name="Sheet2" sheetId="2" r:id="rId1"/>
    <sheet name="species excluded" sheetId="3" r:id="rId2"/>
  </sheets>
  <definedNames>
    <definedName name="_xlnm._FilterDatabase" localSheetId="0" hidden="1">Sheet2!$G$1:$G$95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3" l="1"/>
  <c r="I36" i="3" l="1"/>
  <c r="I95" i="2" l="1"/>
  <c r="I94" i="2"/>
  <c r="I93" i="2"/>
  <c r="I92" i="2"/>
  <c r="I91" i="2"/>
  <c r="I85" i="2"/>
  <c r="I86" i="2"/>
  <c r="I87" i="2"/>
  <c r="I88" i="2"/>
  <c r="I89" i="2"/>
  <c r="I90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5" i="2"/>
  <c r="I56" i="2"/>
  <c r="I54" i="2"/>
  <c r="I53" i="2"/>
  <c r="I52" i="2"/>
  <c r="I51" i="2"/>
  <c r="I50" i="2"/>
  <c r="I49" i="2"/>
  <c r="I48" i="2"/>
  <c r="I47" i="2"/>
  <c r="I46" i="2"/>
  <c r="I45" i="2"/>
  <c r="I41" i="2"/>
  <c r="I42" i="2"/>
  <c r="I43" i="2"/>
  <c r="I44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6" i="2"/>
  <c r="I27" i="2"/>
  <c r="I25" i="2"/>
  <c r="I24" i="2"/>
  <c r="I23" i="2"/>
  <c r="I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I5" i="2"/>
  <c r="I6" i="2"/>
  <c r="I7" i="2"/>
  <c r="I4" i="2"/>
  <c r="I3" i="2"/>
  <c r="I2" i="2"/>
</calcChain>
</file>

<file path=xl/sharedStrings.xml><?xml version="1.0" encoding="utf-8"?>
<sst xmlns="http://schemas.openxmlformats.org/spreadsheetml/2006/main" count="655" uniqueCount="322">
  <si>
    <t>forest</t>
  </si>
  <si>
    <t>Dendrolagus_lumholtzi</t>
  </si>
  <si>
    <t>Macropus_fuliginosus</t>
  </si>
  <si>
    <t>Macropus_giganteus</t>
  </si>
  <si>
    <t>Macropus_parryi</t>
  </si>
  <si>
    <t>Macropus_robustus</t>
  </si>
  <si>
    <t>Onychogalea_fraenata</t>
  </si>
  <si>
    <t>Petrogale_assimilis</t>
  </si>
  <si>
    <t>Petrogale_penicillata</t>
  </si>
  <si>
    <t>Petrogale_xanthopus</t>
  </si>
  <si>
    <t>Setonix_brachyurus</t>
  </si>
  <si>
    <t>Gymnobelideus_leadbeateri</t>
  </si>
  <si>
    <t>Petaurus_australis</t>
  </si>
  <si>
    <t>Trichosurus_caninus</t>
  </si>
  <si>
    <t>Trichosurus_cunninghami</t>
  </si>
  <si>
    <t>Trichosurus_vulpecula</t>
  </si>
  <si>
    <t>Phascolarctos_cinereus</t>
  </si>
  <si>
    <t>Potorous_longipes</t>
  </si>
  <si>
    <t>Bettongia_lesueur</t>
  </si>
  <si>
    <t>Petauroides_volans</t>
  </si>
  <si>
    <t>Petropseudes_dahli</t>
  </si>
  <si>
    <t>Pseudocheirus_occidentalis</t>
  </si>
  <si>
    <t>Lasiorhinus_krefftii</t>
  </si>
  <si>
    <t>Antechinomys_laniger</t>
  </si>
  <si>
    <t>Antechinus_stuartii</t>
  </si>
  <si>
    <t>Forest</t>
  </si>
  <si>
    <t>Antechinus_subtropicus</t>
  </si>
  <si>
    <t>Dasycercus_blythi</t>
  </si>
  <si>
    <t>Desert</t>
  </si>
  <si>
    <t>Dasycercus_cristicauda</t>
  </si>
  <si>
    <t>Dasyurus_geoffroii</t>
  </si>
  <si>
    <t>Dasyurus_hallucatus</t>
  </si>
  <si>
    <t>Forest_PlainsWoodland_RockyHills_Grassland</t>
  </si>
  <si>
    <t>Dasyurus_maculatus</t>
  </si>
  <si>
    <t>Phascogale_tapoatafa</t>
  </si>
  <si>
    <t>DryForest_RiparianForest</t>
  </si>
  <si>
    <t>DryForest</t>
  </si>
  <si>
    <t>Sminthopsis_crassicaudata</t>
  </si>
  <si>
    <t>Grassland</t>
  </si>
  <si>
    <t>Isoodon_auratus</t>
  </si>
  <si>
    <t>Isoodon_macrourus</t>
  </si>
  <si>
    <t>Isoodon_obesulus</t>
  </si>
  <si>
    <t>Heath_Woodland_Shrubland_Forest</t>
  </si>
  <si>
    <t>Perameles_gunnii</t>
  </si>
  <si>
    <t>Macrotis_lagotis</t>
  </si>
  <si>
    <t>Fores_Shrubland_Desert_Wetland</t>
  </si>
  <si>
    <t>G</t>
    <phoneticPr fontId="1" type="noConversion"/>
  </si>
  <si>
    <t>S</t>
    <phoneticPr fontId="1" type="noConversion"/>
  </si>
  <si>
    <t>VG</t>
    <phoneticPr fontId="1" type="noConversion"/>
  </si>
  <si>
    <t>SG</t>
    <phoneticPr fontId="1" type="noConversion"/>
  </si>
  <si>
    <t>PG</t>
    <phoneticPr fontId="1" type="noConversion"/>
  </si>
  <si>
    <t>P</t>
    <phoneticPr fontId="1" type="noConversion"/>
  </si>
  <si>
    <t>SPG</t>
    <phoneticPr fontId="1" type="noConversion"/>
  </si>
  <si>
    <t>SP</t>
    <phoneticPr fontId="1" type="noConversion"/>
  </si>
  <si>
    <t>grassland</t>
    <phoneticPr fontId="1" type="noConversion"/>
  </si>
  <si>
    <t>grassland_forest</t>
    <phoneticPr fontId="1" type="noConversion"/>
  </si>
  <si>
    <t>Macropus_giganteus</t>
    <phoneticPr fontId="1" type="noConversion"/>
  </si>
  <si>
    <t>rocky areas</t>
    <phoneticPr fontId="1" type="noConversion"/>
  </si>
  <si>
    <t>Nbr_studies</t>
  </si>
  <si>
    <t>Genus_species</t>
    <phoneticPr fontId="0" type="noConversion"/>
  </si>
  <si>
    <t>Pop</t>
  </si>
  <si>
    <t>Habitat_type</t>
    <phoneticPr fontId="0" type="noConversion"/>
  </si>
  <si>
    <t>Habitat_hetero</t>
    <phoneticPr fontId="0" type="noConversion"/>
  </si>
  <si>
    <t>social_state</t>
    <phoneticPr fontId="0" type="noConversion"/>
  </si>
  <si>
    <t>Acrobates_pygmaeus</t>
    <phoneticPr fontId="1" type="noConversion"/>
  </si>
  <si>
    <t>forest</t>
    <phoneticPr fontId="1" type="noConversion"/>
  </si>
  <si>
    <t>Victoria, South-eastern Australia</t>
    <phoneticPr fontId="1" type="noConversion"/>
  </si>
  <si>
    <t>Ward, 1990</t>
    <phoneticPr fontId="1" type="noConversion"/>
  </si>
  <si>
    <t>Yungaburra, Atherton Tableland, north Queensland</t>
    <phoneticPr fontId="1" type="noConversion"/>
  </si>
  <si>
    <t>Newell, 1999</t>
    <phoneticPr fontId="1" type="noConversion"/>
  </si>
  <si>
    <t>Victoria Valley, Grampians National Park, western Victoria, Australia</t>
    <phoneticPr fontId="1" type="noConversion"/>
  </si>
  <si>
    <t>Coulson, 1999</t>
    <phoneticPr fontId="1" type="noConversion"/>
  </si>
  <si>
    <t>Hattah-Kulkyne National Park and Murray-Kulkyne Park, north-western Victoria, Australia</t>
    <phoneticPr fontId="1" type="noConversion"/>
  </si>
  <si>
    <t>grassland_shrubland</t>
    <phoneticPr fontId="1" type="noConversion"/>
  </si>
  <si>
    <t>MacFarlane &amp; Coulson, 2005</t>
    <phoneticPr fontId="1" type="noConversion"/>
  </si>
  <si>
    <t>Hattah-Kulkyne National Park and Murray-Kulkyne Park, north-western Victoria, Australia</t>
  </si>
  <si>
    <t>Hattah-Kulkyne National Park, north-western Victoria, Australia</t>
    <phoneticPr fontId="1" type="noConversion"/>
  </si>
  <si>
    <t>MacFarlane &amp; Coulson, 2009</t>
    <phoneticPr fontId="1" type="noConversion"/>
  </si>
  <si>
    <t>Gorge Creek, Bonalbo, New South Wales</t>
    <phoneticPr fontId="1" type="noConversion"/>
  </si>
  <si>
    <t>Kaufmann, 1974</t>
    <phoneticPr fontId="1" type="noConversion"/>
  </si>
  <si>
    <t>a valley in northern New South Wales</t>
  </si>
  <si>
    <t>Clarke et al, 1995</t>
    <phoneticPr fontId="1" type="noConversion"/>
  </si>
  <si>
    <t>Tidbinbilla Nature Reserve, Australia</t>
    <phoneticPr fontId="1" type="noConversion"/>
  </si>
  <si>
    <t>Colagross &amp; Cockburn, 1993</t>
    <phoneticPr fontId="1" type="noConversion"/>
  </si>
  <si>
    <t>Mooraback, Werrikimbe National Park, New South Wales</t>
    <phoneticPr fontId="1" type="noConversion"/>
  </si>
  <si>
    <t>Jarman, 1987</t>
    <phoneticPr fontId="1" type="noConversion"/>
  </si>
  <si>
    <t>Bago State Forest, Sandy Creek, Sandy Creek Reserve, south-eastern New South Wales</t>
    <phoneticPr fontId="1" type="noConversion"/>
  </si>
  <si>
    <t>Jaremovic &amp; Croft, 1991</t>
    <phoneticPr fontId="1" type="noConversion"/>
  </si>
  <si>
    <t>Gorge Creek, New South Wales</t>
    <phoneticPr fontId="1" type="noConversion"/>
  </si>
  <si>
    <t>Kaufmann, 1975</t>
    <phoneticPr fontId="1" type="noConversion"/>
  </si>
  <si>
    <t xml:space="preserve">Newholme, New South Wales, Australia </t>
    <phoneticPr fontId="1" type="noConversion"/>
  </si>
  <si>
    <t>Pays et al, 2009</t>
    <phoneticPr fontId="1" type="noConversion"/>
  </si>
  <si>
    <t>F1, eastern edge of the New England Tableland, north-eastem New South Wales</t>
    <phoneticPr fontId="1" type="noConversion"/>
  </si>
  <si>
    <t>Southwell, 1984</t>
    <phoneticPr fontId="1" type="noConversion"/>
  </si>
  <si>
    <t>F2, eastern edge of the New England Tableland, north-eastem New South Wales</t>
    <phoneticPr fontId="1" type="noConversion"/>
  </si>
  <si>
    <t>F3, eastern edge of the New England Tableland, north-eastem New South Wales</t>
    <phoneticPr fontId="1" type="noConversion"/>
  </si>
  <si>
    <t xml:space="preserve">S1, Nocoleche Nature Reserve, north-west New South Wale </t>
    <phoneticPr fontId="1" type="noConversion"/>
  </si>
  <si>
    <t xml:space="preserve">S2, Nocoleche Nature Reserve, north-west New South Wale </t>
    <phoneticPr fontId="1" type="noConversion"/>
  </si>
  <si>
    <t>Wacol, south-east Queensland, Australia</t>
    <phoneticPr fontId="1" type="noConversion"/>
  </si>
  <si>
    <t>NA</t>
  </si>
  <si>
    <t>Hume et al, 2019</t>
    <phoneticPr fontId="1" type="noConversion"/>
  </si>
  <si>
    <t>Mount Walker, south-east Queensland, Australia</t>
    <phoneticPr fontId="1" type="noConversion"/>
  </si>
  <si>
    <t>Allenview, south-east Queensland, Australia</t>
    <phoneticPr fontId="1" type="noConversion"/>
  </si>
  <si>
    <t xml:space="preserve">Park Ridge, south-east Queensland, Australia </t>
    <phoneticPr fontId="1" type="noConversion"/>
  </si>
  <si>
    <t>Little Mountain, south-east Queensland, Australia</t>
    <phoneticPr fontId="1" type="noConversion"/>
  </si>
  <si>
    <t>Landsborough, south-east Queensland, Australia</t>
    <phoneticPr fontId="1" type="noConversion"/>
  </si>
  <si>
    <t xml:space="preserve">Sippy Downs, south-east Queensland, Australia </t>
    <phoneticPr fontId="1" type="noConversion"/>
  </si>
  <si>
    <t>Toorbul, south-east Queensland, Australia</t>
    <phoneticPr fontId="1" type="noConversion"/>
  </si>
  <si>
    <t>Elanda Point, south-east Queensland, Australia</t>
    <phoneticPr fontId="1" type="noConversion"/>
  </si>
  <si>
    <t>Twin Waters, south-east Queensland, Australia</t>
    <phoneticPr fontId="1" type="noConversion"/>
  </si>
  <si>
    <t>Coolum, south-east Queensland, Australia</t>
    <phoneticPr fontId="1" type="noConversion"/>
  </si>
  <si>
    <t>Weyba Downs, south-east Queensland, Australia</t>
    <phoneticPr fontId="1" type="noConversion"/>
  </si>
  <si>
    <t>Weston Park, Australian Capital Territory, Australia</t>
    <phoneticPr fontId="1" type="noConversion"/>
  </si>
  <si>
    <t>Red Hill, Australian Capital Territory, Australia</t>
    <phoneticPr fontId="1" type="noConversion"/>
  </si>
  <si>
    <t>Rendezvous Creek, Australian Capital Territory, Australia</t>
    <phoneticPr fontId="1" type="noConversion"/>
  </si>
  <si>
    <t xml:space="preserve">Mount Clear, Australian Capital Territory, Australia </t>
    <phoneticPr fontId="1" type="noConversion"/>
  </si>
  <si>
    <t xml:space="preserve">Gudgenby, Australian Capital Territory, Australia </t>
    <phoneticPr fontId="1" type="noConversion"/>
  </si>
  <si>
    <t xml:space="preserve">Nass Valley Flats, Australian Capital Territory, Australia  </t>
    <phoneticPr fontId="1" type="noConversion"/>
  </si>
  <si>
    <t>Mount Taylor, Australian Capital Territory, Australia</t>
    <phoneticPr fontId="1" type="noConversion"/>
  </si>
  <si>
    <t xml:space="preserve">Farrer Ridge, Australian Capital Territory, Australia  </t>
    <phoneticPr fontId="1" type="noConversion"/>
  </si>
  <si>
    <t>Tidbinbilla, Australian Capital Territory, Australia</t>
    <phoneticPr fontId="1" type="noConversion"/>
  </si>
  <si>
    <t xml:space="preserve">Googong, Australian Capital Territory, Australia </t>
    <phoneticPr fontId="1" type="noConversion"/>
  </si>
  <si>
    <t xml:space="preserve">South Lawson, Australian Capital Territory, Australia </t>
    <phoneticPr fontId="1" type="noConversion"/>
  </si>
  <si>
    <t xml:space="preserve">Gold Creek, Australian Capital Territory, Australia </t>
    <phoneticPr fontId="1" type="noConversion"/>
  </si>
  <si>
    <t>Kinchega National Park, New South Wales, Australia</t>
    <phoneticPr fontId="1" type="noConversion"/>
  </si>
  <si>
    <t>forest_savannah_shrubland</t>
    <phoneticPr fontId="1" type="noConversion"/>
  </si>
  <si>
    <t>Johnson, 1983</t>
    <phoneticPr fontId="1" type="noConversion"/>
  </si>
  <si>
    <t>Macropus_parma</t>
    <phoneticPr fontId="1" type="noConversion"/>
  </si>
  <si>
    <t>Gibralter Range National Park, Moonpar State Forest, New South Wales</t>
    <phoneticPr fontId="1" type="noConversion"/>
  </si>
  <si>
    <t>Maynes, 1977</t>
    <phoneticPr fontId="1" type="noConversion"/>
  </si>
  <si>
    <t>Gorge Creek, Bonalbo, New South Wales</t>
  </si>
  <si>
    <t>Macropus_rufus</t>
    <phoneticPr fontId="1" type="noConversion"/>
  </si>
  <si>
    <t>MacFarlan, 2005</t>
    <phoneticPr fontId="1" type="noConversion"/>
  </si>
  <si>
    <t>Fowlers Gap Arid Zone Research Station, Australia</t>
    <phoneticPr fontId="1" type="noConversion"/>
  </si>
  <si>
    <t>shrubland_grassland</t>
    <phoneticPr fontId="1" type="noConversion"/>
  </si>
  <si>
    <t>Russel, 1979</t>
    <phoneticPr fontId="1" type="noConversion"/>
  </si>
  <si>
    <t>Taunton National Park</t>
  </si>
  <si>
    <t>Fisher &amp; Lara, 1999</t>
    <phoneticPr fontId="1" type="noConversion"/>
  </si>
  <si>
    <t>Black Rock</t>
  </si>
  <si>
    <t>Davies, 2013</t>
    <phoneticPr fontId="1" type="noConversion"/>
  </si>
  <si>
    <t>Horsup, 1994</t>
    <phoneticPr fontId="1" type="noConversion"/>
  </si>
  <si>
    <t>Spencer et al, 1998</t>
    <phoneticPr fontId="1" type="noConversion"/>
  </si>
  <si>
    <t>Bleistein et al, 1994</t>
    <phoneticPr fontId="1" type="noConversion"/>
  </si>
  <si>
    <t>Petrogale_brachyotis</t>
    <phoneticPr fontId="1" type="noConversion"/>
  </si>
  <si>
    <t>Litchfield National Park, Northern Territory, Australia</t>
    <phoneticPr fontId="1" type="noConversion"/>
  </si>
  <si>
    <t>Telfer &amp; Griffiths, 2006</t>
    <phoneticPr fontId="1" type="noConversion"/>
  </si>
  <si>
    <t>forest_rocky areas_grassland</t>
    <phoneticPr fontId="1" type="noConversion"/>
  </si>
  <si>
    <t>Hurdle Creek Valley, Mt. Colliery, Queensland, Australia</t>
    <phoneticPr fontId="1" type="noConversion"/>
  </si>
  <si>
    <t>Laws &amp; Goldizen, 2003</t>
    <phoneticPr fontId="1" type="noConversion"/>
  </si>
  <si>
    <t>Wolgan Valley, Wollemi National Park, New South Wale</t>
    <phoneticPr fontId="1" type="noConversion"/>
  </si>
  <si>
    <t>Piggott et al, 2005</t>
    <phoneticPr fontId="1" type="noConversion"/>
  </si>
  <si>
    <t>forest_grassland</t>
    <phoneticPr fontId="1" type="noConversion"/>
  </si>
  <si>
    <t>Idalia National Park, central-western Queensland, Australia</t>
    <phoneticPr fontId="1" type="noConversion"/>
  </si>
  <si>
    <t>Sharp &amp; McCallum, 2010</t>
    <phoneticPr fontId="1" type="noConversion"/>
  </si>
  <si>
    <t>Rottnest Island, Western Australia</t>
    <phoneticPr fontId="1" type="noConversion"/>
  </si>
  <si>
    <t>Linklater et al, 2009</t>
    <phoneticPr fontId="1" type="noConversion"/>
  </si>
  <si>
    <t>West End of Rottnest Island</t>
    <phoneticPr fontId="1" type="noConversion"/>
  </si>
  <si>
    <t>Holsworth, 1967</t>
    <phoneticPr fontId="1" type="noConversion"/>
  </si>
  <si>
    <t>Thylogale_stigmatica</t>
    <phoneticPr fontId="1" type="noConversion"/>
  </si>
  <si>
    <t>Millaa Millaa Falls, north Queensland, Australia</t>
    <phoneticPr fontId="1" type="noConversion"/>
  </si>
  <si>
    <t>Vernes et al, 1995</t>
    <phoneticPr fontId="1" type="noConversion"/>
  </si>
  <si>
    <t>Yellingbo Nature Conservation Reserve, Dandenong</t>
    <phoneticPr fontId="1" type="noConversion"/>
  </si>
  <si>
    <t>Harley et al, 2005</t>
    <phoneticPr fontId="1" type="noConversion"/>
  </si>
  <si>
    <t>Rennick State Forest, south-western Victoria</t>
    <phoneticPr fontId="1" type="noConversion"/>
  </si>
  <si>
    <t>Brown et al, 2007</t>
    <phoneticPr fontId="1" type="noConversion"/>
  </si>
  <si>
    <t>Messmate Ridge, Victorian Central Highlands, Australia</t>
    <phoneticPr fontId="1" type="noConversion"/>
  </si>
  <si>
    <t>Craig, 1985</t>
    <phoneticPr fontId="1" type="noConversion"/>
  </si>
  <si>
    <t>Kioloa State Forest, Kioloa, New South Wales, Australia</t>
    <phoneticPr fontId="1" type="noConversion"/>
  </si>
  <si>
    <t>Goldingay, 1992</t>
    <phoneticPr fontId="1" type="noConversion"/>
  </si>
  <si>
    <t>Waratah Creek, Coolangubra State Forest, New South Wales, Australia</t>
    <phoneticPr fontId="1" type="noConversion"/>
  </si>
  <si>
    <t>Goldingay &amp; Kavanagh, 1993</t>
    <phoneticPr fontId="1" type="noConversion"/>
  </si>
  <si>
    <t>Nitchaga Creek catchment, Atherton Tablelands</t>
    <phoneticPr fontId="1" type="noConversion"/>
  </si>
  <si>
    <t>Goldingay et al, 2001</t>
    <phoneticPr fontId="1" type="noConversion"/>
  </si>
  <si>
    <t>Petaurus_breviceps</t>
    <phoneticPr fontId="1" type="noConversion"/>
  </si>
  <si>
    <t>Limeburners Creek Nature Reserve, New South Wales, Australia</t>
    <phoneticPr fontId="1" type="noConversion"/>
  </si>
  <si>
    <t>Quin, 1995</t>
    <phoneticPr fontId="1" type="noConversion"/>
  </si>
  <si>
    <t>near Bangalow, north-east New South Wales, Australia</t>
    <phoneticPr fontId="1" type="noConversion"/>
  </si>
  <si>
    <t>Goldingay, 2010</t>
    <phoneticPr fontId="1" type="noConversion"/>
  </si>
  <si>
    <t>Petaurus_gracilis</t>
    <phoneticPr fontId="1" type="noConversion"/>
  </si>
  <si>
    <t>Mullers Creek&amp;Porters Creek, north Queensland, Australia</t>
    <phoneticPr fontId="1" type="noConversion"/>
  </si>
  <si>
    <t>Jackson, 2000</t>
    <phoneticPr fontId="1" type="noConversion"/>
  </si>
  <si>
    <t>Petaurus_norfolcensis</t>
    <phoneticPr fontId="1" type="noConversion"/>
  </si>
  <si>
    <t>Bungawalbin Nature Reserve, northern New South Wales, Australia</t>
    <phoneticPr fontId="1" type="noConversion"/>
  </si>
  <si>
    <t>Sharpe &amp; Goldingay, 2007</t>
    <phoneticPr fontId="1" type="noConversion"/>
  </si>
  <si>
    <t>south-west slopes of New South Wales, south-eastern Australia</t>
    <phoneticPr fontId="1" type="noConversion"/>
  </si>
  <si>
    <t>Crane et al, 2010</t>
    <phoneticPr fontId="1" type="noConversion"/>
  </si>
  <si>
    <t>west of the township of Euroa, south-eastern Australia</t>
    <phoneticPr fontId="1" type="noConversion"/>
  </si>
  <si>
    <t>Ree, 2002</t>
    <phoneticPr fontId="1" type="noConversion"/>
  </si>
  <si>
    <t>Clouds Creek, north-eastern New South Wales, Australia</t>
    <phoneticPr fontId="1" type="noConversion"/>
  </si>
  <si>
    <t>How, 1981</t>
    <phoneticPr fontId="1" type="noConversion"/>
  </si>
  <si>
    <t>Cambarville, Victoria, Australia</t>
    <phoneticPr fontId="1" type="noConversion"/>
  </si>
  <si>
    <t>Lindenmayer et al, 1997</t>
    <phoneticPr fontId="1" type="noConversion"/>
  </si>
  <si>
    <t>Central Highlands of Victoria, Australia</t>
    <phoneticPr fontId="1" type="noConversion"/>
  </si>
  <si>
    <t>Blyton et al, 2014</t>
    <phoneticPr fontId="1" type="noConversion"/>
  </si>
  <si>
    <t>(forest area) Strathbogie Ranges, north-eastern Victoria, Australia</t>
    <phoneticPr fontId="1" type="noConversion"/>
  </si>
  <si>
    <t>Handasyde et al, 2007</t>
    <phoneticPr fontId="1" type="noConversion"/>
  </si>
  <si>
    <t>(roadside area) Boho South, Strathbogie Ranges, north-eastern Victoria, Australia</t>
    <phoneticPr fontId="1" type="noConversion"/>
  </si>
  <si>
    <t>Martin et al, 2007</t>
    <phoneticPr fontId="1" type="noConversion"/>
  </si>
  <si>
    <t>Canberra A.C.T., Aust.ralia.</t>
    <phoneticPr fontId="1" type="noConversion"/>
  </si>
  <si>
    <t>Dunnet, 2009</t>
    <phoneticPr fontId="1" type="noConversion"/>
  </si>
  <si>
    <t>Wyulda_squamicaudata</t>
    <phoneticPr fontId="1" type="noConversion"/>
  </si>
  <si>
    <t>Mitchell Plateau, Kimberley region of Western Australia</t>
    <phoneticPr fontId="1" type="noConversion"/>
  </si>
  <si>
    <t>Runcie, 1999</t>
    <phoneticPr fontId="1" type="noConversion"/>
  </si>
  <si>
    <t>Bellbird</t>
    <phoneticPr fontId="1" type="noConversion"/>
  </si>
  <si>
    <t>Green et al,1998</t>
    <phoneticPr fontId="1" type="noConversion"/>
  </si>
  <si>
    <t>Potorous_tridactylus</t>
    <phoneticPr fontId="1" type="noConversion"/>
  </si>
  <si>
    <t>Ralph Illidge Sanctuary, Victoria, Australia.</t>
    <phoneticPr fontId="1" type="noConversion"/>
  </si>
  <si>
    <t>Long, 2001</t>
    <phoneticPr fontId="1" type="noConversion"/>
  </si>
  <si>
    <t>Aepyprymnus_rufescens</t>
    <phoneticPr fontId="1" type="noConversion"/>
  </si>
  <si>
    <t>north-eastern Queensland</t>
    <phoneticPr fontId="1" type="noConversion"/>
  </si>
  <si>
    <t>Frederick &amp; Johnson, 1996</t>
    <phoneticPr fontId="1" type="noConversion"/>
  </si>
  <si>
    <t>Arid Recovery Reserve, Roxby Downs, South Australia</t>
    <phoneticPr fontId="1" type="noConversion"/>
  </si>
  <si>
    <t>desert_wetland</t>
    <phoneticPr fontId="1" type="noConversion"/>
  </si>
  <si>
    <t>Finlayson &amp; Moseby, 2004</t>
    <phoneticPr fontId="1" type="noConversion"/>
  </si>
  <si>
    <t>Bettongia_tropica</t>
    <phoneticPr fontId="1" type="noConversion"/>
  </si>
  <si>
    <t>Davies Creek, north-eastern Queensland</t>
    <phoneticPr fontId="1" type="noConversion"/>
  </si>
  <si>
    <t>Pope et al, 2012</t>
    <phoneticPr fontId="1" type="noConversion"/>
  </si>
  <si>
    <t xml:space="preserve">Taravale Station, north-eastem Queensland, Australia </t>
  </si>
  <si>
    <t>Comport et al, 1996</t>
    <phoneticPr fontId="1" type="noConversion"/>
  </si>
  <si>
    <t>Buccleuch State Forest, southern New South Wales, Australia</t>
  </si>
  <si>
    <t>Cunningham et al, 2004</t>
    <phoneticPr fontId="1" type="noConversion"/>
  </si>
  <si>
    <t>Kakadu National Park, northern Australia</t>
    <phoneticPr fontId="1" type="noConversion"/>
  </si>
  <si>
    <t>rocky areas_forest</t>
    <phoneticPr fontId="1" type="noConversion"/>
  </si>
  <si>
    <t>Runcie, 2000</t>
    <phoneticPr fontId="1" type="noConversion"/>
  </si>
  <si>
    <t>Abba River, south-western Australia</t>
    <phoneticPr fontId="1" type="noConversion"/>
  </si>
  <si>
    <t>Jones et al, 1994</t>
    <phoneticPr fontId="1" type="noConversion"/>
  </si>
  <si>
    <t>Pseudocheirus_peregrinus</t>
    <phoneticPr fontId="1" type="noConversion"/>
  </si>
  <si>
    <t>Warramate Hills, Victoria, Australia</t>
    <phoneticPr fontId="1" type="noConversion"/>
  </si>
  <si>
    <t>shrubland_forest</t>
    <phoneticPr fontId="1" type="noConversion"/>
  </si>
  <si>
    <t>Thomson &amp; Owen, 1964</t>
    <phoneticPr fontId="1" type="noConversion"/>
  </si>
  <si>
    <t>Epping Forest National Park, Queensland</t>
    <phoneticPr fontId="1" type="noConversion"/>
  </si>
  <si>
    <t>Johnson &amp; Crossman, 1991</t>
    <phoneticPr fontId="1" type="noConversion"/>
  </si>
  <si>
    <t>Department of Primary Industries Mutdapilly Research Station, Queensland, Australia</t>
  </si>
  <si>
    <t>White, N. A. (1999). Ecology of the koala (Phascolarctos cinereus) in rural south-east Queensland, Australia. Wildlife Research, 26(6), 731-744.</t>
  </si>
  <si>
    <t>Desert</t>
    <phoneticPr fontId="1" type="noConversion"/>
  </si>
  <si>
    <t>Sandringham_Station_Quennsland</t>
    <phoneticPr fontId="1" type="noConversion"/>
  </si>
  <si>
    <t>Woolley, P. A., 1984</t>
    <phoneticPr fontId="1" type="noConversion"/>
  </si>
  <si>
    <t>Perisher_Creek</t>
  </si>
  <si>
    <t>Green &amp; Crowley, 1989</t>
    <phoneticPr fontId="1" type="noConversion"/>
  </si>
  <si>
    <t>Kioloa_New_South_Wales</t>
  </si>
  <si>
    <t>Fisher et al, 2011</t>
    <phoneticPr fontId="1" type="noConversion"/>
  </si>
  <si>
    <t>Monga_State_Forest</t>
  </si>
  <si>
    <t>Cockburn &amp; Lazenby-Cohen, 1992</t>
    <phoneticPr fontId="1" type="noConversion"/>
  </si>
  <si>
    <t>Springbrook_National_Park_Queensland</t>
  </si>
  <si>
    <t>Fisher et al, 2009</t>
    <phoneticPr fontId="1" type="noConversion"/>
  </si>
  <si>
    <t>Uluru_Kata_Tjuta_National_Park</t>
  </si>
  <si>
    <t>Körtner et al, 2007</t>
    <phoneticPr fontId="1" type="noConversion"/>
  </si>
  <si>
    <t>Pilbara_Western_Australia</t>
  </si>
  <si>
    <t>Thompson &amp; Thompson, 2007</t>
    <phoneticPr fontId="1" type="noConversion"/>
  </si>
  <si>
    <t>Masters, 2003</t>
    <phoneticPr fontId="1" type="noConversion"/>
  </si>
  <si>
    <t>Lane_Poole_Conservation_Reserve</t>
  </si>
  <si>
    <t>Serena &amp; Soderquist, 1989</t>
    <phoneticPr fontId="1" type="noConversion"/>
  </si>
  <si>
    <t>Kakadu_National_Park</t>
  </si>
  <si>
    <t>Oakwood, 2002 (Spatial and social organization of a carnivorous marsupial Dasyurus hallucatus (Marsupialia: Dasyuridae))</t>
  </si>
  <si>
    <t>Marengo_State_Forest</t>
  </si>
  <si>
    <t>Glen &amp; Dickman, 2006</t>
    <phoneticPr fontId="1" type="noConversion"/>
  </si>
  <si>
    <t>Badja_State_Forest</t>
  </si>
  <si>
    <t>Belcher &amp; Darrant, 2004; Belcher &amp; Darrant, 2006</t>
    <phoneticPr fontId="1" type="noConversion"/>
  </si>
  <si>
    <t>Tallaganda_State_Forest</t>
  </si>
  <si>
    <t>Suggan_Buggan</t>
  </si>
  <si>
    <t>Sugarloaf_Reservoir_Christmas_Hills</t>
  </si>
  <si>
    <t>Scida &amp; Gration, 2018</t>
    <phoneticPr fontId="1" type="noConversion"/>
  </si>
  <si>
    <t>Kingston_Forest_Perup</t>
  </si>
  <si>
    <t>Rhind, 2003</t>
    <phoneticPr fontId="1" type="noConversion"/>
  </si>
  <si>
    <t>Melbourne_and_Metropolitan_Board_of_Works_Farm_Werribee</t>
  </si>
  <si>
    <t>Morton, 1978</t>
    <phoneticPr fontId="1" type="noConversion"/>
  </si>
  <si>
    <t>Sarcophilus_harrisii</t>
  </si>
  <si>
    <t>Arthur-Pieman Conservation Area, Tasmania, Australia</t>
  </si>
  <si>
    <t>Forest_Grassland_shrubland</t>
  </si>
  <si>
    <t>Andersen, G. E., McGregor, H. W., Johnson, C. N., &amp; Jones, M. E. (2020). Activity and social interactions in a wide-ranging specialist scavenger, the Tasmanian devil (Sarcophilus harrisii), revealed by animal-borne video collars. Plos one, 15(3), e0230216.</t>
  </si>
  <si>
    <t>Mt William National Park, Tasmania, Australia</t>
  </si>
  <si>
    <t>Pemberton, D., &amp; Renouf, D. (1993). A field-study of communication and social-behavior of the Tasmanian devil at feeding sites. Australian Journal of Zoology, 41(5), 507-526.</t>
  </si>
  <si>
    <t>Marchinbar_Island</t>
  </si>
  <si>
    <t>Grassland_Forest_Desert</t>
    <phoneticPr fontId="1" type="noConversion"/>
  </si>
  <si>
    <t>Southgate et al, 1996</t>
    <phoneticPr fontId="1" type="noConversion"/>
  </si>
  <si>
    <t>Seventeen_Mile_Rocks_Brisbane</t>
  </si>
  <si>
    <t>Gordon, 1974</t>
    <phoneticPr fontId="1" type="noConversion"/>
  </si>
  <si>
    <t>Jervis_Bay_Bherwerre_Peninsula</t>
  </si>
  <si>
    <t>Robinson, et al. 2018</t>
    <phoneticPr fontId="1" type="noConversion"/>
  </si>
  <si>
    <t>Hamilton</t>
  </si>
  <si>
    <t>Dufty, 1991</t>
    <phoneticPr fontId="1" type="noConversion"/>
  </si>
  <si>
    <t>Arid_Recovery_Reserve</t>
  </si>
  <si>
    <t>Moseby &amp; O'Donnel, 2003</t>
    <phoneticPr fontId="1" type="noConversion"/>
  </si>
  <si>
    <t>PC1</t>
    <phoneticPr fontId="1" type="noConversion"/>
  </si>
  <si>
    <t>PC2</t>
    <phoneticPr fontId="1" type="noConversion"/>
  </si>
  <si>
    <t>S</t>
    <phoneticPr fontId="1" type="noConversion"/>
  </si>
  <si>
    <t>G</t>
    <phoneticPr fontId="1" type="noConversion"/>
  </si>
  <si>
    <t>VG</t>
    <phoneticPr fontId="1" type="noConversion"/>
  </si>
  <si>
    <t>PG</t>
    <phoneticPr fontId="1" type="noConversion"/>
  </si>
  <si>
    <t>SP</t>
    <phoneticPr fontId="1" type="noConversion"/>
  </si>
  <si>
    <t>SPG</t>
    <phoneticPr fontId="1" type="noConversion"/>
  </si>
  <si>
    <t>References</t>
    <phoneticPr fontId="1" type="noConversion"/>
  </si>
  <si>
    <t>Hume et al, 2019</t>
  </si>
  <si>
    <t>Cercartetus_nanus</t>
  </si>
  <si>
    <t>body_mass(g)</t>
  </si>
  <si>
    <t>Bladon, R. V., Dickman, C. R., &amp; Hume, I. D. (2002)</t>
  </si>
  <si>
    <t>PG</t>
  </si>
  <si>
    <t>Dendrolagus_matschiei</t>
  </si>
  <si>
    <t>S</t>
  </si>
  <si>
    <t>Fernbrook, New England Tablelands</t>
  </si>
  <si>
    <t>Wasaunon, Sarawaget Ranges, Huon Peninsula, Papua New Guinea</t>
    <phoneticPr fontId="2" type="noConversion"/>
  </si>
  <si>
    <t>Porolak et al, 2014</t>
    <phoneticPr fontId="2" type="noConversion"/>
  </si>
  <si>
    <t>Victoria Valley, Grampians National Park, western Victoria, Australia</t>
    <phoneticPr fontId="2" type="noConversion"/>
  </si>
  <si>
    <t>grassland</t>
  </si>
  <si>
    <t>G</t>
  </si>
  <si>
    <t>Coulson, 1999</t>
    <phoneticPr fontId="2" type="noConversion"/>
  </si>
  <si>
    <t>forest_savannah_shrubland</t>
    <phoneticPr fontId="2" type="noConversion"/>
  </si>
  <si>
    <t>SPG</t>
  </si>
  <si>
    <t>Johnson, 1983</t>
    <phoneticPr fontId="2" type="noConversion"/>
  </si>
  <si>
    <t>No habitat</t>
  </si>
  <si>
    <t>No GPS</t>
  </si>
  <si>
    <t>Ailurops_ursinus</t>
  </si>
  <si>
    <t>Talumepa et al, 2015</t>
    <phoneticPr fontId="2" type="noConversion"/>
  </si>
  <si>
    <t>Lasiorhinus_latifrons</t>
  </si>
  <si>
    <t>Walker et al, 2006</t>
    <phoneticPr fontId="0" type="noConversion"/>
  </si>
  <si>
    <t>Walker et al, 2021</t>
    <phoneticPr fontId="0" type="noConversion"/>
  </si>
  <si>
    <t>Antechinus_swainsonii</t>
  </si>
  <si>
    <t>Kosciuszko National Park</t>
  </si>
  <si>
    <t>grassland_forest_shrubland</t>
  </si>
  <si>
    <t>Sanecki, 2006</t>
  </si>
  <si>
    <t>Kinchega National Park, New South Wales, Australia</t>
  </si>
  <si>
    <t>climate data not avaliable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</si>
</sst>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5" fillId="0" borderId="1" xfId="0" applyFont="1" applyFill="1" applyBorder="1"/>
    <xf numFmtId="0" fontId="0" fillId="0" borderId="1" xfId="0" quotePrefix="1" applyFill="1" applyBorder="1"/>
    <xf numFmtId="0" fontId="0" fillId="0" borderId="3" xfId="0" applyFill="1" applyBorder="1"/>
    <xf numFmtId="0" fontId="4" fillId="0" borderId="1" xfId="0" applyFont="1" applyFill="1" applyBorder="1"/>
    <xf numFmtId="0" fontId="2" fillId="2" borderId="1" xfId="0" applyFont="1" applyFill="1" applyBorder="1"/>
    <xf numFmtId="0" fontId="5" fillId="3" borderId="1" xfId="0" applyFont="1" applyFill="1" applyBorder="1"/>
    <xf numFmtId="0" fontId="2" fillId="0" borderId="2" xfId="0" applyFont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378240</xdr:colOff>
      <xdr:row>35</xdr:row>
      <xdr:rowOff>164880</xdr:rowOff>
    </xdr:from>
    <xdr:to>
      <xdr:col>0</xdr:col>
      <xdr:colOff>389400</xdr:colOff>
      <xdr:row>35</xdr:row>
      <xdr:rowOff>165960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91EB51F8-0E15-41B6-8014-2F5CED6A5399}"/>
                </a:ext>
              </a:extLst>
            </xdr14:cNvPr>
            <xdr14:cNvContentPartPr/>
          </xdr14:nvContentPartPr>
          <xdr14:nvPr macro=""/>
          <xdr14:xfrm>
            <a:off x="987840" y="896400"/>
            <a:ext cx="11160" cy="108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B222B9DF-EDB7-45AE-AC66-1D350FC832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8840" y="887400"/>
              <a:ext cx="2880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3T10:31:53.1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4066,'0'0'192,"0"0"96,0 0-96,0 0-160,0 0-32,0 0 0,-31 2 0,31-2 0,0 0-1024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44ED-FDA1-41F1-A30D-F4B53D97A517}">
  <dimension ref="A1:J95"/>
  <sheetViews>
    <sheetView zoomScale="74" workbookViewId="0">
      <pane ySplit="1" topLeftCell="A66" activePane="bottomLeft" state="frozen"/>
      <selection pane="bottomLeft" activeCell="D95" sqref="D95"/>
    </sheetView>
  </sheetViews>
  <sheetFormatPr defaultColWidth="11.5546875" defaultRowHeight="14.4"/>
  <cols>
    <col min="1" max="1" width="19.6640625" style="1" customWidth="1"/>
    <col min="2" max="2" width="25.33203125" style="1" customWidth="1"/>
    <col min="3" max="3" width="23.21875" style="1" customWidth="1"/>
    <col min="4" max="4" width="15.6640625" style="1" customWidth="1"/>
    <col min="5" max="5" width="14.5546875" style="1" customWidth="1"/>
    <col min="6" max="6" width="14.6640625" style="1" customWidth="1"/>
    <col min="7" max="7" width="17.88671875" style="1" customWidth="1"/>
    <col min="8" max="8" width="21.109375" style="2" customWidth="1"/>
    <col min="9" max="9" width="13.88671875" style="2" customWidth="1"/>
    <col min="10" max="10" width="24.109375" style="1" customWidth="1"/>
    <col min="11" max="16384" width="11.5546875" style="1"/>
  </cols>
  <sheetData>
    <row r="1" spans="1:10" s="5" customFormat="1" ht="18" customHeight="1">
      <c r="A1" s="3" t="s">
        <v>59</v>
      </c>
      <c r="B1" s="3" t="s">
        <v>60</v>
      </c>
      <c r="C1" s="3" t="s">
        <v>61</v>
      </c>
      <c r="D1" s="3" t="s">
        <v>62</v>
      </c>
      <c r="E1" s="3" t="s">
        <v>283</v>
      </c>
      <c r="F1" s="3" t="s">
        <v>284</v>
      </c>
      <c r="G1" s="12" t="s">
        <v>63</v>
      </c>
      <c r="H1" s="4" t="s">
        <v>58</v>
      </c>
      <c r="I1" s="14" t="s">
        <v>294</v>
      </c>
      <c r="J1" s="3" t="s">
        <v>291</v>
      </c>
    </row>
    <row r="2" spans="1:10" s="6" customFormat="1">
      <c r="A2" s="6" t="s">
        <v>64</v>
      </c>
      <c r="B2" s="6" t="s">
        <v>66</v>
      </c>
      <c r="C2" s="6" t="s">
        <v>65</v>
      </c>
      <c r="D2" s="6">
        <v>1</v>
      </c>
      <c r="E2" s="6">
        <v>-0.78606909000000003</v>
      </c>
      <c r="F2" s="6">
        <v>8.8425889999999993E-2</v>
      </c>
      <c r="G2" s="6" t="s">
        <v>46</v>
      </c>
      <c r="H2" s="7">
        <v>1</v>
      </c>
      <c r="I2" s="2">
        <f>(8+10)/2</f>
        <v>9</v>
      </c>
      <c r="J2" s="6" t="s">
        <v>67</v>
      </c>
    </row>
    <row r="3" spans="1:10" s="6" customFormat="1">
      <c r="A3" s="6" t="s">
        <v>1</v>
      </c>
      <c r="B3" s="6" t="s">
        <v>68</v>
      </c>
      <c r="C3" s="6" t="s">
        <v>65</v>
      </c>
      <c r="D3" s="6">
        <v>1</v>
      </c>
      <c r="E3" s="6">
        <v>2.3280186399999998</v>
      </c>
      <c r="F3" s="6">
        <v>1.11065956</v>
      </c>
      <c r="G3" s="6" t="s">
        <v>47</v>
      </c>
      <c r="H3" s="7">
        <v>1</v>
      </c>
      <c r="I3" s="2">
        <f>(5.4+9.9+4.7+7.8)/4*1000</f>
        <v>6950</v>
      </c>
      <c r="J3" s="6" t="s">
        <v>69</v>
      </c>
    </row>
    <row r="4" spans="1:10" s="6" customFormat="1">
      <c r="A4" s="6" t="s">
        <v>2</v>
      </c>
      <c r="B4" s="1" t="s">
        <v>302</v>
      </c>
      <c r="C4" s="1" t="s">
        <v>303</v>
      </c>
      <c r="D4" s="6">
        <v>1</v>
      </c>
      <c r="E4" s="6">
        <v>1.13226034</v>
      </c>
      <c r="F4" s="6">
        <v>0.48522622999999998</v>
      </c>
      <c r="G4" s="6" t="s">
        <v>304</v>
      </c>
      <c r="H4" s="7">
        <v>1</v>
      </c>
      <c r="I4" s="2">
        <f>(18+72+17+39)/4*1000</f>
        <v>36500</v>
      </c>
      <c r="J4" s="1" t="s">
        <v>305</v>
      </c>
    </row>
    <row r="5" spans="1:10" s="6" customFormat="1">
      <c r="A5" s="6" t="s">
        <v>2</v>
      </c>
      <c r="B5" s="6" t="s">
        <v>72</v>
      </c>
      <c r="C5" s="6" t="s">
        <v>73</v>
      </c>
      <c r="D5" s="6">
        <v>2</v>
      </c>
      <c r="E5" s="6">
        <v>-0.80312846999999998</v>
      </c>
      <c r="F5" s="6">
        <v>-1.07791825</v>
      </c>
      <c r="G5" s="6" t="s">
        <v>48</v>
      </c>
      <c r="H5" s="7">
        <v>1</v>
      </c>
      <c r="I5" s="2">
        <f>(18+72+17+39)/4*1000</f>
        <v>36500</v>
      </c>
      <c r="J5" s="6" t="s">
        <v>74</v>
      </c>
    </row>
    <row r="6" spans="1:10" s="6" customFormat="1">
      <c r="A6" s="6" t="s">
        <v>2</v>
      </c>
      <c r="B6" s="6" t="s">
        <v>75</v>
      </c>
      <c r="C6" s="6" t="s">
        <v>73</v>
      </c>
      <c r="D6" s="6">
        <v>2</v>
      </c>
      <c r="E6" s="6">
        <v>-0.80312846999999998</v>
      </c>
      <c r="F6" s="6">
        <v>-1.07791825</v>
      </c>
      <c r="G6" s="6" t="s">
        <v>48</v>
      </c>
      <c r="H6" s="7">
        <v>1</v>
      </c>
      <c r="I6" s="2">
        <f>(18+72+17+39)/4*1000</f>
        <v>36500</v>
      </c>
      <c r="J6" s="6" t="s">
        <v>74</v>
      </c>
    </row>
    <row r="7" spans="1:10" s="6" customFormat="1">
      <c r="A7" s="6" t="s">
        <v>2</v>
      </c>
      <c r="B7" s="6" t="s">
        <v>76</v>
      </c>
      <c r="C7" s="6" t="s">
        <v>73</v>
      </c>
      <c r="D7" s="6">
        <v>2</v>
      </c>
      <c r="E7" s="6">
        <v>-0.80659510999999995</v>
      </c>
      <c r="F7" s="6">
        <v>-1.0710693</v>
      </c>
      <c r="G7" s="6" t="s">
        <v>46</v>
      </c>
      <c r="H7" s="7">
        <v>1</v>
      </c>
      <c r="I7" s="2">
        <f>(18+72+17+39)/4*1000</f>
        <v>36500</v>
      </c>
      <c r="J7" s="6" t="s">
        <v>77</v>
      </c>
    </row>
    <row r="8" spans="1:10" s="6" customFormat="1">
      <c r="A8" s="6" t="s">
        <v>56</v>
      </c>
      <c r="B8" s="6" t="s">
        <v>78</v>
      </c>
      <c r="C8" s="6" t="s">
        <v>54</v>
      </c>
      <c r="D8" s="6">
        <v>1</v>
      </c>
      <c r="E8" s="6">
        <v>0.75651051999999996</v>
      </c>
      <c r="F8" s="6">
        <v>0.63031082999999999</v>
      </c>
      <c r="G8" s="6" t="s">
        <v>46</v>
      </c>
      <c r="H8" s="7">
        <v>1</v>
      </c>
      <c r="I8" s="2">
        <f>(19+90+17+42)/4*1000</f>
        <v>42000</v>
      </c>
      <c r="J8" s="6" t="s">
        <v>79</v>
      </c>
    </row>
    <row r="9" spans="1:10" s="6" customFormat="1">
      <c r="A9" s="6" t="s">
        <v>56</v>
      </c>
      <c r="B9" s="6" t="s">
        <v>70</v>
      </c>
      <c r="C9" s="6" t="s">
        <v>54</v>
      </c>
      <c r="D9" s="6">
        <v>1</v>
      </c>
      <c r="E9" s="6">
        <v>-1.4019309600000001</v>
      </c>
      <c r="F9" s="6">
        <v>0.11847998</v>
      </c>
      <c r="G9" s="6" t="s">
        <v>46</v>
      </c>
      <c r="H9" s="7">
        <v>1</v>
      </c>
      <c r="I9" s="2">
        <f t="shared" ref="I9:I21" si="0">(19+90+17+42)/4*1000</f>
        <v>42000</v>
      </c>
      <c r="J9" s="6" t="s">
        <v>71</v>
      </c>
    </row>
    <row r="10" spans="1:10" s="6" customFormat="1">
      <c r="A10" s="6" t="s">
        <v>56</v>
      </c>
      <c r="B10" s="6" t="s">
        <v>80</v>
      </c>
      <c r="C10" s="6" t="s">
        <v>55</v>
      </c>
      <c r="D10" s="6">
        <v>2</v>
      </c>
      <c r="E10" s="6">
        <v>0.32635029999999998</v>
      </c>
      <c r="F10" s="6">
        <v>-0.54849932999999995</v>
      </c>
      <c r="G10" s="6" t="s">
        <v>46</v>
      </c>
      <c r="H10" s="7">
        <v>1</v>
      </c>
      <c r="I10" s="2">
        <f t="shared" si="0"/>
        <v>42000</v>
      </c>
      <c r="J10" s="6" t="s">
        <v>81</v>
      </c>
    </row>
    <row r="11" spans="1:10" s="6" customFormat="1">
      <c r="A11" s="6" t="s">
        <v>56</v>
      </c>
      <c r="B11" s="6" t="s">
        <v>82</v>
      </c>
      <c r="C11" s="6" t="s">
        <v>55</v>
      </c>
      <c r="D11" s="6">
        <v>2</v>
      </c>
      <c r="E11" s="6">
        <v>-2.7286860599999998</v>
      </c>
      <c r="F11" s="6">
        <v>-0.11501784</v>
      </c>
      <c r="G11" s="6" t="s">
        <v>46</v>
      </c>
      <c r="H11" s="7">
        <v>1</v>
      </c>
      <c r="I11" s="2">
        <f t="shared" si="0"/>
        <v>42000</v>
      </c>
      <c r="J11" s="6" t="s">
        <v>83</v>
      </c>
    </row>
    <row r="12" spans="1:10" s="6" customFormat="1">
      <c r="A12" s="6" t="s">
        <v>56</v>
      </c>
      <c r="B12" s="6" t="s">
        <v>84</v>
      </c>
      <c r="C12" s="6" t="s">
        <v>55</v>
      </c>
      <c r="D12" s="6">
        <v>2</v>
      </c>
      <c r="E12" s="6">
        <v>-0.80869922999999999</v>
      </c>
      <c r="F12" s="6">
        <v>0.46842277999999998</v>
      </c>
      <c r="G12" s="6" t="s">
        <v>46</v>
      </c>
      <c r="H12" s="7">
        <v>1</v>
      </c>
      <c r="I12" s="2">
        <f t="shared" si="0"/>
        <v>42000</v>
      </c>
      <c r="J12" s="6" t="s">
        <v>85</v>
      </c>
    </row>
    <row r="13" spans="1:10" s="6" customFormat="1">
      <c r="A13" s="6" t="s">
        <v>56</v>
      </c>
      <c r="B13" s="6" t="s">
        <v>86</v>
      </c>
      <c r="C13" s="6" t="s">
        <v>55</v>
      </c>
      <c r="D13" s="6">
        <v>2</v>
      </c>
      <c r="E13" s="6">
        <v>-3.61388379</v>
      </c>
      <c r="F13" s="6">
        <v>0.31665896999999998</v>
      </c>
      <c r="G13" s="6" t="s">
        <v>46</v>
      </c>
      <c r="H13" s="7">
        <v>1</v>
      </c>
      <c r="I13" s="2">
        <f t="shared" si="0"/>
        <v>42000</v>
      </c>
      <c r="J13" s="6" t="s">
        <v>87</v>
      </c>
    </row>
    <row r="14" spans="1:10" s="6" customFormat="1">
      <c r="A14" s="6" t="s">
        <v>56</v>
      </c>
      <c r="B14" s="6" t="s">
        <v>88</v>
      </c>
      <c r="C14" s="6" t="s">
        <v>55</v>
      </c>
      <c r="D14" s="6">
        <v>2</v>
      </c>
      <c r="E14" s="6">
        <v>0.75651051999999996</v>
      </c>
      <c r="F14" s="6">
        <v>0.63031082999999999</v>
      </c>
      <c r="G14" s="6" t="s">
        <v>46</v>
      </c>
      <c r="H14" s="7">
        <v>1</v>
      </c>
      <c r="I14" s="2">
        <f t="shared" si="0"/>
        <v>42000</v>
      </c>
      <c r="J14" s="6" t="s">
        <v>89</v>
      </c>
    </row>
    <row r="15" spans="1:10" s="6" customFormat="1">
      <c r="A15" s="6" t="s">
        <v>56</v>
      </c>
      <c r="B15" s="6" t="s">
        <v>90</v>
      </c>
      <c r="C15" s="6" t="s">
        <v>55</v>
      </c>
      <c r="D15" s="6">
        <v>2</v>
      </c>
      <c r="E15" s="6">
        <v>-1.4322473099999999</v>
      </c>
      <c r="F15" s="6">
        <v>0.18073507999999999</v>
      </c>
      <c r="G15" s="6" t="s">
        <v>48</v>
      </c>
      <c r="H15" s="7">
        <v>1</v>
      </c>
      <c r="I15" s="2">
        <f t="shared" si="0"/>
        <v>42000</v>
      </c>
      <c r="J15" s="6" t="s">
        <v>91</v>
      </c>
    </row>
    <row r="16" spans="1:10" s="6" customFormat="1">
      <c r="A16" s="6" t="s">
        <v>56</v>
      </c>
      <c r="B16" s="6" t="s">
        <v>92</v>
      </c>
      <c r="C16" s="6" t="s">
        <v>55</v>
      </c>
      <c r="D16" s="6">
        <v>2</v>
      </c>
      <c r="E16" s="6">
        <v>-1.24291496</v>
      </c>
      <c r="F16" s="6">
        <v>0.17740797999999999</v>
      </c>
      <c r="G16" s="6" t="s">
        <v>48</v>
      </c>
      <c r="H16" s="7">
        <v>1</v>
      </c>
      <c r="I16" s="2">
        <f t="shared" si="0"/>
        <v>42000</v>
      </c>
      <c r="J16" s="6" t="s">
        <v>93</v>
      </c>
    </row>
    <row r="17" spans="1:10" s="6" customFormat="1">
      <c r="A17" s="6" t="s">
        <v>56</v>
      </c>
      <c r="B17" s="6" t="s">
        <v>94</v>
      </c>
      <c r="C17" s="6" t="s">
        <v>55</v>
      </c>
      <c r="D17" s="6">
        <v>2</v>
      </c>
      <c r="E17" s="6">
        <v>-1.24291496</v>
      </c>
      <c r="F17" s="6">
        <v>0.17740797999999999</v>
      </c>
      <c r="G17" s="6" t="s">
        <v>48</v>
      </c>
      <c r="H17" s="7">
        <v>1</v>
      </c>
      <c r="I17" s="2">
        <f t="shared" si="0"/>
        <v>42000</v>
      </c>
      <c r="J17" s="6" t="s">
        <v>93</v>
      </c>
    </row>
    <row r="18" spans="1:10" s="6" customFormat="1">
      <c r="A18" s="6" t="s">
        <v>56</v>
      </c>
      <c r="B18" s="6" t="s">
        <v>95</v>
      </c>
      <c r="C18" s="6" t="s">
        <v>55</v>
      </c>
      <c r="D18" s="6">
        <v>2</v>
      </c>
      <c r="E18" s="6">
        <v>-1.24291496</v>
      </c>
      <c r="F18" s="6">
        <v>0.17740797999999999</v>
      </c>
      <c r="G18" s="6" t="s">
        <v>48</v>
      </c>
      <c r="H18" s="7">
        <v>1</v>
      </c>
      <c r="I18" s="2">
        <f t="shared" si="0"/>
        <v>42000</v>
      </c>
      <c r="J18" s="6" t="s">
        <v>93</v>
      </c>
    </row>
    <row r="19" spans="1:10" s="6" customFormat="1">
      <c r="A19" s="6" t="s">
        <v>56</v>
      </c>
      <c r="B19" s="6" t="s">
        <v>96</v>
      </c>
      <c r="C19" s="6" t="s">
        <v>73</v>
      </c>
      <c r="D19" s="6">
        <v>2</v>
      </c>
      <c r="E19" s="6">
        <v>0.81418025999999999</v>
      </c>
      <c r="F19" s="6">
        <v>-2.7861558400000002</v>
      </c>
      <c r="G19" s="6" t="s">
        <v>48</v>
      </c>
      <c r="H19" s="7">
        <v>1</v>
      </c>
      <c r="I19" s="2">
        <f t="shared" si="0"/>
        <v>42000</v>
      </c>
      <c r="J19" s="6" t="s">
        <v>93</v>
      </c>
    </row>
    <row r="20" spans="1:10" s="6" customFormat="1">
      <c r="A20" s="6" t="s">
        <v>56</v>
      </c>
      <c r="B20" s="6" t="s">
        <v>97</v>
      </c>
      <c r="C20" s="6" t="s">
        <v>73</v>
      </c>
      <c r="D20" s="6">
        <v>2</v>
      </c>
      <c r="E20" s="6">
        <v>0.81418025999999999</v>
      </c>
      <c r="F20" s="6">
        <v>-2.7861558400000002</v>
      </c>
      <c r="G20" s="6" t="s">
        <v>48</v>
      </c>
      <c r="H20" s="7">
        <v>1</v>
      </c>
      <c r="I20" s="2">
        <f t="shared" si="0"/>
        <v>42000</v>
      </c>
      <c r="J20" s="6" t="s">
        <v>93</v>
      </c>
    </row>
    <row r="21" spans="1:10" s="6" customFormat="1">
      <c r="A21" s="6" t="s">
        <v>56</v>
      </c>
      <c r="B21" s="6" t="s">
        <v>320</v>
      </c>
      <c r="C21" s="6" t="s">
        <v>306</v>
      </c>
      <c r="D21" s="6">
        <v>3</v>
      </c>
      <c r="E21" s="6">
        <v>0.24450085999999999</v>
      </c>
      <c r="F21" s="6">
        <v>-2.4704864</v>
      </c>
      <c r="G21" s="6" t="s">
        <v>307</v>
      </c>
      <c r="H21" s="7">
        <v>1</v>
      </c>
      <c r="I21" s="2">
        <f t="shared" si="0"/>
        <v>42000</v>
      </c>
      <c r="J21" s="6" t="s">
        <v>308</v>
      </c>
    </row>
    <row r="22" spans="1:10" s="6" customFormat="1">
      <c r="A22" s="6" t="s">
        <v>127</v>
      </c>
      <c r="B22" s="6" t="s">
        <v>128</v>
      </c>
      <c r="C22" s="6" t="s">
        <v>65</v>
      </c>
      <c r="D22" s="6">
        <v>1</v>
      </c>
      <c r="E22" s="6">
        <v>-0.72989585000000001</v>
      </c>
      <c r="F22" s="6">
        <v>0.54809266999999995</v>
      </c>
      <c r="G22" s="6" t="s">
        <v>51</v>
      </c>
      <c r="H22" s="7">
        <v>1</v>
      </c>
      <c r="I22" s="2">
        <f>(4.1+5.9+3.2+4.8)/4*1000</f>
        <v>4500</v>
      </c>
      <c r="J22" s="6" t="s">
        <v>129</v>
      </c>
    </row>
    <row r="23" spans="1:10" s="6" customFormat="1">
      <c r="A23" s="6" t="s">
        <v>4</v>
      </c>
      <c r="B23" s="6" t="s">
        <v>130</v>
      </c>
      <c r="C23" s="6" t="s">
        <v>54</v>
      </c>
      <c r="D23" s="6">
        <v>1</v>
      </c>
      <c r="E23" s="6">
        <v>0.75651051999999996</v>
      </c>
      <c r="F23" s="6">
        <v>0.63031082999999999</v>
      </c>
      <c r="G23" s="6" t="s">
        <v>46</v>
      </c>
      <c r="H23" s="7">
        <v>1</v>
      </c>
      <c r="I23" s="2">
        <f>(14+26+7+15)/4*1000</f>
        <v>15500</v>
      </c>
      <c r="J23" s="6" t="s">
        <v>79</v>
      </c>
    </row>
    <row r="24" spans="1:10" s="6" customFormat="1">
      <c r="A24" s="6" t="s">
        <v>5</v>
      </c>
      <c r="B24" s="6" t="s">
        <v>130</v>
      </c>
      <c r="C24" s="6" t="s">
        <v>65</v>
      </c>
      <c r="D24" s="6">
        <v>1</v>
      </c>
      <c r="E24" s="6">
        <v>0.75651051999999996</v>
      </c>
      <c r="F24" s="6">
        <v>0.63031082999999999</v>
      </c>
      <c r="G24" s="6" t="s">
        <v>50</v>
      </c>
      <c r="H24" s="7">
        <v>1</v>
      </c>
      <c r="I24" s="2">
        <f>(60+28)/2*1000</f>
        <v>44000</v>
      </c>
      <c r="J24" s="6" t="s">
        <v>79</v>
      </c>
    </row>
    <row r="25" spans="1:10" s="6" customFormat="1">
      <c r="A25" s="6" t="s">
        <v>131</v>
      </c>
      <c r="B25" s="6" t="s">
        <v>75</v>
      </c>
      <c r="C25" s="6" t="s">
        <v>73</v>
      </c>
      <c r="D25" s="6">
        <v>2</v>
      </c>
      <c r="E25" s="6">
        <v>-0.80312846999999998</v>
      </c>
      <c r="F25" s="6">
        <v>-1.07791825</v>
      </c>
      <c r="G25" s="6" t="s">
        <v>46</v>
      </c>
      <c r="H25" s="7">
        <v>1</v>
      </c>
      <c r="I25" s="2">
        <f>(22+92+17+39)/4*1000</f>
        <v>42500</v>
      </c>
      <c r="J25" s="6" t="s">
        <v>132</v>
      </c>
    </row>
    <row r="26" spans="1:10" s="6" customFormat="1">
      <c r="A26" s="6" t="s">
        <v>131</v>
      </c>
      <c r="B26" s="6" t="s">
        <v>124</v>
      </c>
      <c r="C26" s="6" t="s">
        <v>125</v>
      </c>
      <c r="D26" s="6">
        <v>3</v>
      </c>
      <c r="E26" s="6">
        <v>0.24450085999999999</v>
      </c>
      <c r="F26" s="6">
        <v>-2.4704864</v>
      </c>
      <c r="G26" s="6" t="s">
        <v>52</v>
      </c>
      <c r="H26" s="7">
        <v>1</v>
      </c>
      <c r="I26" s="2">
        <f>(22+92+17+39)/4*1000</f>
        <v>42500</v>
      </c>
      <c r="J26" s="6" t="s">
        <v>126</v>
      </c>
    </row>
    <row r="27" spans="1:10" s="6" customFormat="1">
      <c r="A27" s="6" t="s">
        <v>131</v>
      </c>
      <c r="B27" s="6" t="s">
        <v>133</v>
      </c>
      <c r="C27" s="6" t="s">
        <v>134</v>
      </c>
      <c r="D27" s="6">
        <v>2</v>
      </c>
      <c r="E27" s="6">
        <v>0.55687613000000002</v>
      </c>
      <c r="F27" s="6">
        <v>-3.1082213799999998</v>
      </c>
      <c r="G27" s="6" t="s">
        <v>52</v>
      </c>
      <c r="H27" s="7">
        <v>1</v>
      </c>
      <c r="I27" s="2">
        <f>(22+92+17+39)/4*1000</f>
        <v>42500</v>
      </c>
      <c r="J27" s="6" t="s">
        <v>135</v>
      </c>
    </row>
    <row r="28" spans="1:10" s="6" customFormat="1">
      <c r="A28" s="6" t="s">
        <v>6</v>
      </c>
      <c r="B28" s="6" t="s">
        <v>136</v>
      </c>
      <c r="C28" s="6" t="s">
        <v>0</v>
      </c>
      <c r="D28" s="6">
        <v>1</v>
      </c>
      <c r="E28" s="6">
        <v>1.81690003</v>
      </c>
      <c r="F28" s="6">
        <v>-0.76812016999999999</v>
      </c>
      <c r="G28" s="6" t="s">
        <v>47</v>
      </c>
      <c r="H28" s="7">
        <v>1</v>
      </c>
      <c r="I28" s="2">
        <f>(2.8+8.3+1.8+5)/4*1000</f>
        <v>4475.0000000000009</v>
      </c>
      <c r="J28" s="6" t="s">
        <v>137</v>
      </c>
    </row>
    <row r="29" spans="1:10" s="6" customFormat="1">
      <c r="A29" s="6" t="s">
        <v>7</v>
      </c>
      <c r="B29" s="6" t="s">
        <v>138</v>
      </c>
      <c r="C29" s="6" t="s">
        <v>57</v>
      </c>
      <c r="D29" s="6">
        <v>1</v>
      </c>
      <c r="E29" s="6">
        <v>3.0867197200000001</v>
      </c>
      <c r="F29" s="6">
        <v>-1.4001321099999999</v>
      </c>
      <c r="G29" s="6" t="s">
        <v>52</v>
      </c>
      <c r="H29" s="7">
        <v>1</v>
      </c>
      <c r="I29" s="2">
        <f>(3.2+5.9+3.1+5.4)/4*1000</f>
        <v>4400</v>
      </c>
      <c r="J29" s="6" t="s">
        <v>140</v>
      </c>
    </row>
    <row r="30" spans="1:10" s="6" customFormat="1">
      <c r="A30" s="6" t="s">
        <v>7</v>
      </c>
      <c r="B30" s="6" t="s">
        <v>138</v>
      </c>
      <c r="C30" s="6" t="s">
        <v>57</v>
      </c>
      <c r="D30" s="6">
        <v>1</v>
      </c>
      <c r="E30" s="6">
        <v>3.1090826599999999</v>
      </c>
      <c r="F30" s="6">
        <v>-1.38079317</v>
      </c>
      <c r="G30" s="6" t="s">
        <v>51</v>
      </c>
      <c r="H30" s="7">
        <v>1</v>
      </c>
      <c r="I30" s="2">
        <f>(3.2+5.9+3.1+5.4)/4*1000</f>
        <v>4400</v>
      </c>
      <c r="J30" s="6" t="s">
        <v>141</v>
      </c>
    </row>
    <row r="31" spans="1:10" s="6" customFormat="1">
      <c r="A31" s="6" t="s">
        <v>7</v>
      </c>
      <c r="B31" s="6" t="s">
        <v>138</v>
      </c>
      <c r="C31" s="6" t="s">
        <v>57</v>
      </c>
      <c r="D31" s="6">
        <v>1</v>
      </c>
      <c r="E31" s="6">
        <v>3.0867197200000001</v>
      </c>
      <c r="F31" s="6">
        <v>-1.4001321099999999</v>
      </c>
      <c r="G31" s="6" t="s">
        <v>51</v>
      </c>
      <c r="H31" s="7">
        <v>1</v>
      </c>
      <c r="I31" s="2">
        <f>(3.2+5.9+3.1+5.4)/4*1000</f>
        <v>4400</v>
      </c>
      <c r="J31" s="6" t="s">
        <v>142</v>
      </c>
    </row>
    <row r="32" spans="1:10" s="6" customFormat="1">
      <c r="A32" s="6" t="s">
        <v>143</v>
      </c>
      <c r="B32" s="6" t="s">
        <v>144</v>
      </c>
      <c r="C32" s="6" t="s">
        <v>57</v>
      </c>
      <c r="D32" s="6">
        <v>1</v>
      </c>
      <c r="E32" s="6">
        <v>3.2579246400000001</v>
      </c>
      <c r="F32" s="6">
        <v>1.40925463</v>
      </c>
      <c r="G32" s="6" t="s">
        <v>51</v>
      </c>
      <c r="H32" s="7">
        <v>1</v>
      </c>
      <c r="I32" s="2">
        <f>(3.3+6+2.9+5)/4*1000</f>
        <v>4300.0000000000009</v>
      </c>
      <c r="J32" s="6" t="s">
        <v>145</v>
      </c>
    </row>
    <row r="33" spans="1:10" s="6" customFormat="1">
      <c r="A33" s="6" t="s">
        <v>8</v>
      </c>
      <c r="B33" s="6" t="s">
        <v>147</v>
      </c>
      <c r="C33" s="6" t="s">
        <v>146</v>
      </c>
      <c r="D33" s="6">
        <v>3</v>
      </c>
      <c r="E33" s="6">
        <v>-7.4238589999999993E-2</v>
      </c>
      <c r="F33" s="6">
        <v>0.23501459999999999</v>
      </c>
      <c r="G33" s="6" t="s">
        <v>48</v>
      </c>
      <c r="H33" s="7">
        <v>1</v>
      </c>
      <c r="I33" s="2">
        <f>(4.4+10.9+4.2+8.2)/4*1000</f>
        <v>6925</v>
      </c>
      <c r="J33" s="6" t="s">
        <v>148</v>
      </c>
    </row>
    <row r="34" spans="1:10" s="6" customFormat="1">
      <c r="A34" s="6" t="s">
        <v>8</v>
      </c>
      <c r="B34" s="6" t="s">
        <v>149</v>
      </c>
      <c r="C34" s="6" t="s">
        <v>57</v>
      </c>
      <c r="D34" s="6">
        <v>1</v>
      </c>
      <c r="E34" s="6">
        <v>-1.8230334800000001</v>
      </c>
      <c r="F34" s="6">
        <v>-0.21777334000000001</v>
      </c>
      <c r="G34" s="6" t="s">
        <v>46</v>
      </c>
      <c r="H34" s="7">
        <v>1</v>
      </c>
      <c r="I34" s="2">
        <f>(4.4+10.9+4.2+8.2)/4*1000</f>
        <v>6925</v>
      </c>
      <c r="J34" s="6" t="s">
        <v>150</v>
      </c>
    </row>
    <row r="35" spans="1:10" s="6" customFormat="1">
      <c r="A35" s="6" t="s">
        <v>9</v>
      </c>
      <c r="B35" s="6" t="s">
        <v>152</v>
      </c>
      <c r="C35" s="6" t="s">
        <v>151</v>
      </c>
      <c r="D35" s="6">
        <v>2</v>
      </c>
      <c r="E35" s="6">
        <v>1.5181145899999999</v>
      </c>
      <c r="F35" s="6">
        <v>-2.1020458500000001</v>
      </c>
      <c r="G35" s="6" t="s">
        <v>46</v>
      </c>
      <c r="H35" s="7">
        <v>1</v>
      </c>
      <c r="I35" s="2">
        <f>(6+12)/2*1000</f>
        <v>9000</v>
      </c>
      <c r="J35" s="6" t="s">
        <v>153</v>
      </c>
    </row>
    <row r="36" spans="1:10" s="6" customFormat="1">
      <c r="A36" s="6" t="s">
        <v>10</v>
      </c>
      <c r="B36" s="6" t="s">
        <v>154</v>
      </c>
      <c r="C36" s="6" t="s">
        <v>54</v>
      </c>
      <c r="D36" s="6">
        <v>1</v>
      </c>
      <c r="E36" s="6">
        <v>0.82414043000000003</v>
      </c>
      <c r="F36" s="6">
        <v>0.21931120000000001</v>
      </c>
      <c r="G36" s="6" t="s">
        <v>46</v>
      </c>
      <c r="H36" s="7">
        <v>1</v>
      </c>
      <c r="I36" s="2">
        <f>(2.7+4.2+1.6+3.5)/4*1000</f>
        <v>3000</v>
      </c>
      <c r="J36" s="6" t="s">
        <v>155</v>
      </c>
    </row>
    <row r="37" spans="1:10" s="6" customFormat="1">
      <c r="A37" s="6" t="s">
        <v>10</v>
      </c>
      <c r="B37" s="6" t="s">
        <v>156</v>
      </c>
      <c r="C37" s="6" t="s">
        <v>134</v>
      </c>
      <c r="D37" s="6">
        <v>2</v>
      </c>
      <c r="E37" s="6">
        <v>0.82344324999999996</v>
      </c>
      <c r="F37" s="6">
        <v>0.2298084</v>
      </c>
      <c r="G37" s="6" t="s">
        <v>46</v>
      </c>
      <c r="H37" s="7">
        <v>1</v>
      </c>
      <c r="I37" s="2">
        <f>(2.7+4.2+1.6+3.5)/4*1000</f>
        <v>3000</v>
      </c>
      <c r="J37" s="6" t="s">
        <v>157</v>
      </c>
    </row>
    <row r="38" spans="1:10" s="6" customFormat="1">
      <c r="A38" s="6" t="s">
        <v>158</v>
      </c>
      <c r="B38" s="6" t="s">
        <v>159</v>
      </c>
      <c r="C38" s="6" t="s">
        <v>65</v>
      </c>
      <c r="D38" s="6">
        <v>1</v>
      </c>
      <c r="E38" s="6">
        <v>1.93685526</v>
      </c>
      <c r="F38" s="6">
        <v>2.6131091099999999</v>
      </c>
      <c r="G38" s="6" t="s">
        <v>46</v>
      </c>
      <c r="H38" s="7">
        <v>1</v>
      </c>
      <c r="I38" s="2">
        <f>(3.7+6.8+2.5+4.2)/4*1000</f>
        <v>4300</v>
      </c>
      <c r="J38" s="6" t="s">
        <v>160</v>
      </c>
    </row>
    <row r="39" spans="1:10" s="6" customFormat="1">
      <c r="A39" s="6" t="s">
        <v>11</v>
      </c>
      <c r="B39" s="6" t="s">
        <v>161</v>
      </c>
      <c r="C39" s="6" t="s">
        <v>65</v>
      </c>
      <c r="D39" s="6">
        <v>1</v>
      </c>
      <c r="E39" s="6">
        <v>-1.2474771899999999</v>
      </c>
      <c r="F39" s="6">
        <v>3.6216400000000003E-2</v>
      </c>
      <c r="G39" s="6" t="s">
        <v>51</v>
      </c>
      <c r="H39" s="7">
        <v>1</v>
      </c>
      <c r="I39" s="2">
        <f>(100+170)/2</f>
        <v>135</v>
      </c>
      <c r="J39" s="6" t="s">
        <v>162</v>
      </c>
    </row>
    <row r="40" spans="1:10" s="6" customFormat="1">
      <c r="A40" s="6" t="s">
        <v>12</v>
      </c>
      <c r="B40" s="6" t="s">
        <v>163</v>
      </c>
      <c r="C40" s="6" t="s">
        <v>65</v>
      </c>
      <c r="D40" s="6">
        <v>1</v>
      </c>
      <c r="E40" s="6">
        <v>-0.93460350999999997</v>
      </c>
      <c r="F40" s="6">
        <v>0.68077430000000005</v>
      </c>
      <c r="G40" s="6" t="s">
        <v>50</v>
      </c>
      <c r="H40" s="7">
        <v>1</v>
      </c>
      <c r="I40" s="2">
        <f>(470+725+435+660)/4</f>
        <v>572.5</v>
      </c>
      <c r="J40" s="6" t="s">
        <v>164</v>
      </c>
    </row>
    <row r="41" spans="1:10" s="6" customFormat="1">
      <c r="A41" s="6" t="s">
        <v>12</v>
      </c>
      <c r="B41" s="6" t="s">
        <v>165</v>
      </c>
      <c r="C41" s="6" t="s">
        <v>65</v>
      </c>
      <c r="D41" s="6">
        <v>1</v>
      </c>
      <c r="E41" s="6">
        <v>-2.6260874599999999</v>
      </c>
      <c r="F41" s="6">
        <v>1.04590797</v>
      </c>
      <c r="G41" s="6" t="s">
        <v>51</v>
      </c>
      <c r="H41" s="7">
        <v>1</v>
      </c>
      <c r="I41" s="2">
        <f>(470+725+435+660)/4</f>
        <v>572.5</v>
      </c>
      <c r="J41" s="6" t="s">
        <v>166</v>
      </c>
    </row>
    <row r="42" spans="1:10" s="6" customFormat="1">
      <c r="A42" s="6" t="s">
        <v>12</v>
      </c>
      <c r="B42" s="6" t="s">
        <v>167</v>
      </c>
      <c r="C42" s="6" t="s">
        <v>65</v>
      </c>
      <c r="D42" s="6">
        <v>1</v>
      </c>
      <c r="E42" s="6">
        <v>0.23223824000000001</v>
      </c>
      <c r="F42" s="6">
        <v>0.31702095000000002</v>
      </c>
      <c r="G42" s="6" t="s">
        <v>46</v>
      </c>
      <c r="H42" s="7">
        <v>1</v>
      </c>
      <c r="I42" s="2">
        <f>(470+725+435+660)/4</f>
        <v>572.5</v>
      </c>
      <c r="J42" s="6" t="s">
        <v>168</v>
      </c>
    </row>
    <row r="43" spans="1:10" s="6" customFormat="1">
      <c r="A43" s="6" t="s">
        <v>12</v>
      </c>
      <c r="B43" s="6" t="s">
        <v>169</v>
      </c>
      <c r="C43" s="6" t="s">
        <v>65</v>
      </c>
      <c r="D43" s="6">
        <v>1</v>
      </c>
      <c r="E43" s="6">
        <v>-1.5084649800000001</v>
      </c>
      <c r="F43" s="6">
        <v>-0.24319249000000001</v>
      </c>
      <c r="G43" s="6" t="s">
        <v>51</v>
      </c>
      <c r="H43" s="7">
        <v>1</v>
      </c>
      <c r="I43" s="2">
        <f>(470+725+435+660)/4</f>
        <v>572.5</v>
      </c>
      <c r="J43" s="6" t="s">
        <v>170</v>
      </c>
    </row>
    <row r="44" spans="1:10" s="6" customFormat="1">
      <c r="A44" s="6" t="s">
        <v>12</v>
      </c>
      <c r="B44" s="6" t="s">
        <v>171</v>
      </c>
      <c r="C44" s="6" t="s">
        <v>65</v>
      </c>
      <c r="D44" s="6">
        <v>1</v>
      </c>
      <c r="E44" s="6">
        <v>2.0252573100000002</v>
      </c>
      <c r="F44" s="6">
        <v>1.6556709300000001</v>
      </c>
      <c r="G44" s="6" t="s">
        <v>50</v>
      </c>
      <c r="H44" s="7">
        <v>1</v>
      </c>
      <c r="I44" s="2">
        <f>(470+725+435+660)/4</f>
        <v>572.5</v>
      </c>
      <c r="J44" s="6" t="s">
        <v>172</v>
      </c>
    </row>
    <row r="45" spans="1:10" s="6" customFormat="1">
      <c r="A45" s="6" t="s">
        <v>173</v>
      </c>
      <c r="B45" s="6" t="s">
        <v>174</v>
      </c>
      <c r="C45" s="6" t="s">
        <v>65</v>
      </c>
      <c r="D45" s="6">
        <v>1</v>
      </c>
      <c r="E45" s="6">
        <v>0.85950495000000005</v>
      </c>
      <c r="F45" s="6">
        <v>0.80376590000000003</v>
      </c>
      <c r="G45" s="6" t="s">
        <v>48</v>
      </c>
      <c r="H45" s="7">
        <v>1</v>
      </c>
      <c r="I45" s="2">
        <f>(68+160+60+135)/4</f>
        <v>105.75</v>
      </c>
      <c r="J45" s="6" t="s">
        <v>175</v>
      </c>
    </row>
    <row r="46" spans="1:10" s="6" customFormat="1">
      <c r="A46" s="6" t="s">
        <v>173</v>
      </c>
      <c r="B46" s="6" t="s">
        <v>176</v>
      </c>
      <c r="C46" s="6" t="s">
        <v>65</v>
      </c>
      <c r="D46" s="6">
        <v>1</v>
      </c>
      <c r="E46" s="6">
        <v>1.08393432</v>
      </c>
      <c r="F46" s="6">
        <v>1.66782494</v>
      </c>
      <c r="G46" s="6" t="s">
        <v>51</v>
      </c>
      <c r="H46" s="7">
        <v>1</v>
      </c>
      <c r="I46" s="2">
        <f>(68+160+60+135)/4</f>
        <v>105.75</v>
      </c>
      <c r="J46" s="6" t="s">
        <v>177</v>
      </c>
    </row>
    <row r="47" spans="1:10" s="6" customFormat="1">
      <c r="A47" s="6" t="s">
        <v>178</v>
      </c>
      <c r="B47" s="6" t="s">
        <v>179</v>
      </c>
      <c r="C47" s="6" t="s">
        <v>65</v>
      </c>
      <c r="D47" s="6">
        <v>1</v>
      </c>
      <c r="E47" s="6">
        <v>2.7167667999999998</v>
      </c>
      <c r="F47" s="6">
        <v>1.9258715399999999</v>
      </c>
      <c r="G47" s="6" t="s">
        <v>51</v>
      </c>
      <c r="H47" s="7">
        <v>1</v>
      </c>
      <c r="I47" s="2">
        <f>(337+500+310+454)/4</f>
        <v>400.25</v>
      </c>
      <c r="J47" s="6" t="s">
        <v>180</v>
      </c>
    </row>
    <row r="48" spans="1:10" s="6" customFormat="1">
      <c r="A48" s="6" t="s">
        <v>181</v>
      </c>
      <c r="B48" s="6" t="s">
        <v>174</v>
      </c>
      <c r="C48" s="6" t="s">
        <v>65</v>
      </c>
      <c r="D48" s="6">
        <v>1</v>
      </c>
      <c r="E48" s="6">
        <v>0.85950495000000005</v>
      </c>
      <c r="F48" s="6">
        <v>0.80376590000000003</v>
      </c>
      <c r="G48" s="6" t="s">
        <v>50</v>
      </c>
      <c r="H48" s="7">
        <v>1</v>
      </c>
      <c r="I48" s="2">
        <f>(173+300)/2</f>
        <v>236.5</v>
      </c>
      <c r="J48" s="6" t="s">
        <v>175</v>
      </c>
    </row>
    <row r="49" spans="1:10" s="6" customFormat="1">
      <c r="A49" s="6" t="s">
        <v>181</v>
      </c>
      <c r="B49" s="6" t="s">
        <v>182</v>
      </c>
      <c r="C49" s="6" t="s">
        <v>65</v>
      </c>
      <c r="D49" s="6">
        <v>1</v>
      </c>
      <c r="E49" s="6">
        <v>1.3836947799999999</v>
      </c>
      <c r="F49" s="6">
        <v>0.55699748000000004</v>
      </c>
      <c r="G49" s="6" t="s">
        <v>51</v>
      </c>
      <c r="H49" s="7">
        <v>1</v>
      </c>
      <c r="I49" s="2">
        <f>(173+300)/2</f>
        <v>236.5</v>
      </c>
      <c r="J49" s="6" t="s">
        <v>183</v>
      </c>
    </row>
    <row r="50" spans="1:10" s="6" customFormat="1">
      <c r="A50" s="6" t="s">
        <v>181</v>
      </c>
      <c r="B50" s="6" t="s">
        <v>184</v>
      </c>
      <c r="C50" s="6" t="s">
        <v>65</v>
      </c>
      <c r="D50" s="6">
        <v>1</v>
      </c>
      <c r="E50" s="6">
        <v>0.32801195999999999</v>
      </c>
      <c r="F50" s="6">
        <v>-0.15789230000000001</v>
      </c>
      <c r="G50" s="6" t="s">
        <v>51</v>
      </c>
      <c r="H50" s="7">
        <v>1</v>
      </c>
      <c r="I50" s="2">
        <f>(173+300)/2</f>
        <v>236.5</v>
      </c>
      <c r="J50" s="6" t="s">
        <v>185</v>
      </c>
    </row>
    <row r="51" spans="1:10" s="6" customFormat="1">
      <c r="A51" s="6" t="s">
        <v>181</v>
      </c>
      <c r="B51" s="6" t="s">
        <v>186</v>
      </c>
      <c r="C51" s="6" t="s">
        <v>65</v>
      </c>
      <c r="D51" s="6">
        <v>1</v>
      </c>
      <c r="E51" s="6">
        <v>-1.24948792</v>
      </c>
      <c r="F51" s="6">
        <v>-0.48640324000000001</v>
      </c>
      <c r="G51" s="6" t="s">
        <v>46</v>
      </c>
      <c r="H51" s="7">
        <v>1</v>
      </c>
      <c r="I51" s="2">
        <f>(173+300)/2</f>
        <v>236.5</v>
      </c>
      <c r="J51" s="6" t="s">
        <v>187</v>
      </c>
    </row>
    <row r="52" spans="1:10" s="6" customFormat="1">
      <c r="A52" s="6" t="s">
        <v>13</v>
      </c>
      <c r="B52" s="6" t="s">
        <v>188</v>
      </c>
      <c r="C52" s="6" t="s">
        <v>65</v>
      </c>
      <c r="D52" s="6">
        <v>1</v>
      </c>
      <c r="E52" s="6">
        <v>0.25840864000000002</v>
      </c>
      <c r="F52" s="6">
        <v>0.94393596999999996</v>
      </c>
      <c r="G52" s="6" t="s">
        <v>51</v>
      </c>
      <c r="H52" s="7">
        <v>1</v>
      </c>
      <c r="I52" s="2">
        <f>(2.5+4.5)/2*1000</f>
        <v>3500</v>
      </c>
      <c r="J52" s="6" t="s">
        <v>189</v>
      </c>
    </row>
    <row r="53" spans="1:10" s="6" customFormat="1">
      <c r="A53" s="6" t="s">
        <v>13</v>
      </c>
      <c r="B53" s="6" t="s">
        <v>190</v>
      </c>
      <c r="C53" s="6" t="s">
        <v>65</v>
      </c>
      <c r="D53" s="6">
        <v>1</v>
      </c>
      <c r="E53" s="6">
        <v>-2.3169384100000001</v>
      </c>
      <c r="F53" s="6">
        <v>1.3763414</v>
      </c>
      <c r="G53" s="6" t="s">
        <v>51</v>
      </c>
      <c r="H53" s="7">
        <v>1</v>
      </c>
      <c r="I53" s="2">
        <f>(2.5+4.5)/2*1000</f>
        <v>3500</v>
      </c>
      <c r="J53" s="6" t="s">
        <v>191</v>
      </c>
    </row>
    <row r="54" spans="1:10" s="6" customFormat="1">
      <c r="A54" s="6" t="s">
        <v>14</v>
      </c>
      <c r="B54" s="6" t="s">
        <v>192</v>
      </c>
      <c r="C54" s="6" t="s">
        <v>65</v>
      </c>
      <c r="D54" s="6">
        <v>1</v>
      </c>
      <c r="E54" s="6">
        <v>-1.3816757200000001</v>
      </c>
      <c r="F54" s="6">
        <v>0.90883855000000002</v>
      </c>
      <c r="G54" s="6" t="s">
        <v>51</v>
      </c>
      <c r="H54" s="7">
        <v>1</v>
      </c>
      <c r="I54" s="2">
        <f>(2.6+4.2)/2*1000</f>
        <v>3400.0000000000005</v>
      </c>
      <c r="J54" s="6" t="s">
        <v>193</v>
      </c>
    </row>
    <row r="55" spans="1:10" s="6" customFormat="1">
      <c r="A55" s="6" t="s">
        <v>14</v>
      </c>
      <c r="B55" s="6" t="s">
        <v>194</v>
      </c>
      <c r="C55" s="6" t="s">
        <v>65</v>
      </c>
      <c r="D55" s="6">
        <v>1</v>
      </c>
      <c r="E55" s="6">
        <v>-1.6172821900000001</v>
      </c>
      <c r="F55" s="6">
        <v>-0.11596123999999999</v>
      </c>
      <c r="G55" s="6" t="s">
        <v>53</v>
      </c>
      <c r="H55" s="7">
        <v>1</v>
      </c>
      <c r="I55" s="2">
        <f>(2.6+4.2)/2*1000</f>
        <v>3400.0000000000005</v>
      </c>
      <c r="J55" s="6" t="s">
        <v>195</v>
      </c>
    </row>
    <row r="56" spans="1:10" s="6" customFormat="1">
      <c r="A56" s="6" t="s">
        <v>14</v>
      </c>
      <c r="B56" s="6" t="s">
        <v>196</v>
      </c>
      <c r="C56" s="6" t="s">
        <v>65</v>
      </c>
      <c r="D56" s="6">
        <v>1</v>
      </c>
      <c r="E56" s="6">
        <v>-1.92024956</v>
      </c>
      <c r="F56" s="6">
        <v>-0.18096112</v>
      </c>
      <c r="G56" s="6" t="s">
        <v>46</v>
      </c>
      <c r="H56" s="7">
        <v>1</v>
      </c>
      <c r="I56" s="2">
        <f>(2.6+4.2)/2*1000</f>
        <v>3400.0000000000005</v>
      </c>
      <c r="J56" s="6" t="s">
        <v>197</v>
      </c>
    </row>
    <row r="57" spans="1:10" s="6" customFormat="1">
      <c r="A57" s="6" t="s">
        <v>15</v>
      </c>
      <c r="B57" s="6" t="s">
        <v>198</v>
      </c>
      <c r="C57" s="6" t="s">
        <v>65</v>
      </c>
      <c r="D57" s="6">
        <v>1</v>
      </c>
      <c r="E57" s="6">
        <v>-1.6125109</v>
      </c>
      <c r="F57" s="6">
        <v>-0.54561594999999996</v>
      </c>
      <c r="G57" s="6" t="s">
        <v>46</v>
      </c>
      <c r="H57" s="7">
        <v>1</v>
      </c>
      <c r="I57" s="2">
        <f>(1.2+4.5)*1000</f>
        <v>5700</v>
      </c>
      <c r="J57" s="6" t="s">
        <v>199</v>
      </c>
    </row>
    <row r="58" spans="1:10" s="6" customFormat="1">
      <c r="A58" s="6" t="s">
        <v>200</v>
      </c>
      <c r="B58" s="6" t="s">
        <v>201</v>
      </c>
      <c r="C58" s="6" t="s">
        <v>65</v>
      </c>
      <c r="D58" s="6">
        <v>1</v>
      </c>
      <c r="E58" s="6">
        <v>3.0567301900000001</v>
      </c>
      <c r="F58" s="6">
        <v>0.50894528999999999</v>
      </c>
      <c r="G58" s="6" t="s">
        <v>47</v>
      </c>
      <c r="H58" s="7">
        <v>1</v>
      </c>
      <c r="I58" s="2">
        <f>(0.9+2)/2*1000</f>
        <v>1450</v>
      </c>
      <c r="J58" s="6" t="s">
        <v>202</v>
      </c>
    </row>
    <row r="59" spans="1:10" s="6" customFormat="1">
      <c r="A59" s="6" t="s">
        <v>17</v>
      </c>
      <c r="B59" s="6" t="s">
        <v>203</v>
      </c>
      <c r="C59" s="6" t="s">
        <v>65</v>
      </c>
      <c r="D59" s="6">
        <v>1</v>
      </c>
      <c r="E59" s="6">
        <v>-1.0023858400000001</v>
      </c>
      <c r="F59" s="6">
        <v>0.73971536999999998</v>
      </c>
      <c r="G59" s="6" t="s">
        <v>51</v>
      </c>
      <c r="H59" s="7">
        <v>1</v>
      </c>
      <c r="I59" s="2">
        <f>(1.6+2.2)/2*1000</f>
        <v>1900.0000000000002</v>
      </c>
      <c r="J59" s="6" t="s">
        <v>204</v>
      </c>
    </row>
    <row r="60" spans="1:10" s="6" customFormat="1">
      <c r="A60" s="6" t="s">
        <v>205</v>
      </c>
      <c r="B60" s="6" t="s">
        <v>206</v>
      </c>
      <c r="C60" s="6" t="s">
        <v>65</v>
      </c>
      <c r="D60" s="6">
        <v>1</v>
      </c>
      <c r="E60" s="6">
        <v>-1.68901473</v>
      </c>
      <c r="F60" s="6">
        <v>0.78272021999999997</v>
      </c>
      <c r="G60" s="6" t="s">
        <v>50</v>
      </c>
      <c r="H60" s="7">
        <v>1</v>
      </c>
      <c r="I60" s="2">
        <f>(0.66+1.7)/2*1000</f>
        <v>1180</v>
      </c>
      <c r="J60" s="6" t="s">
        <v>207</v>
      </c>
    </row>
    <row r="61" spans="1:10" s="6" customFormat="1">
      <c r="A61" s="6" t="s">
        <v>208</v>
      </c>
      <c r="B61" s="6" t="s">
        <v>209</v>
      </c>
      <c r="C61" s="6" t="s">
        <v>65</v>
      </c>
      <c r="D61" s="6">
        <v>1</v>
      </c>
      <c r="E61" s="6">
        <v>2.3696708200000001</v>
      </c>
      <c r="F61" s="6">
        <v>-0.27457221999999998</v>
      </c>
      <c r="G61" s="6" t="s">
        <v>52</v>
      </c>
      <c r="H61" s="7">
        <v>1</v>
      </c>
      <c r="I61" s="2">
        <f>(1.9+3+1.3+3)/4*1000</f>
        <v>2300</v>
      </c>
      <c r="J61" s="6" t="s">
        <v>210</v>
      </c>
    </row>
    <row r="62" spans="1:10" s="6" customFormat="1">
      <c r="A62" s="6" t="s">
        <v>18</v>
      </c>
      <c r="B62" s="6" t="s">
        <v>211</v>
      </c>
      <c r="C62" s="6" t="s">
        <v>212</v>
      </c>
      <c r="D62" s="6">
        <v>2</v>
      </c>
      <c r="E62" s="6">
        <v>1.0627163500000001</v>
      </c>
      <c r="F62" s="6">
        <v>-3.2863850499999998</v>
      </c>
      <c r="G62" s="6" t="s">
        <v>47</v>
      </c>
      <c r="H62" s="7">
        <v>1</v>
      </c>
      <c r="I62" s="2">
        <f>(0.68+1)/2*1000</f>
        <v>840.00000000000011</v>
      </c>
      <c r="J62" s="8" t="s">
        <v>213</v>
      </c>
    </row>
    <row r="63" spans="1:10" s="6" customFormat="1">
      <c r="A63" s="6" t="s">
        <v>214</v>
      </c>
      <c r="B63" s="6" t="s">
        <v>215</v>
      </c>
      <c r="C63" s="6" t="s">
        <v>65</v>
      </c>
      <c r="D63" s="6">
        <v>1</v>
      </c>
      <c r="E63" s="6">
        <v>2.2310854999999998</v>
      </c>
      <c r="F63" s="6">
        <v>1.88545987</v>
      </c>
      <c r="G63" s="6" t="s">
        <v>51</v>
      </c>
      <c r="H63" s="7">
        <v>1</v>
      </c>
      <c r="I63" s="2">
        <f>(0.9+1.4)/2*1000</f>
        <v>1150</v>
      </c>
      <c r="J63" s="6" t="s">
        <v>216</v>
      </c>
    </row>
    <row r="64" spans="1:10" s="6" customFormat="1">
      <c r="A64" s="6" t="s">
        <v>19</v>
      </c>
      <c r="B64" s="9" t="s">
        <v>217</v>
      </c>
      <c r="C64" s="6" t="s">
        <v>65</v>
      </c>
      <c r="D64" s="6">
        <v>1</v>
      </c>
      <c r="E64" s="6">
        <v>2.2896322499999999</v>
      </c>
      <c r="F64" s="6">
        <v>0.29964846000000001</v>
      </c>
      <c r="G64" s="6" t="s">
        <v>47</v>
      </c>
      <c r="H64" s="7">
        <v>1</v>
      </c>
      <c r="I64" s="2">
        <f>(0.9+1.7)/2*1000</f>
        <v>1300</v>
      </c>
      <c r="J64" s="6" t="s">
        <v>218</v>
      </c>
    </row>
    <row r="65" spans="1:10" s="6" customFormat="1">
      <c r="A65" s="6" t="s">
        <v>19</v>
      </c>
      <c r="B65" s="6" t="s">
        <v>219</v>
      </c>
      <c r="C65" s="6" t="s">
        <v>65</v>
      </c>
      <c r="D65" s="6">
        <v>1</v>
      </c>
      <c r="E65" s="6">
        <v>-2.0904795799999998</v>
      </c>
      <c r="F65" s="6">
        <v>-0.14413011000000001</v>
      </c>
      <c r="G65" s="6" t="s">
        <v>47</v>
      </c>
      <c r="H65" s="7">
        <v>1</v>
      </c>
      <c r="I65" s="2">
        <f>(0.9+1.7)/2*1000</f>
        <v>1300</v>
      </c>
      <c r="J65" s="6" t="s">
        <v>220</v>
      </c>
    </row>
    <row r="66" spans="1:10" s="6" customFormat="1">
      <c r="A66" s="6" t="s">
        <v>20</v>
      </c>
      <c r="B66" s="6" t="s">
        <v>221</v>
      </c>
      <c r="C66" s="6" t="s">
        <v>222</v>
      </c>
      <c r="D66" s="6">
        <v>2</v>
      </c>
      <c r="E66" s="6">
        <v>3.5628223399999999</v>
      </c>
      <c r="F66" s="6">
        <v>1.2884015200000001</v>
      </c>
      <c r="G66" s="6" t="s">
        <v>50</v>
      </c>
      <c r="H66" s="7">
        <v>1</v>
      </c>
      <c r="I66" s="2">
        <f>(1.3+2)/2*1000</f>
        <v>1650</v>
      </c>
      <c r="J66" s="8" t="s">
        <v>223</v>
      </c>
    </row>
    <row r="67" spans="1:10" s="6" customFormat="1">
      <c r="A67" s="6" t="s">
        <v>226</v>
      </c>
      <c r="B67" s="6" t="s">
        <v>227</v>
      </c>
      <c r="C67" s="6" t="s">
        <v>228</v>
      </c>
      <c r="D67" s="6">
        <v>2</v>
      </c>
      <c r="E67" s="6">
        <v>-1.4719994700000001</v>
      </c>
      <c r="F67" s="6">
        <v>0.98546146000000001</v>
      </c>
      <c r="G67" s="6" t="s">
        <v>52</v>
      </c>
      <c r="H67" s="7">
        <v>1</v>
      </c>
      <c r="I67" s="2">
        <f>(0.8+1.1)/2*1000</f>
        <v>950.00000000000011</v>
      </c>
      <c r="J67" s="6" t="s">
        <v>229</v>
      </c>
    </row>
    <row r="68" spans="1:10" s="6" customFormat="1">
      <c r="A68" s="6" t="s">
        <v>22</v>
      </c>
      <c r="B68" s="6" t="s">
        <v>230</v>
      </c>
      <c r="C68" s="6" t="s">
        <v>65</v>
      </c>
      <c r="D68" s="6">
        <v>1</v>
      </c>
      <c r="E68" s="6">
        <v>2.1609147599999998</v>
      </c>
      <c r="F68" s="6">
        <v>-1.93465449</v>
      </c>
      <c r="G68" s="6" t="s">
        <v>48</v>
      </c>
      <c r="H68" s="7">
        <v>1</v>
      </c>
      <c r="I68" s="2">
        <f>(31+31.9)/2*1000</f>
        <v>31450</v>
      </c>
      <c r="J68" s="6" t="s">
        <v>231</v>
      </c>
    </row>
    <row r="69" spans="1:10" s="6" customFormat="1">
      <c r="A69" s="10" t="s">
        <v>16</v>
      </c>
      <c r="B69" s="10" t="s">
        <v>232</v>
      </c>
      <c r="C69" s="10" t="s">
        <v>25</v>
      </c>
      <c r="D69" s="10">
        <v>1</v>
      </c>
      <c r="E69" s="10">
        <v>1.1496047300000001</v>
      </c>
      <c r="F69" s="10">
        <v>0.12221687000000001</v>
      </c>
      <c r="G69" s="6" t="s">
        <v>285</v>
      </c>
      <c r="H69" s="7">
        <v>1</v>
      </c>
      <c r="I69" s="2">
        <f>(4.2+12.9+4.1+11)/4*1000</f>
        <v>8050.0000000000009</v>
      </c>
      <c r="J69" s="6" t="s">
        <v>233</v>
      </c>
    </row>
    <row r="70" spans="1:10" s="6" customFormat="1">
      <c r="A70" s="10" t="s">
        <v>23</v>
      </c>
      <c r="B70" s="10" t="s">
        <v>235</v>
      </c>
      <c r="C70" s="10" t="s">
        <v>234</v>
      </c>
      <c r="D70" s="10">
        <v>1</v>
      </c>
      <c r="E70" s="10">
        <v>-1.21661705</v>
      </c>
      <c r="F70" s="10">
        <v>0.26874692</v>
      </c>
      <c r="G70" s="6" t="s">
        <v>286</v>
      </c>
      <c r="H70" s="7">
        <v>1</v>
      </c>
      <c r="I70" s="2">
        <f>(30+20)/2</f>
        <v>25</v>
      </c>
      <c r="J70" s="6" t="s">
        <v>236</v>
      </c>
    </row>
    <row r="71" spans="1:10" s="6" customFormat="1">
      <c r="A71" s="6" t="s">
        <v>24</v>
      </c>
      <c r="B71" s="6" t="s">
        <v>237</v>
      </c>
      <c r="C71" s="6" t="s">
        <v>25</v>
      </c>
      <c r="D71" s="6">
        <v>1</v>
      </c>
      <c r="E71" s="6">
        <v>-6.1064612900000004</v>
      </c>
      <c r="F71" s="6">
        <v>0.55739338000000005</v>
      </c>
      <c r="G71" s="6" t="s">
        <v>287</v>
      </c>
      <c r="H71" s="7">
        <v>1</v>
      </c>
      <c r="I71" s="2">
        <f>(24+71+16+40)/4</f>
        <v>37.75</v>
      </c>
      <c r="J71" s="6" t="s">
        <v>238</v>
      </c>
    </row>
    <row r="72" spans="1:10" s="6" customFormat="1">
      <c r="A72" s="6" t="s">
        <v>24</v>
      </c>
      <c r="B72" s="6" t="s">
        <v>239</v>
      </c>
      <c r="C72" s="6" t="s">
        <v>25</v>
      </c>
      <c r="D72" s="6">
        <v>1</v>
      </c>
      <c r="E72" s="6">
        <v>0.31959588999999999</v>
      </c>
      <c r="F72" s="6">
        <v>0.38870080000000001</v>
      </c>
      <c r="G72" s="6" t="s">
        <v>286</v>
      </c>
      <c r="H72" s="7">
        <v>1</v>
      </c>
      <c r="I72" s="2">
        <f>(24+71+16+40)/4</f>
        <v>37.75</v>
      </c>
      <c r="J72" s="6" t="s">
        <v>240</v>
      </c>
    </row>
    <row r="73" spans="1:10" s="6" customFormat="1">
      <c r="A73" s="6" t="s">
        <v>24</v>
      </c>
      <c r="B73" s="6" t="s">
        <v>241</v>
      </c>
      <c r="C73" s="6" t="s">
        <v>25</v>
      </c>
      <c r="D73" s="6">
        <v>1</v>
      </c>
      <c r="E73" s="6">
        <v>0.18972009000000001</v>
      </c>
      <c r="F73" s="6">
        <v>1.25496761</v>
      </c>
      <c r="G73" s="6" t="s">
        <v>287</v>
      </c>
      <c r="H73" s="7">
        <v>1</v>
      </c>
      <c r="I73" s="2">
        <f>(24+71+16+40)/4</f>
        <v>37.75</v>
      </c>
      <c r="J73" s="6" t="s">
        <v>242</v>
      </c>
    </row>
    <row r="74" spans="1:10" s="6" customFormat="1">
      <c r="A74" s="6" t="s">
        <v>26</v>
      </c>
      <c r="B74" s="6" t="s">
        <v>243</v>
      </c>
      <c r="C74" s="6" t="s">
        <v>25</v>
      </c>
      <c r="D74" s="6">
        <v>1</v>
      </c>
      <c r="E74" s="6">
        <v>1.01475033</v>
      </c>
      <c r="F74" s="6">
        <v>1.6128529599999999</v>
      </c>
      <c r="G74" s="6" t="s">
        <v>288</v>
      </c>
      <c r="H74" s="7">
        <v>1</v>
      </c>
      <c r="I74" s="2">
        <f>(18+78+16+33.1)/4</f>
        <v>36.274999999999999</v>
      </c>
      <c r="J74" s="6" t="s">
        <v>244</v>
      </c>
    </row>
    <row r="75" spans="1:10" s="6" customFormat="1">
      <c r="A75" s="15" t="s">
        <v>316</v>
      </c>
      <c r="B75" s="15" t="s">
        <v>317</v>
      </c>
      <c r="C75" s="15" t="s">
        <v>318</v>
      </c>
      <c r="D75" s="6">
        <v>3</v>
      </c>
      <c r="E75" s="6">
        <v>-3.2899651699999999</v>
      </c>
      <c r="F75" s="6">
        <v>0.43128286999999998</v>
      </c>
      <c r="G75" s="6" t="s">
        <v>298</v>
      </c>
      <c r="H75" s="7">
        <v>1</v>
      </c>
      <c r="I75" s="2">
        <f>(42+178+35+100)/4</f>
        <v>88.75</v>
      </c>
      <c r="J75" s="15" t="s">
        <v>319</v>
      </c>
    </row>
    <row r="76" spans="1:10" s="6" customFormat="1">
      <c r="A76" s="6" t="s">
        <v>27</v>
      </c>
      <c r="B76" s="6" t="s">
        <v>245</v>
      </c>
      <c r="C76" s="6" t="s">
        <v>28</v>
      </c>
      <c r="D76" s="6">
        <v>1</v>
      </c>
      <c r="E76" s="6">
        <v>1.5648809699999999</v>
      </c>
      <c r="F76" s="6">
        <v>-3.4585610500000001</v>
      </c>
      <c r="G76" s="6" t="s">
        <v>288</v>
      </c>
      <c r="H76" s="7">
        <v>1</v>
      </c>
      <c r="I76" s="2">
        <f>(75+110+60+90)/4</f>
        <v>83.75</v>
      </c>
      <c r="J76" s="6" t="s">
        <v>246</v>
      </c>
    </row>
    <row r="77" spans="1:10" s="6" customFormat="1">
      <c r="A77" s="6" t="s">
        <v>29</v>
      </c>
      <c r="B77" s="6" t="s">
        <v>247</v>
      </c>
      <c r="C77" s="6" t="s">
        <v>28</v>
      </c>
      <c r="D77" s="6">
        <v>1</v>
      </c>
      <c r="E77" s="6">
        <v>3.3408843300000002</v>
      </c>
      <c r="F77" s="6">
        <v>-2.8653325500000002</v>
      </c>
      <c r="G77" s="6" t="s">
        <v>289</v>
      </c>
      <c r="H77" s="7">
        <v>1</v>
      </c>
      <c r="I77" s="2">
        <f>(110+185+65+120)/4</f>
        <v>120</v>
      </c>
      <c r="J77" s="6" t="s">
        <v>248</v>
      </c>
    </row>
    <row r="78" spans="1:10" s="6" customFormat="1">
      <c r="A78" s="6" t="s">
        <v>29</v>
      </c>
      <c r="B78" s="6" t="s">
        <v>245</v>
      </c>
      <c r="C78" s="6" t="s">
        <v>28</v>
      </c>
      <c r="D78" s="6">
        <v>1</v>
      </c>
      <c r="E78" s="6">
        <v>1.6012182500000001</v>
      </c>
      <c r="F78" s="6">
        <v>-3.4075487299999998</v>
      </c>
      <c r="G78" s="6" t="s">
        <v>290</v>
      </c>
      <c r="H78" s="7">
        <v>1</v>
      </c>
      <c r="I78" s="2">
        <f>(110+185+65+120)/4</f>
        <v>120</v>
      </c>
      <c r="J78" s="6" t="s">
        <v>249</v>
      </c>
    </row>
    <row r="79" spans="1:10" s="6" customFormat="1">
      <c r="A79" s="6" t="s">
        <v>30</v>
      </c>
      <c r="B79" s="6" t="s">
        <v>250</v>
      </c>
      <c r="C79" s="6" t="s">
        <v>25</v>
      </c>
      <c r="D79" s="6">
        <v>1</v>
      </c>
      <c r="E79" s="6">
        <v>0.39661239999999998</v>
      </c>
      <c r="F79" s="6">
        <v>0.68231746000000004</v>
      </c>
      <c r="G79" s="6" t="s">
        <v>289</v>
      </c>
      <c r="H79" s="7">
        <v>1</v>
      </c>
      <c r="I79" s="2">
        <f>(0.71+2.2+0.61+1.1)/4*1000</f>
        <v>1155</v>
      </c>
      <c r="J79" s="6" t="s">
        <v>251</v>
      </c>
    </row>
    <row r="80" spans="1:10" s="6" customFormat="1">
      <c r="A80" s="6" t="s">
        <v>31</v>
      </c>
      <c r="B80" s="6" t="s">
        <v>252</v>
      </c>
      <c r="C80" s="6" t="s">
        <v>32</v>
      </c>
      <c r="D80" s="6">
        <v>4</v>
      </c>
      <c r="E80" s="6">
        <v>3.5110532800000001</v>
      </c>
      <c r="F80" s="6">
        <v>1.3331397300000001</v>
      </c>
      <c r="G80" s="6" t="s">
        <v>285</v>
      </c>
      <c r="H80" s="7">
        <v>1</v>
      </c>
      <c r="I80" s="2">
        <f>(0.34+1.1+0.24+0.69)/4*1000</f>
        <v>592.5</v>
      </c>
      <c r="J80" s="6" t="s">
        <v>253</v>
      </c>
    </row>
    <row r="81" spans="1:10" s="6" customFormat="1">
      <c r="A81" s="6" t="s">
        <v>33</v>
      </c>
      <c r="B81" s="6" t="s">
        <v>254</v>
      </c>
      <c r="C81" s="6" t="s">
        <v>25</v>
      </c>
      <c r="D81" s="6">
        <v>1</v>
      </c>
      <c r="E81" s="6">
        <v>0.14403303000000001</v>
      </c>
      <c r="F81" s="6">
        <v>0.74865733000000001</v>
      </c>
      <c r="G81" s="6" t="s">
        <v>285</v>
      </c>
      <c r="H81" s="7">
        <v>1</v>
      </c>
      <c r="I81" s="2">
        <f>(1.5+5+0.9+2.5)/4*1000</f>
        <v>2475</v>
      </c>
      <c r="J81" s="11" t="s">
        <v>255</v>
      </c>
    </row>
    <row r="82" spans="1:10" s="6" customFormat="1">
      <c r="A82" s="6" t="s">
        <v>33</v>
      </c>
      <c r="B82" s="6" t="s">
        <v>256</v>
      </c>
      <c r="C82" s="6" t="s">
        <v>25</v>
      </c>
      <c r="D82" s="6">
        <v>1</v>
      </c>
      <c r="E82" s="6">
        <v>-2.3739798900000002</v>
      </c>
      <c r="F82" s="6">
        <v>-0.37276491</v>
      </c>
      <c r="G82" s="6" t="s">
        <v>285</v>
      </c>
      <c r="H82" s="7">
        <v>1</v>
      </c>
      <c r="I82" s="2">
        <f>(1.5+5+0.9+2.5)/4*1000</f>
        <v>2475</v>
      </c>
      <c r="J82" s="11" t="s">
        <v>257</v>
      </c>
    </row>
    <row r="83" spans="1:10" s="6" customFormat="1">
      <c r="A83" s="6" t="s">
        <v>33</v>
      </c>
      <c r="B83" s="6" t="s">
        <v>258</v>
      </c>
      <c r="C83" s="6" t="s">
        <v>25</v>
      </c>
      <c r="D83" s="6">
        <v>1</v>
      </c>
      <c r="E83" s="6">
        <v>-1.51774415</v>
      </c>
      <c r="F83" s="6">
        <v>-0.44851384999999999</v>
      </c>
      <c r="G83" s="6" t="s">
        <v>285</v>
      </c>
      <c r="H83" s="7">
        <v>1</v>
      </c>
      <c r="I83" s="2">
        <f>(1.5+5+0.9+2.5)/4*1000</f>
        <v>2475</v>
      </c>
      <c r="J83" s="11" t="s">
        <v>257</v>
      </c>
    </row>
    <row r="84" spans="1:10" s="6" customFormat="1">
      <c r="A84" s="6" t="s">
        <v>33</v>
      </c>
      <c r="B84" s="6" t="s">
        <v>259</v>
      </c>
      <c r="C84" s="6" t="s">
        <v>25</v>
      </c>
      <c r="D84" s="6">
        <v>1</v>
      </c>
      <c r="E84" s="6">
        <v>-1.50037971</v>
      </c>
      <c r="F84" s="6">
        <v>0.16248317000000001</v>
      </c>
      <c r="G84" s="6" t="s">
        <v>285</v>
      </c>
      <c r="H84" s="7">
        <v>1</v>
      </c>
      <c r="I84" s="2">
        <f>(1.5+5+0.9+2.5)/4*1000</f>
        <v>2475</v>
      </c>
      <c r="J84" s="11" t="s">
        <v>257</v>
      </c>
    </row>
    <row r="85" spans="1:10" s="6" customFormat="1">
      <c r="A85" s="6" t="s">
        <v>34</v>
      </c>
      <c r="B85" s="6" t="s">
        <v>260</v>
      </c>
      <c r="C85" s="6" t="s">
        <v>35</v>
      </c>
      <c r="D85" s="6">
        <v>2</v>
      </c>
      <c r="E85" s="6">
        <v>-1.57572406</v>
      </c>
      <c r="F85" s="6">
        <v>0.62102944999999998</v>
      </c>
      <c r="G85" s="6" t="s">
        <v>285</v>
      </c>
      <c r="H85" s="7">
        <v>1</v>
      </c>
      <c r="I85" s="2">
        <f>(175+331+106+212)/4</f>
        <v>206</v>
      </c>
      <c r="J85" s="11" t="s">
        <v>261</v>
      </c>
    </row>
    <row r="86" spans="1:10" s="6" customFormat="1">
      <c r="A86" s="6" t="s">
        <v>34</v>
      </c>
      <c r="B86" s="6" t="s">
        <v>262</v>
      </c>
      <c r="C86" s="6" t="s">
        <v>36</v>
      </c>
      <c r="D86" s="6">
        <v>1</v>
      </c>
      <c r="E86" s="6">
        <v>-0.32217111999999998</v>
      </c>
      <c r="F86" s="6">
        <v>0.24659998</v>
      </c>
      <c r="G86" s="6" t="s">
        <v>288</v>
      </c>
      <c r="H86" s="7">
        <v>1</v>
      </c>
      <c r="I86" s="2">
        <f>(175+331+106+212)/4</f>
        <v>206</v>
      </c>
      <c r="J86" s="6" t="s">
        <v>263</v>
      </c>
    </row>
    <row r="87" spans="1:10" s="6" customFormat="1">
      <c r="A87" s="6" t="s">
        <v>37</v>
      </c>
      <c r="B87" s="6" t="s">
        <v>264</v>
      </c>
      <c r="C87" s="6" t="s">
        <v>38</v>
      </c>
      <c r="D87" s="6">
        <v>1</v>
      </c>
      <c r="E87" s="6">
        <v>-1.1830882</v>
      </c>
      <c r="F87" s="6">
        <v>-0.11416004</v>
      </c>
      <c r="G87" s="6" t="s">
        <v>290</v>
      </c>
      <c r="H87" s="7">
        <v>1</v>
      </c>
      <c r="I87" s="2">
        <f>(10+20)/2</f>
        <v>15</v>
      </c>
      <c r="J87" s="6" t="s">
        <v>265</v>
      </c>
    </row>
    <row r="88" spans="1:10" s="6" customFormat="1">
      <c r="A88" s="6" t="s">
        <v>37</v>
      </c>
      <c r="B88" s="6" t="s">
        <v>264</v>
      </c>
      <c r="C88" s="6" t="s">
        <v>38</v>
      </c>
      <c r="D88" s="6">
        <v>1</v>
      </c>
      <c r="E88" s="6">
        <v>-1.1830882</v>
      </c>
      <c r="F88" s="6">
        <v>-0.11416004</v>
      </c>
      <c r="G88" s="6" t="s">
        <v>288</v>
      </c>
      <c r="H88" s="7">
        <v>1</v>
      </c>
      <c r="I88" s="2">
        <f>(10+20)/2</f>
        <v>15</v>
      </c>
      <c r="J88" s="6" t="s">
        <v>265</v>
      </c>
    </row>
    <row r="89" spans="1:10" s="6" customFormat="1">
      <c r="A89" s="6" t="s">
        <v>266</v>
      </c>
      <c r="B89" s="6" t="s">
        <v>267</v>
      </c>
      <c r="C89" s="6" t="s">
        <v>268</v>
      </c>
      <c r="D89" s="6">
        <v>3</v>
      </c>
      <c r="E89" s="6">
        <v>-0.14734427</v>
      </c>
      <c r="F89" s="6">
        <v>1.1797709599999999</v>
      </c>
      <c r="G89" s="6" t="s">
        <v>285</v>
      </c>
      <c r="H89" s="7">
        <v>1</v>
      </c>
      <c r="I89" s="2">
        <f>(8+14+5+9)/4*1000</f>
        <v>9000</v>
      </c>
      <c r="J89" s="6" t="s">
        <v>269</v>
      </c>
    </row>
    <row r="90" spans="1:10" s="6" customFormat="1">
      <c r="A90" s="6" t="s">
        <v>266</v>
      </c>
      <c r="B90" s="6" t="s">
        <v>270</v>
      </c>
      <c r="C90" s="6" t="s">
        <v>0</v>
      </c>
      <c r="D90" s="6">
        <v>1</v>
      </c>
      <c r="E90" s="6">
        <v>-1.2700502</v>
      </c>
      <c r="F90" s="6">
        <v>0.64914105</v>
      </c>
      <c r="G90" s="6" t="s">
        <v>285</v>
      </c>
      <c r="H90" s="7">
        <v>1</v>
      </c>
      <c r="I90" s="2">
        <f>(8+14+5+9)/4*1000</f>
        <v>9000</v>
      </c>
      <c r="J90" s="6" t="s">
        <v>271</v>
      </c>
    </row>
    <row r="91" spans="1:10" s="6" customFormat="1">
      <c r="A91" s="6" t="s">
        <v>39</v>
      </c>
      <c r="B91" s="6" t="s">
        <v>272</v>
      </c>
      <c r="C91" s="6" t="s">
        <v>273</v>
      </c>
      <c r="D91" s="6">
        <v>3</v>
      </c>
      <c r="E91" s="6">
        <v>3.1016501500000002</v>
      </c>
      <c r="F91" s="6">
        <v>1.1387373700000001</v>
      </c>
      <c r="G91" s="6" t="s">
        <v>285</v>
      </c>
      <c r="H91" s="7">
        <v>1</v>
      </c>
      <c r="I91" s="2">
        <f>(300+670+250+600)/4</f>
        <v>455</v>
      </c>
      <c r="J91" s="6" t="s">
        <v>274</v>
      </c>
    </row>
    <row r="92" spans="1:10" s="6" customFormat="1">
      <c r="A92" s="6" t="s">
        <v>40</v>
      </c>
      <c r="B92" s="6" t="s">
        <v>275</v>
      </c>
      <c r="C92" s="6" t="s">
        <v>25</v>
      </c>
      <c r="D92" s="6">
        <v>1</v>
      </c>
      <c r="E92" s="6">
        <v>1.2976830699999999</v>
      </c>
      <c r="F92" s="6">
        <v>0.23842886999999999</v>
      </c>
      <c r="G92" s="6" t="s">
        <v>285</v>
      </c>
      <c r="H92" s="7">
        <v>1</v>
      </c>
      <c r="I92" s="2">
        <f>(0.5+3.1)/2*1000</f>
        <v>1800</v>
      </c>
      <c r="J92" s="6" t="s">
        <v>276</v>
      </c>
    </row>
    <row r="93" spans="1:10" s="6" customFormat="1">
      <c r="A93" s="6" t="s">
        <v>41</v>
      </c>
      <c r="B93" s="6" t="s">
        <v>277</v>
      </c>
      <c r="C93" s="6" t="s">
        <v>42</v>
      </c>
      <c r="D93" s="6">
        <v>4</v>
      </c>
      <c r="E93" s="6">
        <v>0.35163356000000001</v>
      </c>
      <c r="F93" s="6">
        <v>0.32512282999999997</v>
      </c>
      <c r="G93" s="6" t="s">
        <v>285</v>
      </c>
      <c r="H93" s="7">
        <v>1</v>
      </c>
      <c r="I93" s="2">
        <f>(0.4+1.8)/2*1000</f>
        <v>1100</v>
      </c>
      <c r="J93" s="6" t="s">
        <v>278</v>
      </c>
    </row>
    <row r="94" spans="1:10" s="6" customFormat="1">
      <c r="A94" s="6" t="s">
        <v>43</v>
      </c>
      <c r="B94" s="6" t="s">
        <v>279</v>
      </c>
      <c r="C94" s="6" t="s">
        <v>38</v>
      </c>
      <c r="D94" s="6">
        <v>1</v>
      </c>
      <c r="E94" s="6">
        <v>-0.87283752999999997</v>
      </c>
      <c r="F94" s="6">
        <v>-0.84544227000000005</v>
      </c>
      <c r="G94" s="6" t="s">
        <v>285</v>
      </c>
      <c r="H94" s="7">
        <v>1</v>
      </c>
      <c r="I94" s="2">
        <f>(0.5+1.1+0.5+1.4)/4*1000</f>
        <v>875</v>
      </c>
      <c r="J94" s="6" t="s">
        <v>280</v>
      </c>
    </row>
    <row r="95" spans="1:10" s="6" customFormat="1">
      <c r="A95" s="6" t="s">
        <v>44</v>
      </c>
      <c r="B95" s="6" t="s">
        <v>281</v>
      </c>
      <c r="C95" s="6" t="s">
        <v>45</v>
      </c>
      <c r="D95" s="6">
        <v>4</v>
      </c>
      <c r="E95" s="6">
        <v>1.50342844</v>
      </c>
      <c r="F95" s="6">
        <v>-3.4320275100000002</v>
      </c>
      <c r="G95" s="6" t="s">
        <v>52</v>
      </c>
      <c r="H95" s="7">
        <v>1</v>
      </c>
      <c r="I95" s="2">
        <f>(1+2.5+0.8+1.2)/4*1000</f>
        <v>1375</v>
      </c>
      <c r="J95" s="6" t="s">
        <v>282</v>
      </c>
    </row>
  </sheetData>
  <autoFilter ref="G1:G95" xr:uid="{9147AD68-BF66-4B07-A703-D141CAABDE4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98CE-F3EC-48BD-BEC3-7739331CDC8F}">
  <dimension ref="A1:J37"/>
  <sheetViews>
    <sheetView tabSelected="1" topLeftCell="A8" zoomScale="83" workbookViewId="0">
      <selection activeCell="A27" sqref="A27"/>
    </sheetView>
  </sheetViews>
  <sheetFormatPr defaultRowHeight="14.4"/>
  <cols>
    <col min="1" max="1" width="25.5546875" customWidth="1"/>
  </cols>
  <sheetData>
    <row r="1" spans="1:9">
      <c r="A1" t="s">
        <v>309</v>
      </c>
    </row>
    <row r="2" spans="1:9" s="6" customFormat="1">
      <c r="A2" s="6" t="s">
        <v>3</v>
      </c>
      <c r="B2" s="6" t="s">
        <v>98</v>
      </c>
      <c r="C2" s="6" t="s">
        <v>99</v>
      </c>
      <c r="D2" s="6" t="s">
        <v>99</v>
      </c>
      <c r="E2" s="6">
        <v>1.2691637</v>
      </c>
      <c r="F2" s="6">
        <v>0.21131701999999999</v>
      </c>
      <c r="G2" s="6" t="s">
        <v>46</v>
      </c>
      <c r="H2" s="7">
        <v>1</v>
      </c>
      <c r="I2" s="6" t="s">
        <v>100</v>
      </c>
    </row>
    <row r="3" spans="1:9" s="6" customFormat="1">
      <c r="A3" s="6" t="s">
        <v>56</v>
      </c>
      <c r="B3" s="6" t="s">
        <v>101</v>
      </c>
      <c r="C3" s="6" t="s">
        <v>99</v>
      </c>
      <c r="D3" s="6" t="s">
        <v>99</v>
      </c>
      <c r="E3" s="6">
        <v>1.1554557999999999</v>
      </c>
      <c r="F3" s="6">
        <v>3.357458E-2</v>
      </c>
      <c r="G3" s="6" t="s">
        <v>46</v>
      </c>
      <c r="H3" s="7">
        <v>1</v>
      </c>
      <c r="I3" s="6" t="s">
        <v>100</v>
      </c>
    </row>
    <row r="4" spans="1:9" s="6" customFormat="1">
      <c r="A4" s="6" t="s">
        <v>56</v>
      </c>
      <c r="B4" s="6" t="s">
        <v>102</v>
      </c>
      <c r="C4" s="6" t="s">
        <v>99</v>
      </c>
      <c r="D4" s="6" t="s">
        <v>99</v>
      </c>
      <c r="E4" s="6">
        <v>1.1990555000000001</v>
      </c>
      <c r="F4" s="6">
        <v>0.14981823999999999</v>
      </c>
      <c r="G4" s="6" t="s">
        <v>46</v>
      </c>
      <c r="H4" s="7">
        <v>1</v>
      </c>
      <c r="I4" s="6" t="s">
        <v>292</v>
      </c>
    </row>
    <row r="5" spans="1:9" s="6" customFormat="1">
      <c r="A5" s="6" t="s">
        <v>56</v>
      </c>
      <c r="B5" s="6" t="s">
        <v>103</v>
      </c>
      <c r="C5" s="6" t="s">
        <v>99</v>
      </c>
      <c r="D5" s="6" t="s">
        <v>99</v>
      </c>
      <c r="E5" s="6">
        <v>1.1886391000000001</v>
      </c>
      <c r="F5" s="6">
        <v>0.30365478000000001</v>
      </c>
      <c r="G5" s="6" t="s">
        <v>46</v>
      </c>
      <c r="H5" s="7">
        <v>1</v>
      </c>
      <c r="I5" s="6" t="s">
        <v>100</v>
      </c>
    </row>
    <row r="6" spans="1:9" s="6" customFormat="1">
      <c r="A6" s="6" t="s">
        <v>56</v>
      </c>
      <c r="B6" s="6" t="s">
        <v>104</v>
      </c>
      <c r="C6" s="6" t="s">
        <v>99</v>
      </c>
      <c r="D6" s="6" t="s">
        <v>99</v>
      </c>
      <c r="E6" s="6">
        <v>1.3911990000000001</v>
      </c>
      <c r="F6" s="6">
        <v>1.3390315100000001</v>
      </c>
      <c r="G6" s="6" t="s">
        <v>49</v>
      </c>
      <c r="H6" s="7">
        <v>1</v>
      </c>
      <c r="I6" s="6" t="s">
        <v>100</v>
      </c>
    </row>
    <row r="7" spans="1:9" s="6" customFormat="1">
      <c r="A7" s="6" t="s">
        <v>56</v>
      </c>
      <c r="B7" s="6" t="s">
        <v>105</v>
      </c>
      <c r="C7" s="6" t="s">
        <v>99</v>
      </c>
      <c r="D7" s="6" t="s">
        <v>99</v>
      </c>
      <c r="E7" s="6">
        <v>1.3911990000000001</v>
      </c>
      <c r="F7" s="6">
        <v>1.3390315100000001</v>
      </c>
      <c r="G7" s="6" t="s">
        <v>46</v>
      </c>
      <c r="H7" s="7">
        <v>1</v>
      </c>
      <c r="I7" s="6" t="s">
        <v>100</v>
      </c>
    </row>
    <row r="8" spans="1:9" s="6" customFormat="1">
      <c r="A8" s="6" t="s">
        <v>56</v>
      </c>
      <c r="B8" s="6" t="s">
        <v>106</v>
      </c>
      <c r="C8" s="6" t="s">
        <v>99</v>
      </c>
      <c r="D8" s="6" t="s">
        <v>99</v>
      </c>
      <c r="E8" s="6">
        <v>1.3384966</v>
      </c>
      <c r="F8" s="6">
        <v>1.6071854299999999</v>
      </c>
      <c r="G8" s="6" t="s">
        <v>46</v>
      </c>
      <c r="H8" s="7">
        <v>1</v>
      </c>
      <c r="I8" s="6" t="s">
        <v>100</v>
      </c>
    </row>
    <row r="9" spans="1:9" s="6" customFormat="1">
      <c r="A9" s="6" t="s">
        <v>56</v>
      </c>
      <c r="B9" s="6" t="s">
        <v>107</v>
      </c>
      <c r="C9" s="6" t="s">
        <v>99</v>
      </c>
      <c r="D9" s="6" t="s">
        <v>99</v>
      </c>
      <c r="E9" s="6">
        <v>1.2198047000000001</v>
      </c>
      <c r="F9" s="6">
        <v>1.0657593299999999</v>
      </c>
      <c r="G9" s="6" t="s">
        <v>46</v>
      </c>
      <c r="H9" s="7">
        <v>1</v>
      </c>
      <c r="I9" s="6" t="s">
        <v>100</v>
      </c>
    </row>
    <row r="10" spans="1:9" s="6" customFormat="1">
      <c r="A10" s="6" t="s">
        <v>56</v>
      </c>
      <c r="B10" s="6" t="s">
        <v>108</v>
      </c>
      <c r="C10" s="6" t="s">
        <v>99</v>
      </c>
      <c r="D10" s="6" t="s">
        <v>99</v>
      </c>
      <c r="E10" s="6">
        <v>1.3857564</v>
      </c>
      <c r="F10" s="6">
        <v>1.3424682699999999</v>
      </c>
      <c r="G10" s="6" t="s">
        <v>48</v>
      </c>
      <c r="H10" s="7">
        <v>1</v>
      </c>
      <c r="I10" s="6" t="s">
        <v>100</v>
      </c>
    </row>
    <row r="11" spans="1:9" s="6" customFormat="1">
      <c r="A11" s="6" t="s">
        <v>56</v>
      </c>
      <c r="B11" s="6" t="s">
        <v>109</v>
      </c>
      <c r="C11" s="6" t="s">
        <v>99</v>
      </c>
      <c r="D11" s="6" t="s">
        <v>99</v>
      </c>
      <c r="E11" s="6">
        <v>1.3380103999999999</v>
      </c>
      <c r="F11" s="6">
        <v>1.60664549</v>
      </c>
      <c r="G11" s="6" t="s">
        <v>50</v>
      </c>
      <c r="H11" s="7">
        <v>1</v>
      </c>
      <c r="I11" s="6" t="s">
        <v>100</v>
      </c>
    </row>
    <row r="12" spans="1:9" s="6" customFormat="1">
      <c r="A12" s="6" t="s">
        <v>56</v>
      </c>
      <c r="B12" s="6" t="s">
        <v>110</v>
      </c>
      <c r="C12" s="6" t="s">
        <v>99</v>
      </c>
      <c r="D12" s="6" t="s">
        <v>99</v>
      </c>
      <c r="E12" s="6">
        <v>1.3167736000000001</v>
      </c>
      <c r="F12" s="6">
        <v>1.6198045299999999</v>
      </c>
      <c r="G12" s="6" t="s">
        <v>50</v>
      </c>
      <c r="H12" s="7">
        <v>1</v>
      </c>
      <c r="I12" s="6" t="s">
        <v>100</v>
      </c>
    </row>
    <row r="13" spans="1:9" s="6" customFormat="1">
      <c r="A13" s="6" t="s">
        <v>56</v>
      </c>
      <c r="B13" s="6" t="s">
        <v>111</v>
      </c>
      <c r="C13" s="6" t="s">
        <v>99</v>
      </c>
      <c r="D13" s="6" t="s">
        <v>99</v>
      </c>
      <c r="E13" s="6">
        <v>1.3599477</v>
      </c>
      <c r="F13" s="6">
        <v>1.5587742600000001</v>
      </c>
      <c r="G13" s="6" t="s">
        <v>50</v>
      </c>
      <c r="H13" s="7">
        <v>1</v>
      </c>
      <c r="I13" s="6" t="s">
        <v>100</v>
      </c>
    </row>
    <row r="14" spans="1:9" s="6" customFormat="1">
      <c r="A14" s="6" t="s">
        <v>56</v>
      </c>
      <c r="B14" s="6" t="s">
        <v>112</v>
      </c>
      <c r="C14" s="6" t="s">
        <v>99</v>
      </c>
      <c r="D14" s="6" t="s">
        <v>99</v>
      </c>
      <c r="E14" s="6">
        <v>-1.6497743</v>
      </c>
      <c r="F14" s="6">
        <v>-0.53745938999999998</v>
      </c>
      <c r="G14" s="6" t="s">
        <v>48</v>
      </c>
      <c r="H14" s="7">
        <v>1</v>
      </c>
      <c r="I14" s="6" t="s">
        <v>100</v>
      </c>
    </row>
    <row r="15" spans="1:9" s="6" customFormat="1">
      <c r="A15" s="6" t="s">
        <v>56</v>
      </c>
      <c r="B15" s="6" t="s">
        <v>113</v>
      </c>
      <c r="C15" s="6" t="s">
        <v>99</v>
      </c>
      <c r="D15" s="6" t="s">
        <v>99</v>
      </c>
      <c r="E15" s="6">
        <v>-1.7131160000000001</v>
      </c>
      <c r="F15" s="6">
        <v>-0.51935030000000004</v>
      </c>
      <c r="G15" s="6" t="s">
        <v>46</v>
      </c>
      <c r="H15" s="7">
        <v>1</v>
      </c>
      <c r="I15" s="6" t="s">
        <v>100</v>
      </c>
    </row>
    <row r="16" spans="1:9" s="6" customFormat="1">
      <c r="A16" s="6" t="s">
        <v>56</v>
      </c>
      <c r="B16" s="6" t="s">
        <v>114</v>
      </c>
      <c r="C16" s="6" t="s">
        <v>99</v>
      </c>
      <c r="D16" s="6" t="s">
        <v>99</v>
      </c>
      <c r="E16" s="6">
        <v>-3.0424959999999999</v>
      </c>
      <c r="F16" s="6">
        <v>-0.22675323</v>
      </c>
      <c r="G16" s="6" t="s">
        <v>48</v>
      </c>
      <c r="H16" s="7">
        <v>1</v>
      </c>
      <c r="I16" s="6" t="s">
        <v>100</v>
      </c>
    </row>
    <row r="17" spans="1:9" s="6" customFormat="1">
      <c r="A17" s="6" t="s">
        <v>56</v>
      </c>
      <c r="B17" s="6" t="s">
        <v>115</v>
      </c>
      <c r="C17" s="6" t="s">
        <v>99</v>
      </c>
      <c r="D17" s="6" t="s">
        <v>99</v>
      </c>
      <c r="E17" s="6">
        <v>-3.0284360000000001</v>
      </c>
      <c r="F17" s="6">
        <v>-0.11324815000000001</v>
      </c>
      <c r="G17" s="6" t="s">
        <v>46</v>
      </c>
      <c r="H17" s="7">
        <v>1</v>
      </c>
      <c r="I17" s="6" t="s">
        <v>100</v>
      </c>
    </row>
    <row r="18" spans="1:9" s="6" customFormat="1">
      <c r="A18" s="6" t="s">
        <v>56</v>
      </c>
      <c r="B18" s="6" t="s">
        <v>116</v>
      </c>
      <c r="C18" s="6" t="s">
        <v>99</v>
      </c>
      <c r="D18" s="6" t="s">
        <v>99</v>
      </c>
      <c r="E18" s="6">
        <v>-3.0424959999999999</v>
      </c>
      <c r="F18" s="6">
        <v>-0.22675323</v>
      </c>
      <c r="G18" s="6" t="s">
        <v>46</v>
      </c>
      <c r="H18" s="7">
        <v>1</v>
      </c>
      <c r="I18" s="6" t="s">
        <v>100</v>
      </c>
    </row>
    <row r="19" spans="1:9" s="6" customFormat="1">
      <c r="A19" s="6" t="s">
        <v>56</v>
      </c>
      <c r="B19" s="6" t="s">
        <v>117</v>
      </c>
      <c r="C19" s="6" t="s">
        <v>99</v>
      </c>
      <c r="D19" s="6" t="s">
        <v>99</v>
      </c>
      <c r="E19" s="6">
        <v>-3.0284360000000001</v>
      </c>
      <c r="F19" s="6">
        <v>-0.11324815000000001</v>
      </c>
      <c r="G19" s="6" t="s">
        <v>46</v>
      </c>
      <c r="H19" s="7">
        <v>1</v>
      </c>
      <c r="I19" s="6" t="s">
        <v>100</v>
      </c>
    </row>
    <row r="20" spans="1:9" s="6" customFormat="1">
      <c r="A20" s="6" t="s">
        <v>56</v>
      </c>
      <c r="B20" s="6" t="s">
        <v>118</v>
      </c>
      <c r="C20" s="6" t="s">
        <v>99</v>
      </c>
      <c r="D20" s="6" t="s">
        <v>99</v>
      </c>
      <c r="E20" s="6">
        <v>-1.9095394999999999</v>
      </c>
      <c r="F20" s="6">
        <v>-0.50434223</v>
      </c>
      <c r="G20" s="6" t="s">
        <v>46</v>
      </c>
      <c r="H20" s="7">
        <v>1</v>
      </c>
      <c r="I20" s="6" t="s">
        <v>100</v>
      </c>
    </row>
    <row r="21" spans="1:9" s="6" customFormat="1">
      <c r="A21" s="6" t="s">
        <v>56</v>
      </c>
      <c r="B21" s="6" t="s">
        <v>119</v>
      </c>
      <c r="C21" s="6" t="s">
        <v>99</v>
      </c>
      <c r="D21" s="6" t="s">
        <v>99</v>
      </c>
      <c r="E21" s="6">
        <v>-1.7974317</v>
      </c>
      <c r="F21" s="6">
        <v>-0.52902930999999997</v>
      </c>
      <c r="G21" s="6" t="s">
        <v>46</v>
      </c>
      <c r="H21" s="7">
        <v>1</v>
      </c>
      <c r="I21" s="6" t="s">
        <v>100</v>
      </c>
    </row>
    <row r="22" spans="1:9" s="6" customFormat="1">
      <c r="A22" s="6" t="s">
        <v>56</v>
      </c>
      <c r="B22" s="6" t="s">
        <v>120</v>
      </c>
      <c r="C22" s="6" t="s">
        <v>99</v>
      </c>
      <c r="D22" s="6" t="s">
        <v>99</v>
      </c>
      <c r="E22" s="6">
        <v>-2.3377590000000001</v>
      </c>
      <c r="F22" s="6">
        <v>-0.25140319999999999</v>
      </c>
      <c r="G22" s="6" t="s">
        <v>48</v>
      </c>
      <c r="H22" s="7">
        <v>1</v>
      </c>
      <c r="I22" s="6" t="s">
        <v>100</v>
      </c>
    </row>
    <row r="23" spans="1:9" s="6" customFormat="1">
      <c r="A23" s="6" t="s">
        <v>56</v>
      </c>
      <c r="B23" s="6" t="s">
        <v>121</v>
      </c>
      <c r="C23" s="6" t="s">
        <v>99</v>
      </c>
      <c r="D23" s="6" t="s">
        <v>99</v>
      </c>
      <c r="E23" s="6">
        <v>-1.8251326000000001</v>
      </c>
      <c r="F23" s="6">
        <v>-0.55510294000000004</v>
      </c>
      <c r="G23" s="6" t="s">
        <v>48</v>
      </c>
      <c r="H23" s="7">
        <v>1</v>
      </c>
      <c r="I23" s="6" t="s">
        <v>100</v>
      </c>
    </row>
    <row r="24" spans="1:9" s="6" customFormat="1">
      <c r="A24" s="6" t="s">
        <v>56</v>
      </c>
      <c r="B24" s="6" t="s">
        <v>122</v>
      </c>
      <c r="C24" s="6" t="s">
        <v>99</v>
      </c>
      <c r="D24" s="6" t="s">
        <v>99</v>
      </c>
      <c r="E24" s="6">
        <v>-1.7741045</v>
      </c>
      <c r="F24" s="6">
        <v>-0.50686034999999996</v>
      </c>
      <c r="G24" s="6" t="s">
        <v>48</v>
      </c>
      <c r="H24" s="7">
        <v>1</v>
      </c>
      <c r="I24" s="6" t="s">
        <v>100</v>
      </c>
    </row>
    <row r="25" spans="1:9" s="6" customFormat="1">
      <c r="A25" s="6" t="s">
        <v>56</v>
      </c>
      <c r="B25" s="6" t="s">
        <v>123</v>
      </c>
      <c r="C25" s="6" t="s">
        <v>99</v>
      </c>
      <c r="D25" s="6" t="s">
        <v>99</v>
      </c>
      <c r="E25" s="6">
        <v>-1.7741045</v>
      </c>
      <c r="F25" s="6">
        <v>-0.50686034999999996</v>
      </c>
      <c r="G25" s="6" t="s">
        <v>46</v>
      </c>
      <c r="H25" s="7">
        <v>1</v>
      </c>
      <c r="I25" s="6" t="s">
        <v>100</v>
      </c>
    </row>
    <row r="26" spans="1:9" s="6" customFormat="1">
      <c r="A26" s="6" t="s">
        <v>7</v>
      </c>
      <c r="B26" s="6" t="s">
        <v>138</v>
      </c>
      <c r="C26" s="6" t="s">
        <v>99</v>
      </c>
      <c r="D26" s="6" t="s">
        <v>99</v>
      </c>
      <c r="E26" s="6">
        <v>3.0344630000000001</v>
      </c>
      <c r="F26" s="6">
        <v>-1.46466608</v>
      </c>
      <c r="G26" s="6" t="s">
        <v>51</v>
      </c>
      <c r="H26" s="7">
        <v>1</v>
      </c>
      <c r="I26" s="6" t="s">
        <v>139</v>
      </c>
    </row>
    <row r="27" spans="1:9" s="6" customFormat="1">
      <c r="A27" s="6" t="s">
        <v>21</v>
      </c>
      <c r="B27" s="6" t="s">
        <v>224</v>
      </c>
      <c r="C27" s="6" t="s">
        <v>99</v>
      </c>
      <c r="D27" s="6" t="s">
        <v>99</v>
      </c>
      <c r="E27" s="6">
        <v>0.39893980000000001</v>
      </c>
      <c r="F27" s="6">
        <v>0.44177675</v>
      </c>
      <c r="G27" s="6" t="s">
        <v>47</v>
      </c>
      <c r="H27" s="7">
        <v>1</v>
      </c>
      <c r="I27" s="6" t="s">
        <v>225</v>
      </c>
    </row>
    <row r="28" spans="1:9">
      <c r="A28" s="6" t="s">
        <v>313</v>
      </c>
      <c r="I28" s="6" t="s">
        <v>314</v>
      </c>
    </row>
    <row r="29" spans="1:9">
      <c r="A29" s="6" t="s">
        <v>313</v>
      </c>
      <c r="I29" s="6" t="s">
        <v>315</v>
      </c>
    </row>
    <row r="32" spans="1:9">
      <c r="A32" t="s">
        <v>310</v>
      </c>
    </row>
    <row r="33" spans="1:10">
      <c r="A33" s="6" t="s">
        <v>311</v>
      </c>
      <c r="B33" s="6" t="s">
        <v>312</v>
      </c>
    </row>
    <row r="34" spans="1:10">
      <c r="A34" s="6"/>
      <c r="B34" s="6"/>
    </row>
    <row r="35" spans="1:10">
      <c r="A35" s="6" t="s">
        <v>321</v>
      </c>
      <c r="B35" s="6"/>
    </row>
    <row r="36" spans="1:10" s="6" customFormat="1">
      <c r="A36" s="13" t="s">
        <v>293</v>
      </c>
      <c r="B36" s="6" t="s">
        <v>299</v>
      </c>
      <c r="C36" s="6" t="s">
        <v>65</v>
      </c>
      <c r="D36" s="6">
        <v>1</v>
      </c>
      <c r="G36" s="6" t="s">
        <v>296</v>
      </c>
      <c r="H36" s="7">
        <v>1</v>
      </c>
      <c r="I36" s="2">
        <f>(15+43)/2</f>
        <v>29</v>
      </c>
      <c r="J36" s="13" t="s">
        <v>295</v>
      </c>
    </row>
    <row r="37" spans="1:10" s="6" customFormat="1">
      <c r="A37" s="6" t="s">
        <v>297</v>
      </c>
      <c r="B37" s="1" t="s">
        <v>300</v>
      </c>
      <c r="C37" s="6" t="s">
        <v>65</v>
      </c>
      <c r="D37" s="6">
        <v>1</v>
      </c>
      <c r="G37" s="6" t="s">
        <v>298</v>
      </c>
      <c r="H37" s="7">
        <v>1</v>
      </c>
      <c r="I37" s="2">
        <f>(7+10+8.4+10.5)/4*1000</f>
        <v>8975</v>
      </c>
      <c r="J37" s="1" t="s">
        <v>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species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qiushicai</dc:creator>
  <cp:lastModifiedBy>jingyu qiu</cp:lastModifiedBy>
  <dcterms:created xsi:type="dcterms:W3CDTF">2015-06-05T18:19:34Z</dcterms:created>
  <dcterms:modified xsi:type="dcterms:W3CDTF">2022-07-30T01:11:55Z</dcterms:modified>
</cp:coreProperties>
</file>