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mc:AlternateContent xmlns:mc="http://schemas.openxmlformats.org/markup-compatibility/2006">
    <mc:Choice Requires="x15">
      <x15ac:absPath xmlns:x15ac="http://schemas.microsoft.com/office/spreadsheetml/2010/11/ac" url="C:\Users\jqiu\Desktop\marsupials\M2.2-all marsupial, Main so (with habitat, updated pop list)\"/>
    </mc:Choice>
  </mc:AlternateContent>
  <xr:revisionPtr revIDLastSave="0" documentId="13_ncr:1_{2ABD4843-F293-4711-A722-2A148CBB40D6}" xr6:coauthVersionLast="36" xr6:coauthVersionMax="36" xr10:uidLastSave="{00000000-0000-0000-0000-000000000000}"/>
  <bookViews>
    <workbookView xWindow="-108" yWindow="-108" windowWidth="19416" windowHeight="10416" xr2:uid="{00000000-000D-0000-FFFF-FFFF00000000}"/>
  </bookViews>
  <sheets>
    <sheet name="SO Data_,main SO" sheetId="4" r:id="rId1"/>
    <sheet name="species excluded" sheetId="7" r:id="rId2"/>
    <sheet name="References" sheetId="2" r:id="rId3"/>
  </sheets>
  <definedNames>
    <definedName name="OLE_LINK1" localSheetId="2">References!$A$22</definedName>
    <definedName name="OLE_LINK2" localSheetId="2">References!$A$61</definedName>
    <definedName name="OLE_LINK3" localSheetId="2">References!$A$104</definedName>
    <definedName name="OLE_LINK4" localSheetId="2">References!$A$103</definedName>
  </definedNames>
  <calcPr calcId="191029"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5" i="7" l="1"/>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15" i="4"/>
  <c r="G183" i="4"/>
  <c r="G185" i="4"/>
  <c r="G175" i="4"/>
  <c r="G153" i="4"/>
  <c r="G152" i="4"/>
  <c r="G127" i="4"/>
  <c r="G126" i="4"/>
  <c r="G124" i="4"/>
  <c r="G122" i="4"/>
  <c r="G121" i="4"/>
  <c r="G123" i="4"/>
  <c r="G104" i="4"/>
  <c r="G103" i="4"/>
  <c r="G102" i="4"/>
  <c r="G94" i="4"/>
  <c r="G93" i="4"/>
  <c r="G90" i="4"/>
  <c r="G88" i="4"/>
  <c r="G89" i="4"/>
  <c r="G87" i="4"/>
  <c r="G68" i="4"/>
  <c r="G64" i="4"/>
  <c r="G63" i="4"/>
  <c r="G53" i="4"/>
  <c r="G16" i="4"/>
  <c r="G12" i="4"/>
  <c r="G11" i="4"/>
  <c r="G5" i="4"/>
  <c r="G181" i="4"/>
  <c r="G174" i="4"/>
  <c r="G169" i="4"/>
  <c r="G163" i="4"/>
  <c r="G156" i="4"/>
  <c r="G157" i="4"/>
  <c r="G158" i="4"/>
  <c r="G119" i="4"/>
  <c r="G118" i="4"/>
  <c r="G112" i="4"/>
  <c r="G108" i="4"/>
  <c r="G100" i="4"/>
  <c r="G92" i="4"/>
  <c r="G86" i="4"/>
  <c r="G71" i="4"/>
  <c r="G51" i="4"/>
  <c r="G41" i="4"/>
  <c r="G42" i="4"/>
  <c r="G43" i="4"/>
  <c r="G44" i="4"/>
  <c r="G25" i="4"/>
  <c r="G26" i="4"/>
  <c r="G27" i="4"/>
  <c r="G28" i="4"/>
  <c r="G29" i="4"/>
  <c r="G30" i="4"/>
  <c r="G31" i="4"/>
  <c r="G32" i="4"/>
  <c r="G33" i="4"/>
  <c r="G34" i="4"/>
  <c r="G35" i="4"/>
  <c r="G36" i="4"/>
  <c r="G37" i="4"/>
  <c r="G38" i="4"/>
  <c r="G39" i="4"/>
  <c r="G40" i="4"/>
  <c r="G18" i="4"/>
  <c r="G19" i="4"/>
  <c r="G20" i="4"/>
  <c r="G21" i="4"/>
  <c r="G22" i="4"/>
  <c r="G23" i="4"/>
  <c r="G7" i="4"/>
  <c r="G8" i="4"/>
  <c r="G3" i="4"/>
  <c r="G4" i="4"/>
  <c r="G187" i="4"/>
  <c r="G186" i="4"/>
  <c r="G184" i="4"/>
  <c r="G182" i="4"/>
  <c r="G180" i="4"/>
  <c r="G179" i="4"/>
  <c r="G178" i="4"/>
  <c r="G177" i="4"/>
  <c r="G176" i="4"/>
  <c r="G173" i="4"/>
  <c r="G172" i="4"/>
  <c r="G171" i="4"/>
  <c r="G170" i="4"/>
  <c r="G168" i="4"/>
  <c r="G167" i="4"/>
  <c r="G166" i="4"/>
  <c r="G165" i="4"/>
  <c r="G164" i="4"/>
  <c r="G162" i="4"/>
  <c r="G161" i="4"/>
  <c r="G160" i="4"/>
  <c r="G159" i="4"/>
  <c r="G155" i="4"/>
  <c r="G154" i="4"/>
  <c r="G151" i="4"/>
  <c r="G150" i="4"/>
  <c r="G149" i="4"/>
  <c r="G148" i="4"/>
  <c r="G147" i="4"/>
  <c r="G146" i="4"/>
  <c r="G145" i="4"/>
  <c r="G144" i="4"/>
  <c r="G143" i="4"/>
  <c r="G142" i="4"/>
  <c r="G131" i="4"/>
  <c r="G132" i="4"/>
  <c r="G133" i="4"/>
  <c r="G134" i="4"/>
  <c r="G135" i="4"/>
  <c r="G136" i="4"/>
  <c r="G139" i="4"/>
  <c r="G141" i="4"/>
  <c r="G140" i="4"/>
  <c r="G138" i="4"/>
  <c r="G137" i="4"/>
  <c r="G130" i="4"/>
  <c r="G129" i="4"/>
  <c r="G128" i="4"/>
  <c r="G125" i="4"/>
  <c r="G120" i="4"/>
  <c r="G117" i="4"/>
  <c r="G116" i="4"/>
  <c r="G115" i="4"/>
  <c r="G114" i="4"/>
  <c r="G113" i="4"/>
  <c r="G111" i="4"/>
  <c r="G110" i="4"/>
  <c r="G109" i="4"/>
  <c r="G107" i="4"/>
  <c r="G106" i="4"/>
  <c r="G105" i="4"/>
  <c r="G101" i="4"/>
  <c r="G99" i="4"/>
  <c r="G98" i="4"/>
  <c r="G97" i="4"/>
  <c r="G96" i="4"/>
  <c r="G95" i="4"/>
  <c r="G91" i="4"/>
  <c r="G85" i="4"/>
  <c r="G84" i="4"/>
  <c r="G83" i="4"/>
  <c r="G82" i="4"/>
  <c r="G81" i="4"/>
  <c r="G80" i="4"/>
  <c r="G79" i="4"/>
  <c r="G78" i="4"/>
  <c r="G77" i="4"/>
  <c r="G76" i="4"/>
  <c r="G75" i="4"/>
  <c r="G74" i="4"/>
  <c r="G73" i="4"/>
  <c r="G72" i="4"/>
  <c r="G70" i="4"/>
  <c r="G69" i="4"/>
  <c r="G67" i="4"/>
  <c r="G66" i="4"/>
  <c r="G65" i="4"/>
  <c r="G62" i="4"/>
  <c r="G59" i="4"/>
  <c r="G60" i="4"/>
  <c r="G61" i="4"/>
  <c r="G45" i="4"/>
  <c r="G47" i="4"/>
  <c r="G49" i="4"/>
  <c r="G50" i="4"/>
  <c r="G56" i="4"/>
  <c r="G57" i="4"/>
  <c r="G58" i="4"/>
  <c r="G48" i="4"/>
  <c r="G46" i="4"/>
  <c r="G24" i="4"/>
  <c r="G17" i="4"/>
  <c r="G10" i="4"/>
  <c r="G9" i="4"/>
  <c r="G6" i="4"/>
  <c r="G2" i="4"/>
</calcChain>
</file>

<file path=xl/sharedStrings.xml><?xml version="1.0" encoding="utf-8"?>
<sst xmlns="http://schemas.openxmlformats.org/spreadsheetml/2006/main" count="1289" uniqueCount="478">
  <si>
    <t>Genus_species</t>
    <phoneticPr fontId="0" type="noConversion"/>
  </si>
  <si>
    <t>Pop</t>
  </si>
  <si>
    <t>solitary</t>
    <phoneticPr fontId="2" type="noConversion"/>
  </si>
  <si>
    <t>MF</t>
  </si>
  <si>
    <t>MFF</t>
  </si>
  <si>
    <t>Nbr_studies</t>
  </si>
  <si>
    <t>Acrobates_pygmaeus</t>
    <phoneticPr fontId="2" type="noConversion"/>
  </si>
  <si>
    <t>MMFF</t>
    <phoneticPr fontId="2" type="noConversion"/>
  </si>
  <si>
    <t>Ward, 1990</t>
    <phoneticPr fontId="2" type="noConversion"/>
  </si>
  <si>
    <t>solitary</t>
  </si>
  <si>
    <t>Dendrolagus_lumholtzi</t>
  </si>
  <si>
    <t>Dendrolagus_matschiei</t>
  </si>
  <si>
    <t>Kaufmann, 1974</t>
    <phoneticPr fontId="2" type="noConversion"/>
  </si>
  <si>
    <t>sex-specific_MMFF</t>
    <phoneticPr fontId="2" type="noConversion"/>
  </si>
  <si>
    <t>Macropus_fuliginosus</t>
  </si>
  <si>
    <t>Coulson, 1999</t>
    <phoneticPr fontId="2" type="noConversion"/>
  </si>
  <si>
    <t>sex-specific</t>
    <phoneticPr fontId="2" type="noConversion"/>
  </si>
  <si>
    <t>Macropus_giganteus</t>
    <phoneticPr fontId="2" type="noConversion"/>
  </si>
  <si>
    <t>solitary_sex-specific_MF_MFF_MMF_MMFF</t>
    <phoneticPr fontId="2" type="noConversion"/>
  </si>
  <si>
    <t>Jarman, 1987</t>
    <phoneticPr fontId="2" type="noConversion"/>
  </si>
  <si>
    <t>Kaufmann, 1975</t>
    <phoneticPr fontId="2" type="noConversion"/>
  </si>
  <si>
    <t>sex-specific</t>
  </si>
  <si>
    <t xml:space="preserve">very detailed recording(Supplementary materials), high group component variation(f-f) </t>
    <phoneticPr fontId="2" type="noConversion"/>
  </si>
  <si>
    <t>solitary_MMFF</t>
    <phoneticPr fontId="2" type="noConversion"/>
  </si>
  <si>
    <t>sex-specific_MFF_MMFF</t>
    <phoneticPr fontId="2" type="noConversion"/>
  </si>
  <si>
    <t>MF_MMF_MMFF</t>
    <phoneticPr fontId="2" type="noConversion"/>
  </si>
  <si>
    <t>MF_MFF_MMFF</t>
    <phoneticPr fontId="2" type="noConversion"/>
  </si>
  <si>
    <t>MFF</t>
    <phoneticPr fontId="2" type="noConversion"/>
  </si>
  <si>
    <t>MF_MMFF</t>
    <phoneticPr fontId="2" type="noConversion"/>
  </si>
  <si>
    <t>MFF_MMFF</t>
    <phoneticPr fontId="2" type="noConversion"/>
  </si>
  <si>
    <t>MFF_MMF_MMFF</t>
    <phoneticPr fontId="2" type="noConversion"/>
  </si>
  <si>
    <t>Taylor, 1982</t>
    <phoneticPr fontId="2" type="noConversion"/>
  </si>
  <si>
    <t>solitary_sex-specific_MF_MMFF</t>
    <phoneticPr fontId="2" type="noConversion"/>
  </si>
  <si>
    <t>Johnson, 1983</t>
    <phoneticPr fontId="2" type="noConversion"/>
  </si>
  <si>
    <t>Macropus_parma</t>
    <phoneticPr fontId="2" type="noConversion"/>
  </si>
  <si>
    <t>MF</t>
    <phoneticPr fontId="2" type="noConversion"/>
  </si>
  <si>
    <t>Maynes, 1977</t>
    <phoneticPr fontId="2" type="noConversion"/>
  </si>
  <si>
    <t>Macropus_parryi</t>
  </si>
  <si>
    <t>Macropus_robustus</t>
  </si>
  <si>
    <t>Croft, 1981</t>
    <phoneticPr fontId="2" type="noConversion"/>
  </si>
  <si>
    <t>Macropus_rufus</t>
    <phoneticPr fontId="2" type="noConversion"/>
  </si>
  <si>
    <t>solitary_sex-specific_MF_MFF_MMFF</t>
    <phoneticPr fontId="2" type="noConversion"/>
  </si>
  <si>
    <t>Russel, 1979</t>
    <phoneticPr fontId="2" type="noConversion"/>
  </si>
  <si>
    <t>Onychogalea_fraenata</t>
  </si>
  <si>
    <t>solitary_MF_MFF</t>
    <phoneticPr fontId="2" type="noConversion"/>
  </si>
  <si>
    <t>Petrogale_assimilis</t>
  </si>
  <si>
    <t>Davies, 2013</t>
    <phoneticPr fontId="2" type="noConversion"/>
  </si>
  <si>
    <t>Horsup, 1994</t>
    <phoneticPr fontId="2" type="noConversion"/>
  </si>
  <si>
    <t>Petrogale_brachyotis</t>
    <phoneticPr fontId="2" type="noConversion"/>
  </si>
  <si>
    <t>Petrogale_penicillata</t>
  </si>
  <si>
    <t>Petrogale_xanthopus</t>
  </si>
  <si>
    <t>Setonix_brachyurus</t>
  </si>
  <si>
    <t>Holsworth, 1967</t>
    <phoneticPr fontId="2" type="noConversion"/>
  </si>
  <si>
    <t>Thylogale_stigmatica</t>
    <phoneticPr fontId="2" type="noConversion"/>
  </si>
  <si>
    <t>Gymnobelideus_leadbeateri</t>
  </si>
  <si>
    <t>MF_MFF</t>
    <phoneticPr fontId="2" type="noConversion"/>
  </si>
  <si>
    <t>Petaurus_australis</t>
  </si>
  <si>
    <t>Craig, 1985</t>
    <phoneticPr fontId="2" type="noConversion"/>
  </si>
  <si>
    <t>Petaurus_breviceps</t>
    <phoneticPr fontId="2" type="noConversion"/>
  </si>
  <si>
    <t>Quin, 1995</t>
    <phoneticPr fontId="2" type="noConversion"/>
  </si>
  <si>
    <t>Goldingay, 2010</t>
    <phoneticPr fontId="2" type="noConversion"/>
  </si>
  <si>
    <t>Petaurus_gracilis</t>
    <phoneticPr fontId="2" type="noConversion"/>
  </si>
  <si>
    <t>Jackson, 2000</t>
    <phoneticPr fontId="2" type="noConversion"/>
  </si>
  <si>
    <t>Petaurus_norfolcensis</t>
    <phoneticPr fontId="2" type="noConversion"/>
  </si>
  <si>
    <t xml:space="preserve">MF </t>
    <phoneticPr fontId="2" type="noConversion"/>
  </si>
  <si>
    <t>Ree, 2002</t>
    <phoneticPr fontId="2" type="noConversion"/>
  </si>
  <si>
    <t>Ailurops_melanotis</t>
  </si>
  <si>
    <t>Ailurops_ursinus</t>
  </si>
  <si>
    <t>Trichosurus_caninus</t>
  </si>
  <si>
    <t>How, 1981</t>
    <phoneticPr fontId="2" type="noConversion"/>
  </si>
  <si>
    <t>Trichosurus_cunninghami</t>
  </si>
  <si>
    <t>solitary_MF</t>
    <phoneticPr fontId="2" type="noConversion"/>
  </si>
  <si>
    <t>Trichosurus_vulpecula</t>
  </si>
  <si>
    <t>Dunnet, 2009</t>
    <phoneticPr fontId="2" type="noConversion"/>
  </si>
  <si>
    <t>Wyulda_squamicaudata</t>
    <phoneticPr fontId="2" type="noConversion"/>
  </si>
  <si>
    <t>Runcie, 1999</t>
    <phoneticPr fontId="2" type="noConversion"/>
  </si>
  <si>
    <t>Potorous_longipes</t>
  </si>
  <si>
    <t>Potorous_tridactylus</t>
    <phoneticPr fontId="2" type="noConversion"/>
  </si>
  <si>
    <t>Long, 2001</t>
    <phoneticPr fontId="2" type="noConversion"/>
  </si>
  <si>
    <t>Bettongia_lesueur</t>
  </si>
  <si>
    <t>Bettongia_tropica</t>
    <phoneticPr fontId="2" type="noConversion"/>
  </si>
  <si>
    <t>Petauroides_volans</t>
  </si>
  <si>
    <t>Petropseudes_dahli</t>
  </si>
  <si>
    <t>Pseudocheirus_occidentalis</t>
  </si>
  <si>
    <t>Pseudocheirus_peregrinus</t>
    <phoneticPr fontId="2" type="noConversion"/>
  </si>
  <si>
    <t>solitary_sex-specific_MF_MFF_MMF</t>
    <phoneticPr fontId="2" type="noConversion"/>
  </si>
  <si>
    <t>Lasiorhinus_krefftii</t>
  </si>
  <si>
    <t>Lasiorhinus_latifrons</t>
  </si>
  <si>
    <t>sex-specific_MFF_MMF_MMFF</t>
    <phoneticPr fontId="2" type="noConversion"/>
  </si>
  <si>
    <t>Order</t>
    <phoneticPr fontId="2" type="noConversion"/>
  </si>
  <si>
    <t>Antechinomys_laniger</t>
  </si>
  <si>
    <t>Antechinus_stuartii</t>
  </si>
  <si>
    <t>Antechinus_subtropicus</t>
  </si>
  <si>
    <t>Dasycercus_blythi</t>
  </si>
  <si>
    <t>Dasycercus_cristicauda</t>
  </si>
  <si>
    <t>Dasyurus_geoffroii</t>
  </si>
  <si>
    <t>Dasyurus_maculatus</t>
  </si>
  <si>
    <t>Phascogale_tapoatafa</t>
  </si>
  <si>
    <t>Sminthopsis_crassicaudata</t>
  </si>
  <si>
    <t>MMF</t>
  </si>
  <si>
    <t>MMF_MMFF</t>
  </si>
  <si>
    <t>sex-specific_MMFF</t>
  </si>
  <si>
    <t>MF_MFF_sex-specific</t>
  </si>
  <si>
    <t>sex-specific_MF</t>
  </si>
  <si>
    <t>Solitary_MF_MFF</t>
  </si>
  <si>
    <t>Solitary_MF</t>
  </si>
  <si>
    <t>Solitary</t>
  </si>
  <si>
    <t>MF_MFF_MMF_sex-specific</t>
  </si>
  <si>
    <t>Solitary_sex-specific_MF_MFF_MMF</t>
  </si>
  <si>
    <t>sex-specific_MF_MMF</t>
  </si>
  <si>
    <t>Caluromys_philander</t>
  </si>
  <si>
    <t>Didelphis_aurita</t>
  </si>
  <si>
    <t>Didelphis_marsupialis</t>
  </si>
  <si>
    <t>Didelphis_virginiana</t>
  </si>
  <si>
    <t>Hyladelphys_kalinowskii</t>
  </si>
  <si>
    <t>Marmosops_paulensis</t>
  </si>
  <si>
    <t>Marmosops_paulensis</t>
    <phoneticPr fontId="2" type="noConversion"/>
  </si>
  <si>
    <t>Philander_frenatus</t>
  </si>
  <si>
    <t>Isoodon_auratus</t>
  </si>
  <si>
    <t>Isoodon_macrourus</t>
  </si>
  <si>
    <t>Isoodon_obesulus</t>
  </si>
  <si>
    <t>Perameles_gunnii</t>
  </si>
  <si>
    <t>Macrotis_lagotis</t>
  </si>
  <si>
    <t>Solitary_MF_sex-specific</t>
    <phoneticPr fontId="2" type="noConversion"/>
  </si>
  <si>
    <t>Marmosops_incanus</t>
    <phoneticPr fontId="2" type="noConversion"/>
  </si>
  <si>
    <t>Newell, 1999</t>
    <phoneticPr fontId="2" type="noConversion"/>
  </si>
  <si>
    <t>Goldingay, 1992</t>
    <phoneticPr fontId="2" type="noConversion"/>
  </si>
  <si>
    <t>Woolley, P. A., 1984</t>
    <phoneticPr fontId="2" type="noConversion"/>
  </si>
  <si>
    <t>Masters, 2003</t>
    <phoneticPr fontId="2" type="noConversion"/>
  </si>
  <si>
    <t>Astúa et al. 2015</t>
    <phoneticPr fontId="2" type="noConversion"/>
  </si>
  <si>
    <t>Oliveira et al, 2015</t>
    <phoneticPr fontId="2" type="noConversion"/>
  </si>
  <si>
    <t>Ryser, 1992</t>
    <phoneticPr fontId="2" type="noConversion"/>
  </si>
  <si>
    <t>Reynolds, 1945</t>
    <phoneticPr fontId="2" type="noConversion"/>
  </si>
  <si>
    <t>Gordon, 1974</t>
    <phoneticPr fontId="2" type="noConversion"/>
  </si>
  <si>
    <t>Robinson, et al. 2018</t>
    <phoneticPr fontId="2" type="noConversion"/>
  </si>
  <si>
    <t>Dufty, 1991</t>
    <phoneticPr fontId="2" type="noConversion"/>
  </si>
  <si>
    <r>
      <t>1.</t>
    </r>
    <r>
      <rPr>
        <sz val="7"/>
        <color theme="1"/>
        <rFont val="Times New Roman"/>
        <family val="1"/>
      </rPr>
      <t xml:space="preserve">        </t>
    </r>
    <r>
      <rPr>
        <sz val="12"/>
        <color theme="1"/>
        <rFont val="Times New Roman"/>
        <family val="1"/>
      </rPr>
      <t>Colagross AML, Cockburn A. 1993 Vigilance and Grouping in the Eastern Gray Kangaroo, Macropus giganteus. Aust. J. Zool. 41, 325–334. (doi:10.1071/zo9930325)</t>
    </r>
  </si>
  <si>
    <t>2.        Johnson CN. 1983 Variations in Group Size and Composition in Red and Western Grey Kangaroos, Macropus rufus (Desmarest ) and M. fulignosus (Desmarest). Wildl. Res. 10, 25–31. (doi:10.1071/wr9830025)</t>
  </si>
  <si>
    <t>3.        Southwell C. 1984 Variability in Grouping in the Eastern Grey Kangaroo, Macropus giganteus I. Group Density and Group Size. Wildl. Res. 11, 423. (doi:10.1071/WR9840423)</t>
  </si>
  <si>
    <t>4.        Lindenmayer DB, Welsh A, Donnelly CF. 1997 Use of Nest Trees by the Mountain Brushtail Possum (Trichosurus caninus) (Phalangeridae : Marsupialia). III. Spatial Configuration and Co-occupancy of Nest Trees. Wildl. Res. 24, 661. (doi:10.1071/WR96112)</t>
  </si>
  <si>
    <t>5.        Menz CS, Goldizen AW, Blomberg SP, Freeman NJ, Best EC. 2017 Understanding repeatability and plasticity in multiple dimensions of the sociability of wild female kangaroos. Animal Behaviour 126, 3–16. (doi:10.1016/j.anbehav.2017.01.012)</t>
  </si>
  <si>
    <t>6.        Talumepa PAA, Wungow RSH, Poli Z, Rimbing SC. 2015 Tingkah laku harian kuskus beruang (ailurops ursinus) di cagar alam tangkoko batu angus. ZOT 35, 174. (doi:10.35792/zot.36.1.2016.10467)</t>
  </si>
  <si>
    <t>7.        Crane MJ, Lindenmayer DB, Cunningham RB. 2010 The use of den trees by the squirrel glider (Petaurus norfolcensis) in temperate Australian woodlands. Aust. J. Zool. 58, 39. (doi:10.1071/ZO09070)</t>
  </si>
  <si>
    <t>8.        Russell EM. 1979 The Size and Composition of Groups in the Red Kangaroo, Macropus rufus. Wildl. Res. 6, 237–244. (doi:10.1071/wr9790237)</t>
  </si>
  <si>
    <t>9.        Ree R van der. 2002 The population ecology of the squirrel glider (Petaurus norfolcensis) within a network of remnant linear habitats. Wildl. Res. 29, 329. (doi:10.1071/WR01095)</t>
  </si>
  <si>
    <t>10.    Pays O, Goulard M, Blomberg SP, Goldizen AW, Sirot E, Jarman PJ. 2009 The effect of social facilitation on vigilance in the eastern gray kangaroo, Macropus giganteus. Behavioral Ecology 20, 469–477. (doi:10.1093/beheco/arp019)</t>
  </si>
  <si>
    <t>11.    Harley D, Worley M, Harley T. 2005 The distribution and abundance of Leadbeater's possum Gymnobelideus leadbeateri in lowland swamp forest at Yellingbo Nature Conservation Reserve. Aust. Mammalogy 27, 7. (doi:10.1071/Am05007)</t>
  </si>
  <si>
    <t>12.    Sharp A, McCallum H. 2010 The decline of a large yellow-footed rock-wallaby (Petrogale xanthopus) colony following a pulse of resource abundance. Aust. Mammalogy 32, 99. (doi:10.1071/AM08113)</t>
  </si>
  <si>
    <t>13.    MacFarlane AM, Coulson G. 2005 Synchrony and timing of breeding influences sexual segregation in western grey and red kangaroos ( Macropus fuliginosus and M. rufus ). J. Zoology 267, 419. (doi:10.1017/S0952836905007636)</t>
  </si>
  <si>
    <t>14.    Long KI. 2001 Spatio-temporal interactions among male and female long-nosed potoroos, Potorous tridactylus (Marsupialia : Macropodoidea): mating system implications. Aust. J. Zool. 49, 17. (doi:10.1071/ZO00077)</t>
  </si>
  <si>
    <t>15.    Goldingay RL, Quin DG, Churchill S. 2001 Spatial variability in the social organisation of the yellow-bellied glider (Petaurus australis) near Ravenshoe, north Queensland. Aust. J. Zool. 49, 397. (doi:10.1071/ZO00084)</t>
  </si>
  <si>
    <t>16.    Porolak G, Dabek L, Krockenberger AK. 2014 Spatial Requirements of Free-Ranging Huon Tree Kangaroos, Dendrolagus matschiei (Macropodidae), in Upper Montane Forest. PLoS ONE 9, e91870. (doi:10.1371/journal.pone.0091870)</t>
  </si>
  <si>
    <t>17.    Russell EM, Richardson BJ. 2009 Some observations on the breeding, age structure, dispersion and habitat of populations of Macropus robustus and Macropus antilopinus (Marsupialia). Journal of Zoology 165, 131–142. (doi:10.1111/j.1469-7998.1971.tb02178.x)</t>
  </si>
  <si>
    <t>18.    Goldingay R. 1992 Socioecology of the Yellow-Bellied Glider (Petaurus-Australis) in a Coastal Forest. Aust. J. Zool. 40, 267. (doi:10.1071/ZO9920267)</t>
  </si>
  <si>
    <t>19.    Croft DB. 1987 Socio-Ecology of the Antilopine Wallaroo, Macropus-Antilopinus, in the Northern-Territory, With Observations on Sympatric Macropus-Robustus-Woodwardii and Macropus-Agilis. Wildl. Res. 14, 243–255. (doi:10.1071/wr9870243)</t>
  </si>
  <si>
    <t>21.    Craig S. 1985 Social Organization, Reproduction and Feeding Behaviour of a Population of Yellow-Bellied Gliders, Petaurus Australis (Marsupialia: Petauridae). Wildl. Res. 12, 1. (doi:10.1071/WR9850001)</t>
  </si>
  <si>
    <t>22.    Jaremovic RV, Croft DB. 1991 Social Organization of the Eastern Grey Kangaroo (Macropodidae, Marsupialia) in Southeastern New South Wales. I. Groups and Group Home Ranges. Mammalia 55. (doi:10.1515/mamm.1991.55.2.169)</t>
  </si>
  <si>
    <t>23.    Frederick H, Johnson C. 1996 Social Organisation in the Rufous Bettong, Aepyprymnus Rufescens. Aust. J. Zool. 44, 9. (doi:10.1071/ZO9960009)</t>
  </si>
  <si>
    <t>24.    Kaufmann JH. 1974 Social ethology of the whiptail wallaby, Macropus parryi, in northeastern New South Wales. Animal Behaviour 22, 281–369. (doi:10.1016/S0003-3472(74)80032-1)</t>
  </si>
  <si>
    <t>25.    Croft D. 1981 Social Behaviour of the Euro, Macropus robustus (Gould), in the Australian Arid Zone. Wildl. Res. 8, 13. (doi:10.1071/WR9810013)</t>
  </si>
  <si>
    <t>26.    Davies WG. 2013 Saliva sharing in the allied rock-wallaby, Petrogale assimilis. Aust. Mammalogy 35, 231. (doi:10.1071/AM12020)</t>
  </si>
  <si>
    <t>27.    Banks PB. 2001 Predation-sensitive grouping and habitat use by eastern grey kangaroos: a field experiment. Animal Behaviour 61, 1013–1021. (doi:10.1006/anbe.2001.1686)</t>
  </si>
  <si>
    <t>28.    Piggott MP, Banks SC, Taylor AC. 2005 Population structure of brush-tailed rock-wallaby (Petrogale penicillata) colonies inferred from analysis of faecal DNA: brush-tailed rock-wallaby population structure. Molecular Ecology 15, 93–105. (doi:10.1111/j.1365-294X.2005.02784.x)</t>
  </si>
  <si>
    <t>29.    How RA. 1981 Population Parameters of Two Congeneric Possums, Trichosurus spp., in Norh Eastern New South Wales. Aust. J. Zool. 29, 205–215. (doi:10.1071/zo9810205)</t>
  </si>
  <si>
    <t>30.    Quin DG. 1995 Population ecology of the squirrel glider (Petaurus norfolcensis) and the sugar glider (P. breviceps) (Maruspialia : Petauridae) at Limeburners Creek, on the central north coast of New South Wales. Wildl. Res. 22, 471–505. (doi:10.1071/wr9950471)</t>
  </si>
  <si>
    <t>31.    Holsworth W. 1967 Population dynamics of the Quokka, Setonix brachyurus, on the west end of Rottnest I., Western Australia I. Habitat and distribution of the quokka. Aust. J. Zool. 15, 29. (doi:10.1071/ZO9670029)</t>
  </si>
  <si>
    <t>32.    Cunningham RB, Pope ML, Lindenmayer DB. 2004 Patch use by the greater glider (Petauroides volans) in a fragmented forest ecosystem. III. Night-time use of trees. Wildl. Res. 31, 579. (doi:10.1071/WR02112)</t>
  </si>
  <si>
    <t>33.    Linklater W, Mclean I, Pulskamp K, Cameron E, Schmitt N. 2009 Partnerships in the social system of a small macropod marsupial, the quokka (Setonix brachyurus). Behav 146, 89–112. (doi:10.1163/156853908X390940)</t>
  </si>
  <si>
    <t>34.    Laws R, Goldizen A. 2003 Nocturnal home ranges and social interactions of the brushtailed rock-wallaby Petrogale penicillata at Hurdle Creek, Queensland. Aust. Mammalogy 25, 169. (doi:10.1071/AM03169)</t>
  </si>
  <si>
    <t>35.     MJ. 1999 Movements, dens and feeding behaviour of the tropical scaly-tailed possum (Wyulda squamicaudata). Wildl. Res. 26, 367. (doi:10.1071/WR98015)</t>
  </si>
  <si>
    <t>36.    Coulson G. 1999 Monospecific and Heterospecific Grouping and Feeding Behavior in Grey Kangaroos and Red-Necked Wallabies. Journal of Mammalogy 80, 270–282. (doi:10.2307/1383227)</t>
  </si>
  <si>
    <t>37.    Brown M, Carthew SM, Cooper SJB. 2007 Monogamy in an Australian arboreal marsupial, the yellow-bellied glider (Petaurus australis). Aust. J. Zool. 55, 185. (doi:10.1071/ZO07027)</t>
  </si>
  <si>
    <t>38.    Pope LC, Vernes K, Goldizen AW, Johnson CN. 2012 Mating system and local dispersal patterns of an endangered potoroid, the northern bettong (Bettongia tropica). Aust. J. Zool. 60, 278. (doi:10.1071/ZO12071)</t>
  </si>
  <si>
    <t>39.    Blyton MDJ, Lindenmayer DB, Banks SC. 2014 Maternal lineages best explain the associations of a semisocial marsupial. Behavioral Ecology 25, 1212–1222. (doi:10.1093/beheco/aru116)</t>
  </si>
  <si>
    <t>40.    Finlayson GR, Moseby KE. 2004 Managing confined populations: the influence of density on the home range and habitat use of reintroduced burrowing bettongs (Bettongia lesueur). Wildl. Res. 31, 457. (doi:10.1071/WR03035)</t>
  </si>
  <si>
    <t>41.    Handasyde K, Coulson G, Martin J, Taylor A. 2007 Long-term pair-bonds without mating fidelity in a mammal. Behav 144, 1419–1445. (doi:10.1163/156853907782418240)</t>
  </si>
  <si>
    <t>42.    King WJ, Festa-Bianchet M, Coulson G, Goldizen AW. 2017 Long-term consequences of mother-offspring associations in eastern grey kangaroos. Behav Ecol Sociobiol 71, 77. (doi:10.1007/s00265-017-2297-1)</t>
  </si>
  <si>
    <t>43.    Martin JK, Handasyde KA, Taylor AC. 2007 Linear roadside remnants: Their influence on den-use, home range and mating system in bobucks (Trichosurus cunninghami). Austral Ecol 32, 686–696. (doi:10.1111/j.1442-9993.2007.01763.x)</t>
  </si>
  <si>
    <t>44.    Ward SJ. 1990 Life-History of the Feathertail Glider, Acrobates-Pygmaeus (Acrobatidae, Marsupialia) in South-Eastern Australia. Aust. J. Zool. 38, 503–517. (doi:10.1071/zo9900503)</t>
  </si>
  <si>
    <t>45.    Favreau F-R, Goldizen AW, Pays O. 2010 Interactions among social monitoring, anti-predator vigilance and group size in eastern grey kangaroos. Proc. R. Soc. B. 277, 2089–2095. (doi:10.1098/rspb.2009.2337)</t>
  </si>
  <si>
    <t>46.    Dannock RJ, Blomberg SP, Goldizen AW. 2013 Individual variation in vigilance in female eastern grey kangaroos. Aust. J. Zool. 61, 312. (doi:10.1071/ZO12122)</t>
  </si>
  <si>
    <t>47.    Goldingay R, Kavanagh R. 1993 Home-range estimates and habitat of the yellow-bellied glider (Petaurus australis) at Waratah Creek, New South Wales. Wildl. Res. 20, 387. (doi:10.1071/WR9930387)</t>
  </si>
  <si>
    <t>48.    Vernes K, Marsh H, Winter J. 1995 Home-range characteristics and movement patterns of the red-legged pademelon (Thylogale stigmatica) in a fragmented tropical rainforest. Wildl. Res. 22, 699–707. (doi:10.1071/wr9950699)</t>
  </si>
  <si>
    <t>49.    Jackson SM. 2000 Home-range and den use of the mahogany glider, Petaurus gracilis. Wildl. Res. 27, 49–60. (doi:10.1071/wr98046)</t>
  </si>
  <si>
    <t>50.    Comport S, Ward S, Foley W. 1996 Home ranges, time budgets and food-tree use in a high-density tropical population of greater gliders, Petauroides volans minor (Pseudocheiridae : Marsupialia). Wildl. Res. 23, 401. (doi:10.1071/WR9960401)</t>
  </si>
  <si>
    <t>51.    Sharpe DJ, Goldingay RL. 2007 Home Range of the Australian Squirrel Glider, Petaurus norfolcensis (Diprotodontia). Journal of Mammalogy 88, 1515–1522. (doi:10.1644/06-MAMM-A-404R1.1)</t>
  </si>
  <si>
    <t>52.    Horsup A. 1994 Home range of the allied rock-wallaby, Petrogale assimilis. Wildl. Res. 21, 65. (doi:10.1071/WR9940065)</t>
  </si>
  <si>
    <t>53.    Green K, Mitchell AT, Tennant P. 1998 Home range and microhabitat use by the long-footed potoroo, Potorous longipes. Wildl. Res. 25, 357. (doi:10.1071/WR97095)</t>
  </si>
  <si>
    <t>54.    Newell GR. 1999 Home range and habitat use by Lumholtz’s tree-kangaroo (Dendrolagus lumholtzi) within a rainforest fragment in north Queensland. Wildl. Res. 26, 129–145. (doi:10.1071/wr98016)</t>
  </si>
  <si>
    <t>55.    Taylor R. 1982 Group SIze in the Eastern Grey Kangaroo, Macropus giganteus, and the Wallaroo, Macropus robustus. Wildl. Res. 9, 229. (doi:10.1071/WR9820229)</t>
  </si>
  <si>
    <t>56.    Jarman PJ. 1987 Group size and activity in eastern grey kangaroos. Animal Behaviour 35, 1044–1050. (doi:10.1016/S0003-3472(87)80161-6)</t>
  </si>
  <si>
    <t>57.    Walker FM, Upton JR, Sobek CJ, Taggart DA, Gaughwin MD. 2021 Genetic monitoring of southern hairy-nosed wombats over two decades reveals that individuals can live for at least 18 years in the same warrens. Aust. Mammalogy 43, 22. (doi:10.1071/AM20012)</t>
  </si>
  <si>
    <t>58.    Pays O, Beauchamp G, Carter AJ, Goldizen AW. 2013 Foraging in groups allows collective predator detection in a mammal species without alarm calls. Behavioral Ecology 24, 1229–1236. (doi:10.1093/beheco/art057)</t>
  </si>
  <si>
    <t>59.    Maguire G, Ramp D, Coulson G. 2006 Foraging behaviour and dispersion of eastern grey kangaroos (Macropus giganteus) in an ideal free framework. J Zoology 268, 261–269. (doi:10.1111/j.1469-7998.2005.00026.x)</t>
  </si>
  <si>
    <t>60.    Blumstein DT, Daniel JC. 2003 Foraging behavior of three Tasmanian macropodid marsupials in response to present and historical predation threat. Ecography 26, 585–594. (doi:10.1034/j.1600-0587.2003.03516.x)</t>
  </si>
  <si>
    <t>61.    Favreau F-R, Goldizen AW, Fritz H, Pays O. 2018 Food supply fluctuations constrain group sizes of kangaroos and in turn shape their vigilance and feeding strategies. Animal Behaviour 135, 165–176. (doi:10.1016/j.anbehav.2017.11.020)</t>
  </si>
  <si>
    <t>62.    Kaufmann JH. 1975 Field observations of the social behaviour of the eastern grey kangaroo, Macropus giganteus. Animal Behaviour 23, 214–221. (doi:10.1016/0003-3472(75)90066-4)</t>
  </si>
  <si>
    <t>63.    Spencer PBS, Horsup AB, Marsh HD. 1998 Enhancement of reproductive success through mate choice in a social rock-wallaby, Petrogale assimilis (Macropodidae) as revealed by microsatellite markers. Behavioral Ecology and Sociobiology 43, 1–9. (doi:10.1007/s002650050460)</t>
  </si>
  <si>
    <t>64.    Fisher DO, Lara MC. 1999 Effects of body size and home range on access to mates and paternity in male bridled nailtail wallabies. Animal Behaviour 58, 121–130. (doi:10.1006/anbe.1999.1119)</t>
  </si>
  <si>
    <t>65.    Hume G, Brunton E, Burnett S. 2019 Eastern Grey Kangaroo (Macropus giganteus) Vigilance Behaviour Varies between Human-Modified and Natural Environments. Animals 9, 494. (doi:10.3390/ani9080494)</t>
  </si>
  <si>
    <t>66.    Telfer WR, Griffiths AD. 2006 Dry-season use of space, habitats and shelters by the short-eared rock-wallaby (Petrogale brachyotis) in the monsoon tropics. Wildl. Res. 33, 207. (doi:10.1071/WR05032)</t>
  </si>
  <si>
    <t>67.    Walker FM, Taylor AC, Sunnucks P. 2006 Does soil type drive social organization in southern hairy-nosed wombats?: WOMBATS: SOIL AND SOCIOBIOLOGY. Molecular Ecology 16, 199–208. (doi:10.1111/j.1365-294X.2006.03131.x)</t>
  </si>
  <si>
    <t>68.    Clarke JL, Jones ME, Jarman PJ. 1995 Diurnal and Nocturnal Grouping and Foraging Behaviors of Free-Ranging Eastern Grey Kangaroos. Aust. J. Zool. 43, 519–529. (doi:10.1071/zo9950519)</t>
  </si>
  <si>
    <t>69.    Maynes G. 1977 Distribution and Aspects of the Biology of the Parma Wallaby, Macropus parma, in New South Wales. Wildl. Res. 4, 109. (doi:10.1071/WR9770109)</t>
  </si>
  <si>
    <t>70.    Johnson CN, Crossman DG. 1991 Dispersal and social organization of the northern hairy-nosed wombat Lasiorhinus krefftii. Journal of Zoology 225, 605–613. (doi:10.1111/j.1469-7998.1991.tb04328.x)</t>
  </si>
  <si>
    <t>71.    Goldingay RL. 2010 Direct male parental care observed in wild sugar gliders. Aust. Mammalogy 32, 177. (doi:10.1071/AM10009)</t>
  </si>
  <si>
    <t>72.    Clancy TF, Croft DB. 1991 Differences in Habitat Use and Grouping Behavior between Macropods and Eutherian Herbivores. Journal of Mammalogy 72, 441–449. (doi:10.2307/1382126)</t>
  </si>
  <si>
    <t>73.    Repi T, Masyud B, Mustari AH, Prasetyo LB. 2019 Daily activity and diet of Talaud bear cuscus (Ailurops melanotis Thomas, 1898) on Salibabu Island, North Sulawesi, Indonesia. Biodiversitas 20. (doi:10.13057/biodiv/d200928)</t>
  </si>
  <si>
    <t>74.    MacFarlane AM, Coulson G. 2009 Boys will be boys: social affinity among males drives social segregation in western grey kangaroos. Journal of Zoology 277, 37–44. (doi:10.1111/j.1469-7998.2008.00508.x)</t>
  </si>
  <si>
    <t>75.    Bleistein S, Horsup A, Gansloßer U. 1994 Border conflicts among territorial rock wallabies (Petrogale assimilis). Aggr. Behav. 20, 325–333. (doi:10.1002/1098-2337(1994)20:4&lt;325::AID-AB2480200406&gt;3.0.CO;2-V)</t>
  </si>
  <si>
    <t>76.    Runcie MJ. 2000 Biparental care and obligate monogamy in the rock-haunting possum, Petropseudes dahli, from tropical Australia. Animal Behaviour 59, 1001–1008. (doi:10.1006/anbe.1999.1392)</t>
  </si>
  <si>
    <t>77.    Austin CM, Ramp D. 2019 Behavioural Plasticity by Eastern Grey Kangaroos in Response to Human Behaviour. Animals 9, 244. (doi:10.3390/ani9050244)</t>
  </si>
  <si>
    <t>78.    Thomson JA, Owen WH. 1964 A Field Study of the Australian Ringtail Possum Pseudocheirus peregrinus (Marsupialia: Phalangeridae). Ecological Monographs 34, 27–52. (doi:10.2307/1948462)</t>
  </si>
  <si>
    <t>79.    Jones BA, How RA, Kitchener DJ. 1994 A field study of Pseudocheirus occidentalis (Marsupialia : Petauridae) II. Population studies. Wildl. Res. 21, 189–201. (doi:10.1071/wr9940189)</t>
  </si>
  <si>
    <t>80.    Dunnet GM. 2009 A field study of local populations of the brush-tailed possum trichosurus vulpecula in eastern australia. Proceedings of the Zoological Society of London 142, 665–695. (doi:10.1111/j.1469-7998.1964.tb04634.x)</t>
  </si>
  <si>
    <t>81.    Cockburn A, Lazenby-Cohen KA. 1992 Use of nest trees by Antechinus stuartii, a semelparous lekking marsupial. Journal of Zoology 226, 657–680. (doi:10.1111/j.1469-7998.1992.tb07508.x)</t>
  </si>
  <si>
    <t>82.    Fisher DO, Nuske S, Green S, Seddon JM, McDonald B. 2011 The evolution of sociality in small, carnivorous marsupials: the lek hypothesis revisited. Behav Ecol Sociobiol 65, 593–605. (doi:10.1007/s00265-010-1060-7)</t>
  </si>
  <si>
    <t>83.    Körtner G, Pavey CR, Geiser F. 2007 Spatial ecology of the mulgara in arid Australia: impact of fire history on home range size and burrow use. J Zoology 273, 350–357. (doi:10.1111/j.1469-7998.2007.00334.x)</t>
  </si>
  <si>
    <r>
      <t>84.</t>
    </r>
    <r>
      <rPr>
        <sz val="7"/>
        <color theme="1"/>
        <rFont val="Times New Roman"/>
        <family val="1"/>
      </rPr>
      <t xml:space="preserve">    </t>
    </r>
    <r>
      <rPr>
        <sz val="12"/>
        <color theme="1"/>
        <rFont val="Times New Roman"/>
        <family val="1"/>
      </rPr>
      <t>Thompson GG, Thompson SA. 2007 Shape and spatial distribution of Mulgara (Dasycercus cristicauda) burrows, with comments on their presence in a burnt habitat and a translocation protocol. Journal of the Royal Society of Western Australia , 8.</t>
    </r>
  </si>
  <si>
    <t>85.    Woolley P. 1984 Reproduction in Antechinomys laniger (‘spenceri’ Form) ( Marsupialia : Dasyuridae): Field and Laboratory. Wildl. Res. 11, 481. (doi:10.1071/WR9840481)</t>
  </si>
  <si>
    <t>86.    Masters P. 2003 Movement patterns and spatial organisation of the mulgara, Dasycercus cristicauda (Marsupialia : Dasyuridae), in central Australia. Wildl. Res. 30, 339. (doi:10.1071/WR01089)</t>
  </si>
  <si>
    <t>87.    Scida M, Gration R. 2018 Monitoring the threatened brush-tailed phascogale (Phascogale tapoatafa tapoatafa) at Sugarloaf Reservoir, Victoria. Aust. Mammalogy 40, 307. (doi:10.1071/AM16061)</t>
  </si>
  <si>
    <t>88.    Glen AS, Dickman CR. 2006 Home range, denning behaviour and microhabitat use of the carnivorous marsupial Dasyurus maculatus in eastern Australia. J Zoology 268, 347–354. (doi:10.1111/j.1469-7998.2006.00064.x)</t>
  </si>
  <si>
    <t>89.    Belcher CA, Darrant JP. 2004 Home range and spatial organization of the marsupial carnivore, Dasyurus maculatus maculatus (Marsupialia: Dasyuridae) in south-eastern Australia. J. Zoology 262, 271–280. (doi:10.1017/S0952836903004631)</t>
  </si>
  <si>
    <t>90.    Green K, Crowley H. 1989 Energetics and Behavior of Active Subnivean Insectivores Antechinus-Swainsonii and Antechinus-Stuartii (Marsupialia, Dasyuridae) in the Snowy Mountains. Wildl. Res. 16, 509. (doi:10.1071/WR9890509)</t>
  </si>
  <si>
    <t>91.    Belcher CA, Darrant JP. 2006 Den use by the spotted-tailed quoll Dasyurus maculatus in south-eastern Australia. Aust. Mammalogy 28, 59. (doi:10.1071/AM06007)</t>
  </si>
  <si>
    <t>92.    Rhind SG. 2003 Communal nesting in the usually solitary marsupial, Phascogale tapoatafa. J. Zoology 261, 345–351. (doi:10.1017/S0952836903004308)</t>
  </si>
  <si>
    <t>93.    Morton S. 1978 An Ecological Study of Sminthopsis crassicaudata (Marsupialia : Dasyuridae) II. Behaviour and Social Organization. Wildl. Res. 5, 163. (doi:10.1071/WR9780163)</t>
  </si>
  <si>
    <t>94.    Julien-Laferrière D. 1995 Use of space by the woolly opossum Caluromys philander (Marsupialia, Didelphidae) in French Guiana. Can. J. Zool. 73, 1280–1289. (doi:10.1139/z95-152)</t>
  </si>
  <si>
    <t>95.    Cerboncini RAS, Passamani M, Braga TV. 2011 Use of space by the black-eared opossum Didelphis aurita in a rural area in southeastern Brazil. mammalia 75. (doi:10.1515/mamm.2011.024)</t>
  </si>
  <si>
    <t>96.    Ryser J. 1992 The mating system and male mating success of the Virginia opossum ( Didelphis virginiana ) in Florida. Journal of Zoology 228, 127–139. (doi:10.1111/j.1469-7998.1992.tb04437.x)</t>
  </si>
  <si>
    <t>97.    Leiner NO, Silva WR. 2009 Territoriality in females of the slender opossum ( Marmosops paulensis ) in the Atlantic forest of Brazil. J. Trop. Ecol. 25, 671–675. (doi:10.1017/S0266467409990228)</t>
  </si>
  <si>
    <t>98.    Reynolds HC. 1945 Some Aspects of the Life History and Ecology of the Opossum in Central Missouri. Journal of Mammalogy 26, 361. (doi:10.2307/1375155)</t>
  </si>
  <si>
    <t>99.    Koeler Lira P, dos Santos Pires A, Santiago Alberto Carlos H, de Lima Curzio P, dos Santos Fernandez FA. 2017 Resting sites of opossums (Didelphimorphia, Didelphidae) in Atlantic Forest fragments. Mammalia 82, 62–64. (doi:10.1515/mammalia-2016-0098)</t>
  </si>
  <si>
    <t>100.Vaughan CS, Foster Hawkins L. 1969 Late dry season habitat use of common opossum, Didelphis marsupialis (Marsupialia: Didelphidae) in neotropical lower montane agricultural areas. RBT , 263–269. (doi:10.15517/rbt.v47i1-2.19075)</t>
  </si>
  <si>
    <r>
      <t>101.Atramentowicz M. 1982 Influence du milieu sur l'activité locomotrice et la reproduction de Caluromys philander (L.), Rev. Ecol (Terre Vie) 36, 373-395</t>
    </r>
    <r>
      <rPr>
        <sz val="8"/>
        <color theme="1"/>
        <rFont val="DengXian"/>
      </rPr>
      <t> </t>
    </r>
    <r>
      <rPr>
        <sz val="12"/>
        <color theme="1"/>
        <rFont val="Times New Roman"/>
        <family val="1"/>
      </rPr>
      <t>. (http://hdl.handle.net/2042/55102)</t>
    </r>
  </si>
  <si>
    <t>102.Catzeflis F. 2018 Hyladelphys kalinowskii in French Guiana: new observations and first notes on its nesting biology. Mammalia 82, 431–437. (doi:10.1515/mammalia-2017-0107)</t>
  </si>
  <si>
    <t>103.de Oliveira CF, Rosa CA, Passamani M. 2015 Home range and shelter preferences of marsupial Didelphis aurita (Wied-Neuwied, 1826) in a fragmented area in southeastern Brazil. Mammalia 79. (doi:10.1515/mammalia-2013-0179)</t>
  </si>
  <si>
    <t>104.Astúa D, Carvalho RA, Maia PF, Magalhães AR, Loretto D. 2015 First evidence of gregarious denning in opossums (Didelphimorphia, Didelphidae), with notes on their social behaviour. Biol. Lett. 11, 20150307. (doi:10.1098/rsbl.2015.0307)</t>
  </si>
  <si>
    <t>105.Shirer HW, Fitch HS. 1970 Comparison from Radiotracking of Movements and Denning Habits of the Raccoon, Striped Skunk, and Opossum in Northeastern Kansas. Journal of Mammalogy 51, 491. (doi:10.2307/1378389)</t>
  </si>
  <si>
    <t>106.Fitch HS, Shirer HW. 1970 A Radiotelemetric Study of Spatial Relationships in the Opossum. American Midland Naturalist 84, 170. (doi:10.2307/2423734)</t>
  </si>
  <si>
    <t>107.Dufty A. 1991 Some Population characteristics of Perameles gunnii in Victoria. Wildl. Res. 18, 355. (doi:10.1071/WR9910355)</t>
  </si>
  <si>
    <t>108.Moseby KE, O’Donnell E. 2003 Reintroduction of the greater bilby, Macrotis lagotis (Reid) (Marsupialia : Thylacomyidae), to northern South Australia: survival, ecology and notes on reintroduction protocols. Wildl. Res. 30, 15. (doi:10.1071/WR02012)</t>
  </si>
  <si>
    <t>109.Southgate R, Palmer C, Adams M, Masters P, Triggs B, Woinarski J. 1996 Population and Habitat Characteristics of the Golden Bandicoot (Isoodon Auratus) on Marchinbar Island, Northern Territory. Wildl. Res. 23, 647. (doi:10.1071/WR9960647)</t>
  </si>
  <si>
    <t>110.Gordon G. 1974 Movements and activity of the shortnosed bandicoot isoodon macrourus gould (marsupialia). Mammalia 38. (doi:10.1515/mamm.1974.38.3.405)</t>
  </si>
  <si>
    <t>111.Robinson NM, MacGregor CI, Hradsky BA, Dexter N, Lindenmayer DB. 2018 Bandicoots return to Booderee: initial survival, dispersal, home range and habitat preferences of reintroduced southern brown bandicoots (eastern sub species; Isoodon obesulus obesulus). Wildl. Res. 45, 132. (doi:10.1071/WR17040)</t>
  </si>
  <si>
    <t>112.Serena M, Soderquist TR. 1989 Spatial organization of a riparian population of the carnivorous marsupial Dasyurus geoffroii. Journal of Zoology 219, 373–383. (doi:10.1111/j.1469-7998.1989.tb02586.x)</t>
  </si>
  <si>
    <t>Porolak et al, 2014</t>
    <phoneticPr fontId="2" type="noConversion"/>
  </si>
  <si>
    <t>MacFarlane &amp; Coulson, 2005</t>
    <phoneticPr fontId="2" type="noConversion"/>
  </si>
  <si>
    <t>MacFarlane &amp; Coulson, 2009</t>
    <phoneticPr fontId="2" type="noConversion"/>
  </si>
  <si>
    <t>Clarke et al, 1995</t>
    <phoneticPr fontId="2" type="noConversion"/>
  </si>
  <si>
    <t>Best et al, 2013</t>
    <phoneticPr fontId="2" type="noConversion"/>
  </si>
  <si>
    <t>Colagross &amp; Cockburn, 1993</t>
    <phoneticPr fontId="2" type="noConversion"/>
  </si>
  <si>
    <t>Jaremovic &amp; Croft, 1991</t>
    <phoneticPr fontId="2" type="noConversion"/>
  </si>
  <si>
    <t>Pays et al, 2009</t>
    <phoneticPr fontId="2" type="noConversion"/>
  </si>
  <si>
    <t>Pays et al, 2013</t>
    <phoneticPr fontId="2" type="noConversion"/>
  </si>
  <si>
    <t>Southwell, 1984</t>
    <phoneticPr fontId="2" type="noConversion"/>
  </si>
  <si>
    <t>Hume et al, 2019</t>
    <phoneticPr fontId="2" type="noConversion"/>
  </si>
  <si>
    <t>Croft, 1987</t>
    <phoneticPr fontId="2" type="noConversion"/>
  </si>
  <si>
    <t>MacFarlan, 2005</t>
    <phoneticPr fontId="2" type="noConversion"/>
  </si>
  <si>
    <t>Spencer et al, 1998</t>
    <phoneticPr fontId="2" type="noConversion"/>
  </si>
  <si>
    <t>Bleistein et al, 1994</t>
    <phoneticPr fontId="2" type="noConversion"/>
  </si>
  <si>
    <t>Telfer &amp; Griffiths, 2006</t>
    <phoneticPr fontId="2" type="noConversion"/>
  </si>
  <si>
    <t>Laws &amp; Goldizen, 2003</t>
    <phoneticPr fontId="2" type="noConversion"/>
  </si>
  <si>
    <t>Piggott et al, 2005</t>
    <phoneticPr fontId="2" type="noConversion"/>
  </si>
  <si>
    <t>Sharp &amp; McCallum, 2010</t>
    <phoneticPr fontId="2" type="noConversion"/>
  </si>
  <si>
    <t>Linklater et al, 2009</t>
    <phoneticPr fontId="2" type="noConversion"/>
  </si>
  <si>
    <t>Vernes et al, 1995</t>
    <phoneticPr fontId="2" type="noConversion"/>
  </si>
  <si>
    <t>Harley et al, 2005</t>
    <phoneticPr fontId="2" type="noConversion"/>
  </si>
  <si>
    <t>Brown et al, 2007</t>
    <phoneticPr fontId="2" type="noConversion"/>
  </si>
  <si>
    <t>Goldingay &amp; Kavanagh, 1993</t>
    <phoneticPr fontId="2" type="noConversion"/>
  </si>
  <si>
    <t>Goldingay et al, 2001</t>
    <phoneticPr fontId="2" type="noConversion"/>
  </si>
  <si>
    <t>Sharpe &amp; Goldingay, 2007</t>
    <phoneticPr fontId="2" type="noConversion"/>
  </si>
  <si>
    <t>Crane et al, 2010</t>
    <phoneticPr fontId="2" type="noConversion"/>
  </si>
  <si>
    <t>Repi et al, 2019</t>
    <phoneticPr fontId="2" type="noConversion"/>
  </si>
  <si>
    <t>Talumepa et al, 2015</t>
    <phoneticPr fontId="2" type="noConversion"/>
  </si>
  <si>
    <t>Lindenmayer et al, 1997</t>
    <phoneticPr fontId="2" type="noConversion"/>
  </si>
  <si>
    <t>Blyton et al, 2014</t>
    <phoneticPr fontId="2" type="noConversion"/>
  </si>
  <si>
    <t>Handasyde et al, 2007</t>
    <phoneticPr fontId="2" type="noConversion"/>
  </si>
  <si>
    <t>Martin et al, 2007</t>
    <phoneticPr fontId="2" type="noConversion"/>
  </si>
  <si>
    <t>Green et al,1998</t>
    <phoneticPr fontId="2" type="noConversion"/>
  </si>
  <si>
    <t>Frederick &amp; Johnson, 1996</t>
    <phoneticPr fontId="2" type="noConversion"/>
  </si>
  <si>
    <t>Finlayson &amp; Moseby, 2004</t>
    <phoneticPr fontId="2" type="noConversion"/>
  </si>
  <si>
    <t>Pope et al, 2012</t>
    <phoneticPr fontId="2" type="noConversion"/>
  </si>
  <si>
    <t>Comport et al, 1996</t>
    <phoneticPr fontId="2" type="noConversion"/>
  </si>
  <si>
    <t>Cunningham et al, 2004</t>
    <phoneticPr fontId="2" type="noConversion"/>
  </si>
  <si>
    <t>Runcie, 2000</t>
    <phoneticPr fontId="2" type="noConversion"/>
  </si>
  <si>
    <t>Jones et al, 1994</t>
    <phoneticPr fontId="2" type="noConversion"/>
  </si>
  <si>
    <t>Thomson &amp; Owen, 1964</t>
    <phoneticPr fontId="2" type="noConversion"/>
  </si>
  <si>
    <t>Johnson &amp; Crossman, 1991</t>
    <phoneticPr fontId="2" type="noConversion"/>
  </si>
  <si>
    <t>Walker et al, 2006</t>
    <phoneticPr fontId="2" type="noConversion"/>
  </si>
  <si>
    <t>Walker et al, 2021</t>
    <phoneticPr fontId="2" type="noConversion"/>
  </si>
  <si>
    <t>Green &amp; Crowley, 1989</t>
    <phoneticPr fontId="2" type="noConversion"/>
  </si>
  <si>
    <t>Fisher et al, 2011</t>
    <phoneticPr fontId="2" type="noConversion"/>
  </si>
  <si>
    <t>Cockburn &amp; Lazenby-Cohen, 1992</t>
    <phoneticPr fontId="2" type="noConversion"/>
  </si>
  <si>
    <t>Fisher et al, 2009</t>
    <phoneticPr fontId="2" type="noConversion"/>
  </si>
  <si>
    <t>Körtner et al, 2007</t>
    <phoneticPr fontId="2" type="noConversion"/>
  </si>
  <si>
    <t>Thompson &amp; Thompson, 2007</t>
    <phoneticPr fontId="2" type="noConversion"/>
  </si>
  <si>
    <t>Serena &amp; Soderquist, 1989</t>
    <phoneticPr fontId="2" type="noConversion"/>
  </si>
  <si>
    <t>Glen &amp; Dickman, 2006</t>
    <phoneticPr fontId="2" type="noConversion"/>
  </si>
  <si>
    <t>Belcher &amp; Darrant, 2004; Belcher &amp; Darrant, 2006</t>
    <phoneticPr fontId="2" type="noConversion"/>
  </si>
  <si>
    <t>Rhind, 2003</t>
    <phoneticPr fontId="2" type="noConversion"/>
  </si>
  <si>
    <t>Morton, 1978</t>
    <phoneticPr fontId="2" type="noConversion"/>
  </si>
  <si>
    <t>Atramentowicz, 1982</t>
    <phoneticPr fontId="2" type="noConversion"/>
  </si>
  <si>
    <t>Julien-Laferriere, 1995</t>
    <phoneticPr fontId="2" type="noConversion"/>
  </si>
  <si>
    <t>Cerboncini et al, 2011</t>
    <phoneticPr fontId="2" type="noConversion"/>
  </si>
  <si>
    <t>Scida &amp; Gration, 2018</t>
    <phoneticPr fontId="2" type="noConversion"/>
  </si>
  <si>
    <t>Shirer &amp; Fitch, 1970; Shirer &amp; Fitch, 1970</t>
    <phoneticPr fontId="2" type="noConversion"/>
  </si>
  <si>
    <t>Vaughan and Hawkins, 1969</t>
    <phoneticPr fontId="2" type="noConversion"/>
  </si>
  <si>
    <t>Catzeflis, 2018</t>
    <phoneticPr fontId="2" type="noConversion"/>
  </si>
  <si>
    <t>Astúa et al, 2015</t>
    <phoneticPr fontId="2" type="noConversion"/>
  </si>
  <si>
    <t>Leiner &amp; Silva, 2009</t>
    <phoneticPr fontId="2" type="noConversion"/>
  </si>
  <si>
    <t>Koeler et al, 2017</t>
    <phoneticPr fontId="2" type="noConversion"/>
  </si>
  <si>
    <t>Southgate et al, 1996</t>
    <phoneticPr fontId="2" type="noConversion"/>
  </si>
  <si>
    <t>Moseby &amp; O'Donnel, 2003</t>
    <phoneticPr fontId="2" type="noConversion"/>
  </si>
  <si>
    <t>Macropus_giganteus</t>
  </si>
  <si>
    <t>NA</t>
  </si>
  <si>
    <t>References (see Sheet "References for details")</t>
  </si>
  <si>
    <t>Sp_Pop</t>
  </si>
  <si>
    <t>20.    Best EC, Seddon JM, Dwyer RG, Goldizen AW. 2013 Social preference influences female community structure in a population of wild eastern grey kangaroos. Animal Behaviour 86, 1031–1040. (doi:10.1016/j.anbehav.2013.09.008)</t>
  </si>
  <si>
    <t>Phascolarctos_cinereus</t>
  </si>
  <si>
    <t>White, N. A. (1999). Ecology of the koala (Phascolarctos cinereus) in rural south-east Queensland, Australia. Wildlife Research, 26(6), 731-744.</t>
  </si>
  <si>
    <t>Sarcophilus_harrisii</t>
  </si>
  <si>
    <t>Andersen, G. E., McGregor, H. W., Johnson, C. N., &amp; Jones, M. E. (2020). Activity and social interactions in a wide-ranging specialist scavenger, the Tasmanian devil (Sarcophilus harrisii), revealed by animal-borne video collars. Plos one, 15(3), e0230216.</t>
  </si>
  <si>
    <t>Pemberton, D., &amp; Renouf, D. (1993). A field-study of communication and social-behavior of the Tasmanian devil at feeding sites. Australian Journal of Zoology, 41(5), 507-526.</t>
  </si>
  <si>
    <t>Dasyurus_hallucatus</t>
  </si>
  <si>
    <t>Oakwood, 2002 (Spatial and social organization of a carnivorous marsupial Dasyurus hallucatus (Marsupialia: Dasyuridae))</t>
  </si>
  <si>
    <t>113. Pemberton D, Renouf D. 1993 A Field-Study of Communication and Social-Behavior of the Tasmanian Devil at Feeding Sites. Aust. J. Zool. 41, 507–526. (doi:10.1071/zo9930507)</t>
  </si>
  <si>
    <t>114. Andersen GE, McGregor HW, Johnson CN, Jones ME. 2020 Activity and social interactions in a wide-ranging specialist scavenger, the Tasmanian devil (Sarcophilus harrisii), revealed by animal-borne video collars. PLOS ONE 15, e0230216. (doi:10.1371/journal.pone.0230216)</t>
  </si>
  <si>
    <t>115. White NA. 1999 Ecology of the koala (Phascolarctos cinereus) in rural south-east Queensland, Australia. Wildl. Res. 26, 731–744. (doi:10.1071/wr98002)</t>
  </si>
  <si>
    <t>116. Oakwood M. 2002 Spatial and social organization of a carnivorous marsupial Dasyurus hallucatus (Marsupialia: Dasyuridae). Journal of Zoology 257, 237–248. (doi:10.1017/S0952836902000833)</t>
  </si>
  <si>
    <t>Pop_main</t>
  </si>
  <si>
    <t>Cercartetus_nanus</t>
  </si>
  <si>
    <t>Bladon, R. V., Dickman, C. R., &amp; Hume, I. D. (2002)</t>
  </si>
  <si>
    <t>Dwiyahreni, 1999</t>
  </si>
  <si>
    <t>117. Dwiyahreni AA, Klnnaird MF, O’Brien TG, Supriatna J, Andayani N. 1999 Diet and Activity of the Bear Cuscus, Ailurops ursinus, in North Sulawesi, Indonesia. Journal of Mammalogy 80, 905–912. (doi:10.2307/1383259)</t>
  </si>
  <si>
    <t>Antechinus_agilis</t>
  </si>
  <si>
    <t>G</t>
  </si>
  <si>
    <t>Banks et al. 2005</t>
  </si>
  <si>
    <t>Cockburn et al. 1985</t>
  </si>
  <si>
    <t>Beckman et al, 2016</t>
  </si>
  <si>
    <t>Antechinus_flavipes</t>
  </si>
  <si>
    <t>Kelly et al. 2008</t>
  </si>
  <si>
    <t>Rojas et al. 2014</t>
  </si>
  <si>
    <t>Antechinus_minimus</t>
  </si>
  <si>
    <t>Sale and Arnould, 2009</t>
  </si>
  <si>
    <t>Sale et al. 2009</t>
  </si>
  <si>
    <t>Mcnee and Cockburn, 1992</t>
  </si>
  <si>
    <t>Fisher, 2005</t>
  </si>
  <si>
    <t>Lazenby-Cohen, 1991</t>
  </si>
  <si>
    <t>Lazenby-Cohen and Cockburn, 1988</t>
  </si>
  <si>
    <t>Lazenby-Cohen and Cockburn, 1991</t>
  </si>
  <si>
    <t>Antechinus_swainsonii</t>
  </si>
  <si>
    <t>S</t>
  </si>
  <si>
    <t>Green and Crowley, 1989</t>
  </si>
  <si>
    <t>S_MF</t>
  </si>
  <si>
    <t>Parvey and Graiser, 2007</t>
  </si>
  <si>
    <t>Soderquist &amp; Serena 2000</t>
  </si>
  <si>
    <t>Kortner et al. 2015</t>
  </si>
  <si>
    <t>Ruibal et al. 2010</t>
  </si>
  <si>
    <t>Myrmecobius_fasciatus</t>
  </si>
  <si>
    <t>Hayward et al. 2015</t>
  </si>
  <si>
    <t>Calaby. 2009</t>
  </si>
  <si>
    <t>Soderquist and Ealey 1994</t>
  </si>
  <si>
    <t>Soderquist and Lil, 2010</t>
  </si>
  <si>
    <t>van der Ree et al. 2006</t>
  </si>
  <si>
    <t>Pseudantechinus_macdonnellensis</t>
  </si>
  <si>
    <t>Pavey et al. 2003</t>
  </si>
  <si>
    <t>Thalmann et al. 2016</t>
  </si>
  <si>
    <t>jones. 1998</t>
  </si>
  <si>
    <t>Prevedello et al. 2009</t>
  </si>
  <si>
    <t>Didelphis_albiventris</t>
  </si>
  <si>
    <t>SG</t>
  </si>
  <si>
    <t>Astua et al. 2015</t>
  </si>
  <si>
    <t>Monticelli and Gasco, 2018</t>
  </si>
  <si>
    <t>Rademaker and Cerqueira, 2006</t>
  </si>
  <si>
    <t>Ryser, 1995</t>
  </si>
  <si>
    <t>Shibuya et al., 2017</t>
  </si>
  <si>
    <t>Gracilinanus_agilis</t>
  </si>
  <si>
    <t>Lira et al. 2018</t>
  </si>
  <si>
    <t>Marmosa_paraguayana</t>
  </si>
  <si>
    <t>Kimble, D. 1997</t>
  </si>
  <si>
    <t>Monodelphis_domestica</t>
  </si>
  <si>
    <t>Calaby. 1966</t>
  </si>
  <si>
    <t>white1999</t>
  </si>
  <si>
    <t>McLean et Schmitt, 1999</t>
  </si>
  <si>
    <t>Acrobates_pygmaeus</t>
  </si>
  <si>
    <t>Parrott et al. 2005</t>
  </si>
  <si>
    <t>Harris-2015</t>
  </si>
  <si>
    <t>S G</t>
  </si>
  <si>
    <t>G, MF, S</t>
  </si>
  <si>
    <t>Dwiyahreni-1999</t>
  </si>
  <si>
    <t>Sander and Short. 1997</t>
  </si>
  <si>
    <t>Bettongia_tropica</t>
  </si>
  <si>
    <t>Vernes and Pope. 2001</t>
  </si>
  <si>
    <t>Morrant-2012</t>
  </si>
  <si>
    <t>Cercartetus_concinnus</t>
  </si>
  <si>
    <t>Harris et al. 2014</t>
  </si>
  <si>
    <t>Law et al. 2013</t>
  </si>
  <si>
    <t>Wild and Balke. 2018</t>
  </si>
  <si>
    <t>Dendrolagus_mbaiso</t>
  </si>
  <si>
    <t>Johnson-1982</t>
  </si>
  <si>
    <t>Hypsiprymnodon_moschatus</t>
  </si>
  <si>
    <t>Jrgensen-2021</t>
  </si>
  <si>
    <t>wells1978</t>
  </si>
  <si>
    <t>Macropus_dorsalis</t>
  </si>
  <si>
    <t>Macropus_eugenii</t>
  </si>
  <si>
    <t>Blumstein-1999</t>
  </si>
  <si>
    <t>coulson1993</t>
  </si>
  <si>
    <t>johnson1983</t>
  </si>
  <si>
    <t>Macfarlane-2007</t>
  </si>
  <si>
    <t>Kaufmann. 1974</t>
  </si>
  <si>
    <t>Best. 2014</t>
  </si>
  <si>
    <t>Best. 2015</t>
  </si>
  <si>
    <t>caughley1964</t>
  </si>
  <si>
    <t>King-2015</t>
  </si>
  <si>
    <t>King and Goldizen. 2016</t>
  </si>
  <si>
    <t>Menz-2020</t>
  </si>
  <si>
    <t>Proboste. 2019</t>
  </si>
  <si>
    <t>Ramp-2005</t>
  </si>
  <si>
    <t>Macropus_parma</t>
  </si>
  <si>
    <t>SPG</t>
  </si>
  <si>
    <t>SP</t>
  </si>
  <si>
    <t>Arnold-1993</t>
  </si>
  <si>
    <t>Macropus_rufogriseus</t>
  </si>
  <si>
    <t>Macropus_rufus</t>
  </si>
  <si>
    <t>Stoddart-1994</t>
  </si>
  <si>
    <t>Petaurus_breviceps</t>
  </si>
  <si>
    <t>Petaurus_gracilis</t>
  </si>
  <si>
    <t>P</t>
  </si>
  <si>
    <t>Jackson-2011</t>
  </si>
  <si>
    <t>Petaurus_norfolcensis</t>
  </si>
  <si>
    <t>Dobson-2005</t>
  </si>
  <si>
    <t>MFF, MF, MMFF</t>
  </si>
  <si>
    <t>hazlitt. 2006</t>
  </si>
  <si>
    <t>molyneux, 2011</t>
  </si>
  <si>
    <t>Sharp-2009</t>
  </si>
  <si>
    <t>Potorous_tridactylus</t>
  </si>
  <si>
    <t>frankham2012</t>
  </si>
  <si>
    <t>Thylogale_thetis</t>
  </si>
  <si>
    <t>Blyton. 2015</t>
  </si>
  <si>
    <t>statham1997</t>
  </si>
  <si>
    <t>Wallabia_bicolor</t>
  </si>
  <si>
    <t>Di-stefano-2009</t>
  </si>
  <si>
    <t>Perameles_bougainville</t>
  </si>
  <si>
    <t>short1998</t>
  </si>
  <si>
    <t>Kaufmann-1974b</t>
  </si>
  <si>
    <t>S_sex-specific_MF_MMFF</t>
  </si>
  <si>
    <t>MF_G</t>
  </si>
  <si>
    <t>PG</t>
  </si>
  <si>
    <t>S_MF_MMFF</t>
  </si>
  <si>
    <t>NO single Main SO</t>
  </si>
  <si>
    <t>not in the tree</t>
  </si>
  <si>
    <t>Vombatus_ursinus</t>
  </si>
  <si>
    <t>Favreau et al. 2009</t>
  </si>
  <si>
    <t>118. Favreau F-R et al. 2009 Vigilance in a solitary marsupial, the common wombat (Vombatus ursinus). Aust. J. Zool. 57, 363–371. (doi:10.1071/ZO09062)</t>
  </si>
  <si>
    <t>Sanecki, 2006</t>
  </si>
  <si>
    <t>119. Sanecki GM, Green K, Wood H, Lindenmayer D, Sanecki KL. 2006 The influence of snow cover on home range and activity of the bush-rat (Rattus fuscipes) and the dusky  antechinus (Antechinus swainsonii). Wildl. Res. 33, 489. (doi:10.1071/WR05012)</t>
  </si>
  <si>
    <t>body_mass(g)</t>
  </si>
  <si>
    <t>social_state</t>
  </si>
  <si>
    <t>body mass not known</t>
  </si>
  <si>
    <t>Main_SO</t>
  </si>
  <si>
    <t>Habitat_hetero</t>
    <phoneticPr fontId="0" type="noConversion"/>
  </si>
  <si>
    <t>Macropus_antilopinus</t>
  </si>
  <si>
    <t>russell, 2009</t>
  </si>
  <si>
    <t>hoolihan, 1998</t>
  </si>
  <si>
    <t>120. Hoolihan DW, Goldizen AW. 1998 The grouping dynamics of the black-striped wallaby. Wildl. Res. 25, 467. (doi:10.1071/WR97122)</t>
  </si>
  <si>
    <t>Coulson, 1999</t>
  </si>
  <si>
    <t>johnson, 1989</t>
  </si>
  <si>
    <t>johnson, 1989 Grouping and the Structure of Association in the Red-Necked Wallaby</t>
  </si>
  <si>
    <t>Fisher &amp; Lara, 1999</t>
  </si>
  <si>
    <t>Franco M, Quijano A, Soto-Gamboa M. 2011 Communal nesting, activity patterns, and population characteristics in the near-threatened monito del monte, Dromiciops gliroides. Journal of Mammalogy 92, 994–1004. (doi:10.1644/10-MAMM-A-256.1)</t>
  </si>
  <si>
    <t>Celis-Diez JL, Hetz J, Marín-Vial PA, Fuster G, Necochea P, Vásquez RA, Jaksic FM, Armesto JJ. 2012 Population abundance, natural history, and habitat use by the arboreal marsupial Dromiciops gliroides in rural Chiloé Island, Chile. J Mammal 93, 134–148. (doi:10.1644/10-MAMM-A-406.1)</t>
  </si>
  <si>
    <t>Dromiciops_gliroides</t>
  </si>
  <si>
    <t>Celis-diez, 2012</t>
  </si>
  <si>
    <t>Franco, 2011</t>
  </si>
  <si>
    <t>Aepyprymnus_rufescens</t>
  </si>
  <si>
    <t>Habitat hertrogenety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</si>
</sst>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9"/>
      <name val="Calibri"/>
      <family val="3"/>
      <charset val="134"/>
      <scheme val="minor"/>
    </font>
    <font>
      <sz val="11"/>
      <color theme="1"/>
      <name val="Calibri"/>
      <family val="3"/>
      <charset val="134"/>
      <scheme val="minor"/>
    </font>
    <font>
      <b/>
      <sz val="11"/>
      <color theme="1"/>
      <name val="Calibri"/>
      <family val="3"/>
      <charset val="134"/>
      <scheme val="minor"/>
    </font>
    <font>
      <sz val="11"/>
      <color theme="1"/>
      <name val="Calibri"/>
      <family val="2"/>
      <charset val="238"/>
      <scheme val="minor"/>
    </font>
    <font>
      <sz val="11"/>
      <name val="Calibri"/>
      <family val="3"/>
      <charset val="134"/>
      <scheme val="minor"/>
    </font>
    <font>
      <sz val="12"/>
      <color theme="1"/>
      <name val="Times New Roman"/>
      <family val="1"/>
    </font>
    <font>
      <sz val="7"/>
      <color theme="1"/>
      <name val="Times New Roman"/>
      <family val="1"/>
    </font>
    <font>
      <sz val="11"/>
      <name val="Calibri"/>
      <family val="2"/>
      <scheme val="minor"/>
    </font>
    <font>
      <sz val="8"/>
      <color theme="1"/>
      <name val="DengXian"/>
    </font>
  </fonts>
  <fills count="6">
    <fill>
      <patternFill patternType="none"/>
    </fill>
    <fill>
      <patternFill patternType="gray125"/>
    </fill>
    <fill>
      <patternFill patternType="solid">
        <fgColor theme="9" tint="0.79998168889431442"/>
        <bgColor indexed="64"/>
      </patternFill>
    </fill>
    <fill>
      <patternFill patternType="solid">
        <fgColor rgb="FFADDD97"/>
        <bgColor indexed="64"/>
      </patternFill>
    </fill>
    <fill>
      <patternFill patternType="solid">
        <fgColor theme="0"/>
        <bgColor indexed="64"/>
      </patternFill>
    </fill>
    <fill>
      <patternFill patternType="solid">
        <fgColor rgb="FFFF7C80"/>
        <bgColor indexed="64"/>
      </patternFill>
    </fill>
  </fills>
  <borders count="7">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s>
  <cellStyleXfs count="1">
    <xf numFmtId="0" fontId="0" fillId="0" borderId="0"/>
  </cellStyleXfs>
  <cellXfs count="42">
    <xf numFmtId="0" fontId="0" fillId="0" borderId="0" xfId="0"/>
    <xf numFmtId="0" fontId="1" fillId="0" borderId="1" xfId="0" applyFont="1" applyBorder="1"/>
    <xf numFmtId="0" fontId="1" fillId="3" borderId="1" xfId="0" applyFont="1" applyFill="1" applyBorder="1"/>
    <xf numFmtId="0" fontId="1" fillId="0" borderId="3" xfId="0" applyFont="1" applyBorder="1"/>
    <xf numFmtId="0" fontId="3" fillId="0" borderId="1" xfId="0" applyFont="1" applyBorder="1"/>
    <xf numFmtId="0" fontId="0" fillId="0" borderId="1" xfId="0" applyBorder="1"/>
    <xf numFmtId="0" fontId="0" fillId="0" borderId="2" xfId="0" applyBorder="1"/>
    <xf numFmtId="0" fontId="0" fillId="0" borderId="3" xfId="0" applyBorder="1"/>
    <xf numFmtId="0" fontId="0" fillId="0" borderId="1" xfId="0" applyFill="1" applyBorder="1"/>
    <xf numFmtId="0" fontId="4" fillId="0" borderId="1" xfId="0" applyFont="1" applyFill="1" applyBorder="1"/>
    <xf numFmtId="0" fontId="0" fillId="4" borderId="1" xfId="0" applyFill="1" applyBorder="1"/>
    <xf numFmtId="0" fontId="5" fillId="0" borderId="1" xfId="0" applyFont="1" applyBorder="1"/>
    <xf numFmtId="0" fontId="0" fillId="0" borderId="2" xfId="0" applyFill="1" applyBorder="1"/>
    <xf numFmtId="0" fontId="6" fillId="0" borderId="1" xfId="0" applyFont="1" applyBorder="1"/>
    <xf numFmtId="0" fontId="0" fillId="0" borderId="6" xfId="0" applyFill="1" applyBorder="1"/>
    <xf numFmtId="0" fontId="9" fillId="0" borderId="1" xfId="0" applyFont="1" applyBorder="1"/>
    <xf numFmtId="0" fontId="6" fillId="0" borderId="1" xfId="0" applyFont="1" applyFill="1" applyBorder="1"/>
    <xf numFmtId="0" fontId="4" fillId="0" borderId="5" xfId="0" applyFont="1" applyFill="1" applyBorder="1" applyAlignment="1">
      <alignment horizontal="center" vertical="center"/>
    </xf>
    <xf numFmtId="0" fontId="4" fillId="0" borderId="5" xfId="0" applyFont="1" applyFill="1" applyBorder="1" applyAlignment="1">
      <alignment vertical="center"/>
    </xf>
    <xf numFmtId="0" fontId="0" fillId="5" borderId="1" xfId="0" applyFill="1" applyBorder="1"/>
    <xf numFmtId="0" fontId="0" fillId="0" borderId="5" xfId="0" applyFont="1" applyFill="1" applyBorder="1" applyAlignment="1">
      <alignment horizontal="center" vertical="center"/>
    </xf>
    <xf numFmtId="0" fontId="0" fillId="0" borderId="5" xfId="0" applyBorder="1"/>
    <xf numFmtId="0" fontId="0" fillId="2" borderId="1" xfId="0" applyFill="1" applyBorder="1"/>
    <xf numFmtId="0" fontId="9" fillId="2" borderId="1" xfId="0" applyFont="1" applyFill="1" applyBorder="1"/>
    <xf numFmtId="0" fontId="0" fillId="2" borderId="5" xfId="0" applyFill="1" applyBorder="1"/>
    <xf numFmtId="0" fontId="0" fillId="2" borderId="5" xfId="0" applyFont="1" applyFill="1" applyBorder="1" applyAlignment="1">
      <alignment horizontal="center" vertical="center"/>
    </xf>
    <xf numFmtId="0" fontId="0" fillId="2" borderId="1" xfId="0" applyFont="1" applyFill="1" applyBorder="1"/>
    <xf numFmtId="0" fontId="0" fillId="2" borderId="0" xfId="0" applyFill="1"/>
    <xf numFmtId="0" fontId="0" fillId="2" borderId="1" xfId="0" applyFill="1" applyBorder="1"/>
    <xf numFmtId="0" fontId="0" fillId="2" borderId="3" xfId="0" applyFill="1" applyBorder="1"/>
    <xf numFmtId="0" fontId="0" fillId="2" borderId="2" xfId="0" applyFill="1" applyBorder="1"/>
    <xf numFmtId="0" fontId="0" fillId="0" borderId="3" xfId="0" applyFill="1" applyBorder="1"/>
    <xf numFmtId="0" fontId="0" fillId="2" borderId="4" xfId="0" applyFill="1" applyBorder="1"/>
    <xf numFmtId="0" fontId="4" fillId="2" borderId="4" xfId="0" applyFont="1" applyFill="1" applyBorder="1" applyAlignment="1">
      <alignment vertical="center"/>
    </xf>
    <xf numFmtId="0" fontId="0" fillId="2" borderId="0" xfId="0" applyFill="1" applyBorder="1"/>
    <xf numFmtId="0" fontId="9" fillId="4" borderId="1" xfId="0" applyFont="1" applyFill="1" applyBorder="1"/>
    <xf numFmtId="0" fontId="9" fillId="4" borderId="3" xfId="0" applyFont="1" applyFill="1" applyBorder="1"/>
    <xf numFmtId="0" fontId="9" fillId="4" borderId="5" xfId="0" applyFont="1" applyFill="1" applyBorder="1"/>
    <xf numFmtId="0" fontId="9" fillId="4" borderId="5" xfId="0" applyFont="1" applyFill="1" applyBorder="1" applyAlignment="1">
      <alignment horizontal="center" vertical="center"/>
    </xf>
    <xf numFmtId="0" fontId="0" fillId="4" borderId="3" xfId="0" applyFill="1" applyBorder="1"/>
    <xf numFmtId="0" fontId="9" fillId="0" borderId="1" xfId="0" applyFont="1" applyFill="1" applyBorder="1"/>
    <xf numFmtId="0" fontId="9" fillId="0" borderId="3" xfId="0" applyFont="1" applyFill="1" applyBorder="1"/>
  </cellXfs>
  <cellStyles count="1">
    <cellStyle name="常规"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doi.org/10.1111/j.1365-294X.2005.02784.x" TargetMode="External"/><Relationship Id="rId21" Type="http://schemas.openxmlformats.org/officeDocument/2006/relationships/hyperlink" Target="https://doi.org/10.1071/ZO9960009" TargetMode="External"/><Relationship Id="rId42" Type="http://schemas.openxmlformats.org/officeDocument/2006/relationships/hyperlink" Target="https://doi.org/10.1071/zo9900503" TargetMode="External"/><Relationship Id="rId47" Type="http://schemas.openxmlformats.org/officeDocument/2006/relationships/hyperlink" Target="https://doi.org/10.1071/wr98046" TargetMode="External"/><Relationship Id="rId63" Type="http://schemas.openxmlformats.org/officeDocument/2006/relationships/hyperlink" Target="https://doi.org/10.3390/ani9080494" TargetMode="External"/><Relationship Id="rId68" Type="http://schemas.openxmlformats.org/officeDocument/2006/relationships/hyperlink" Target="https://doi.org/10.1111/j.1469-7998.1991.tb04328.x" TargetMode="External"/><Relationship Id="rId84" Type="http://schemas.openxmlformats.org/officeDocument/2006/relationships/hyperlink" Target="https://doi.org/10.1071/AM16061" TargetMode="External"/><Relationship Id="rId89" Type="http://schemas.openxmlformats.org/officeDocument/2006/relationships/hyperlink" Target="https://doi.org/10.1017/S0952836903004308" TargetMode="External"/><Relationship Id="rId112" Type="http://schemas.openxmlformats.org/officeDocument/2006/relationships/hyperlink" Target="https://doi.org/10.1017/S0952836902000833" TargetMode="External"/><Relationship Id="rId16" Type="http://schemas.openxmlformats.org/officeDocument/2006/relationships/hyperlink" Target="https://doi.org/10.1111/j.1469-7998.1971.tb02178.x" TargetMode="External"/><Relationship Id="rId107" Type="http://schemas.openxmlformats.org/officeDocument/2006/relationships/hyperlink" Target="https://doi.org/10.1071/WR17040" TargetMode="External"/><Relationship Id="rId11" Type="http://schemas.openxmlformats.org/officeDocument/2006/relationships/hyperlink" Target="https://doi.org/10.1071/AM08113" TargetMode="External"/><Relationship Id="rId32" Type="http://schemas.openxmlformats.org/officeDocument/2006/relationships/hyperlink" Target="https://doi.org/10.1071/AM03169" TargetMode="External"/><Relationship Id="rId37" Type="http://schemas.openxmlformats.org/officeDocument/2006/relationships/hyperlink" Target="https://doi.org/10.1093/beheco/aru116" TargetMode="External"/><Relationship Id="rId53" Type="http://schemas.openxmlformats.org/officeDocument/2006/relationships/hyperlink" Target="https://doi.org/10.1071/WR9820229" TargetMode="External"/><Relationship Id="rId58" Type="http://schemas.openxmlformats.org/officeDocument/2006/relationships/hyperlink" Target="https://doi.org/10.1034/j.1600-0587.2003.03516.x" TargetMode="External"/><Relationship Id="rId74" Type="http://schemas.openxmlformats.org/officeDocument/2006/relationships/hyperlink" Target="https://doi.org/10.1006/anbe.1999.1392" TargetMode="External"/><Relationship Id="rId79" Type="http://schemas.openxmlformats.org/officeDocument/2006/relationships/hyperlink" Target="https://doi.org/10.1111/j.1469-7998.1992.tb07508.x" TargetMode="External"/><Relationship Id="rId102" Type="http://schemas.openxmlformats.org/officeDocument/2006/relationships/hyperlink" Target="https://doi.org/10.2307/2423734" TargetMode="External"/><Relationship Id="rId5" Type="http://schemas.openxmlformats.org/officeDocument/2006/relationships/hyperlink" Target="https://doi.org/10.35792/zot.36.1.2016.10467" TargetMode="External"/><Relationship Id="rId90" Type="http://schemas.openxmlformats.org/officeDocument/2006/relationships/hyperlink" Target="https://doi.org/10.1071/WR9780163" TargetMode="External"/><Relationship Id="rId95" Type="http://schemas.openxmlformats.org/officeDocument/2006/relationships/hyperlink" Target="https://doi.org/10.2307/1375155" TargetMode="External"/><Relationship Id="rId22" Type="http://schemas.openxmlformats.org/officeDocument/2006/relationships/hyperlink" Target="https://doi.org/10.1016/S0003-3472(74)80032-1" TargetMode="External"/><Relationship Id="rId27" Type="http://schemas.openxmlformats.org/officeDocument/2006/relationships/hyperlink" Target="https://doi.org/10.1071/zo9810205" TargetMode="External"/><Relationship Id="rId43" Type="http://schemas.openxmlformats.org/officeDocument/2006/relationships/hyperlink" Target="https://doi.org/10.1098/rspb.2009.2337" TargetMode="External"/><Relationship Id="rId48" Type="http://schemas.openxmlformats.org/officeDocument/2006/relationships/hyperlink" Target="https://doi.org/10.1071/WR9960401" TargetMode="External"/><Relationship Id="rId64" Type="http://schemas.openxmlformats.org/officeDocument/2006/relationships/hyperlink" Target="https://doi.org/10.1071/WR05032" TargetMode="External"/><Relationship Id="rId69" Type="http://schemas.openxmlformats.org/officeDocument/2006/relationships/hyperlink" Target="https://doi.org/10.1071/AM10009" TargetMode="External"/><Relationship Id="rId113" Type="http://schemas.openxmlformats.org/officeDocument/2006/relationships/printerSettings" Target="../printerSettings/printerSettings2.bin"/><Relationship Id="rId80" Type="http://schemas.openxmlformats.org/officeDocument/2006/relationships/hyperlink" Target="https://doi.org/10.1007/s00265-010-1060-7" TargetMode="External"/><Relationship Id="rId85" Type="http://schemas.openxmlformats.org/officeDocument/2006/relationships/hyperlink" Target="https://doi.org/10.1111/j.1469-7998.2006.00064.x" TargetMode="External"/><Relationship Id="rId12" Type="http://schemas.openxmlformats.org/officeDocument/2006/relationships/hyperlink" Target="https://doi.org/10.1017/S0952836905007636" TargetMode="External"/><Relationship Id="rId17" Type="http://schemas.openxmlformats.org/officeDocument/2006/relationships/hyperlink" Target="https://doi.org/10.1071/ZO9920267" TargetMode="External"/><Relationship Id="rId33" Type="http://schemas.openxmlformats.org/officeDocument/2006/relationships/hyperlink" Target="https://doi.org/10.1071/WR98015" TargetMode="External"/><Relationship Id="rId38" Type="http://schemas.openxmlformats.org/officeDocument/2006/relationships/hyperlink" Target="https://doi.org/10.1071/WR03035" TargetMode="External"/><Relationship Id="rId59" Type="http://schemas.openxmlformats.org/officeDocument/2006/relationships/hyperlink" Target="https://doi.org/10.1016/j.anbehav.2017.11.020" TargetMode="External"/><Relationship Id="rId103" Type="http://schemas.openxmlformats.org/officeDocument/2006/relationships/hyperlink" Target="https://doi.org/10.1071/WR9910355" TargetMode="External"/><Relationship Id="rId108" Type="http://schemas.openxmlformats.org/officeDocument/2006/relationships/hyperlink" Target="https://doi.org/10.1016/j.anbehav.2013.09.008" TargetMode="External"/><Relationship Id="rId54" Type="http://schemas.openxmlformats.org/officeDocument/2006/relationships/hyperlink" Target="https://doi.org/10.1016/S0003-3472(87)80161-6" TargetMode="External"/><Relationship Id="rId70" Type="http://schemas.openxmlformats.org/officeDocument/2006/relationships/hyperlink" Target="https://doi.org/10.2307/1382126" TargetMode="External"/><Relationship Id="rId75" Type="http://schemas.openxmlformats.org/officeDocument/2006/relationships/hyperlink" Target="https://doi.org/10.3390/ani9050244" TargetMode="External"/><Relationship Id="rId91" Type="http://schemas.openxmlformats.org/officeDocument/2006/relationships/hyperlink" Target="https://doi.org/10.1139/z95-152" TargetMode="External"/><Relationship Id="rId96" Type="http://schemas.openxmlformats.org/officeDocument/2006/relationships/hyperlink" Target="https://doi.org/10.1515/mammalia-2016-0098" TargetMode="External"/><Relationship Id="rId1" Type="http://schemas.openxmlformats.org/officeDocument/2006/relationships/hyperlink" Target="https://doi.org/10.1071/wr9830025" TargetMode="External"/><Relationship Id="rId6" Type="http://schemas.openxmlformats.org/officeDocument/2006/relationships/hyperlink" Target="https://doi.org/10.1071/ZO09070" TargetMode="External"/><Relationship Id="rId15" Type="http://schemas.openxmlformats.org/officeDocument/2006/relationships/hyperlink" Target="https://doi.org/10.1371/journal.pone.0091870" TargetMode="External"/><Relationship Id="rId23" Type="http://schemas.openxmlformats.org/officeDocument/2006/relationships/hyperlink" Target="https://doi.org/10.1071/WR9810013" TargetMode="External"/><Relationship Id="rId28" Type="http://schemas.openxmlformats.org/officeDocument/2006/relationships/hyperlink" Target="https://doi.org/10.1071/wr9950471" TargetMode="External"/><Relationship Id="rId36" Type="http://schemas.openxmlformats.org/officeDocument/2006/relationships/hyperlink" Target="https://doi.org/10.1071/ZO12071" TargetMode="External"/><Relationship Id="rId49" Type="http://schemas.openxmlformats.org/officeDocument/2006/relationships/hyperlink" Target="https://doi.org/10.1644/06-MAMM-A-404R1.1" TargetMode="External"/><Relationship Id="rId57" Type="http://schemas.openxmlformats.org/officeDocument/2006/relationships/hyperlink" Target="https://doi.org/10.1111/j.1469-7998.2005.00026.x" TargetMode="External"/><Relationship Id="rId106" Type="http://schemas.openxmlformats.org/officeDocument/2006/relationships/hyperlink" Target="https://doi.org/10.1515/mamm.1974.38.3.405" TargetMode="External"/><Relationship Id="rId10" Type="http://schemas.openxmlformats.org/officeDocument/2006/relationships/hyperlink" Target="https://doi.org/10.1071/Am05007" TargetMode="External"/><Relationship Id="rId31" Type="http://schemas.openxmlformats.org/officeDocument/2006/relationships/hyperlink" Target="https://doi.org/10.1163/156853908X390940" TargetMode="External"/><Relationship Id="rId44" Type="http://schemas.openxmlformats.org/officeDocument/2006/relationships/hyperlink" Target="https://doi.org/10.1071/ZO12122" TargetMode="External"/><Relationship Id="rId52" Type="http://schemas.openxmlformats.org/officeDocument/2006/relationships/hyperlink" Target="https://doi.org/10.1071/wr98016" TargetMode="External"/><Relationship Id="rId60" Type="http://schemas.openxmlformats.org/officeDocument/2006/relationships/hyperlink" Target="https://doi.org/10.1016/0003-3472(75)90066-4" TargetMode="External"/><Relationship Id="rId65" Type="http://schemas.openxmlformats.org/officeDocument/2006/relationships/hyperlink" Target="https://doi.org/10.1111/j.1365-294X.2006.03131.x" TargetMode="External"/><Relationship Id="rId73" Type="http://schemas.openxmlformats.org/officeDocument/2006/relationships/hyperlink" Target="https://doi.org/10.1002/1098-2337(1994)20:4%3c325::AID-AB2480200406%3e3.0.CO;2-V" TargetMode="External"/><Relationship Id="rId78" Type="http://schemas.openxmlformats.org/officeDocument/2006/relationships/hyperlink" Target="https://doi.org/10.1111/j.1469-7998.1964.tb04634.x" TargetMode="External"/><Relationship Id="rId81" Type="http://schemas.openxmlformats.org/officeDocument/2006/relationships/hyperlink" Target="https://doi.org/10.1111/j.1469-7998.2007.00334.x" TargetMode="External"/><Relationship Id="rId86" Type="http://schemas.openxmlformats.org/officeDocument/2006/relationships/hyperlink" Target="https://doi.org/10.1017/S0952836903004631" TargetMode="External"/><Relationship Id="rId94" Type="http://schemas.openxmlformats.org/officeDocument/2006/relationships/hyperlink" Target="https://doi.org/10.1017/S0266467409990228" TargetMode="External"/><Relationship Id="rId99" Type="http://schemas.openxmlformats.org/officeDocument/2006/relationships/hyperlink" Target="https://doi.org/10.1515/mammalia-2013-0179" TargetMode="External"/><Relationship Id="rId101" Type="http://schemas.openxmlformats.org/officeDocument/2006/relationships/hyperlink" Target="https://doi.org/10.2307/1378389" TargetMode="External"/><Relationship Id="rId4" Type="http://schemas.openxmlformats.org/officeDocument/2006/relationships/hyperlink" Target="https://doi.org/10.1016/j.anbehav.2017.01.012" TargetMode="External"/><Relationship Id="rId9" Type="http://schemas.openxmlformats.org/officeDocument/2006/relationships/hyperlink" Target="https://doi.org/10.1093/beheco/arp019" TargetMode="External"/><Relationship Id="rId13" Type="http://schemas.openxmlformats.org/officeDocument/2006/relationships/hyperlink" Target="https://doi.org/10.1071/ZO00077" TargetMode="External"/><Relationship Id="rId18" Type="http://schemas.openxmlformats.org/officeDocument/2006/relationships/hyperlink" Target="https://doi.org/10.1071/wr9870243" TargetMode="External"/><Relationship Id="rId39" Type="http://schemas.openxmlformats.org/officeDocument/2006/relationships/hyperlink" Target="https://doi.org/10.1163/156853907782418240" TargetMode="External"/><Relationship Id="rId109" Type="http://schemas.openxmlformats.org/officeDocument/2006/relationships/hyperlink" Target="https://doi.org/10.1071/zo9930507" TargetMode="External"/><Relationship Id="rId34" Type="http://schemas.openxmlformats.org/officeDocument/2006/relationships/hyperlink" Target="https://doi.org/10.2307/1383227" TargetMode="External"/><Relationship Id="rId50" Type="http://schemas.openxmlformats.org/officeDocument/2006/relationships/hyperlink" Target="https://doi.org/10.1071/WR9940065" TargetMode="External"/><Relationship Id="rId55" Type="http://schemas.openxmlformats.org/officeDocument/2006/relationships/hyperlink" Target="https://doi.org/10.1071/AM20012" TargetMode="External"/><Relationship Id="rId76" Type="http://schemas.openxmlformats.org/officeDocument/2006/relationships/hyperlink" Target="https://doi.org/10.2307/1948462" TargetMode="External"/><Relationship Id="rId97" Type="http://schemas.openxmlformats.org/officeDocument/2006/relationships/hyperlink" Target="https://doi.org/10.15517/rbt.v47i1-2.19075" TargetMode="External"/><Relationship Id="rId104" Type="http://schemas.openxmlformats.org/officeDocument/2006/relationships/hyperlink" Target="https://doi.org/10.1071/WR02012" TargetMode="External"/><Relationship Id="rId7" Type="http://schemas.openxmlformats.org/officeDocument/2006/relationships/hyperlink" Target="https://doi.org/10.1071/wr9790237" TargetMode="External"/><Relationship Id="rId71" Type="http://schemas.openxmlformats.org/officeDocument/2006/relationships/hyperlink" Target="https://doi.org/10.13057/biodiv/d200928" TargetMode="External"/><Relationship Id="rId92" Type="http://schemas.openxmlformats.org/officeDocument/2006/relationships/hyperlink" Target="https://doi.org/10.1515/mamm.2011.024" TargetMode="External"/><Relationship Id="rId2" Type="http://schemas.openxmlformats.org/officeDocument/2006/relationships/hyperlink" Target="https://doi.org/10.1071/WR9840423" TargetMode="External"/><Relationship Id="rId29" Type="http://schemas.openxmlformats.org/officeDocument/2006/relationships/hyperlink" Target="https://doi.org/10.1071/ZO9670029" TargetMode="External"/><Relationship Id="rId24" Type="http://schemas.openxmlformats.org/officeDocument/2006/relationships/hyperlink" Target="https://doi.org/10.1071/AM12020" TargetMode="External"/><Relationship Id="rId40" Type="http://schemas.openxmlformats.org/officeDocument/2006/relationships/hyperlink" Target="https://doi.org/10.1007/s00265-017-2297-1" TargetMode="External"/><Relationship Id="rId45" Type="http://schemas.openxmlformats.org/officeDocument/2006/relationships/hyperlink" Target="https://doi.org/10.1071/WR9930387" TargetMode="External"/><Relationship Id="rId66" Type="http://schemas.openxmlformats.org/officeDocument/2006/relationships/hyperlink" Target="https://doi.org/10.1071/zo9950519" TargetMode="External"/><Relationship Id="rId87" Type="http://schemas.openxmlformats.org/officeDocument/2006/relationships/hyperlink" Target="https://doi.org/10.1071/WR9890509" TargetMode="External"/><Relationship Id="rId110" Type="http://schemas.openxmlformats.org/officeDocument/2006/relationships/hyperlink" Target="https://doi.org/10.1371/journal.pone.0230216" TargetMode="External"/><Relationship Id="rId61" Type="http://schemas.openxmlformats.org/officeDocument/2006/relationships/hyperlink" Target="https://doi.org/10.1007/s002650050460" TargetMode="External"/><Relationship Id="rId82" Type="http://schemas.openxmlformats.org/officeDocument/2006/relationships/hyperlink" Target="https://doi.org/10.1071/WR9840481" TargetMode="External"/><Relationship Id="rId19" Type="http://schemas.openxmlformats.org/officeDocument/2006/relationships/hyperlink" Target="https://doi.org/10.1071/WR9850001" TargetMode="External"/><Relationship Id="rId14" Type="http://schemas.openxmlformats.org/officeDocument/2006/relationships/hyperlink" Target="https://doi.org/10.1071/ZO00084" TargetMode="External"/><Relationship Id="rId30" Type="http://schemas.openxmlformats.org/officeDocument/2006/relationships/hyperlink" Target="https://doi.org/10.1071/WR02112" TargetMode="External"/><Relationship Id="rId35" Type="http://schemas.openxmlformats.org/officeDocument/2006/relationships/hyperlink" Target="https://doi.org/10.1071/ZO07027" TargetMode="External"/><Relationship Id="rId56" Type="http://schemas.openxmlformats.org/officeDocument/2006/relationships/hyperlink" Target="https://doi.org/10.1093/beheco/art057" TargetMode="External"/><Relationship Id="rId77" Type="http://schemas.openxmlformats.org/officeDocument/2006/relationships/hyperlink" Target="https://doi.org/10.1071/wr9940189" TargetMode="External"/><Relationship Id="rId100" Type="http://schemas.openxmlformats.org/officeDocument/2006/relationships/hyperlink" Target="https://doi.org/10.1098/rsbl.2015.0307" TargetMode="External"/><Relationship Id="rId105" Type="http://schemas.openxmlformats.org/officeDocument/2006/relationships/hyperlink" Target="https://doi.org/10.1071/WR9960647" TargetMode="External"/><Relationship Id="rId8" Type="http://schemas.openxmlformats.org/officeDocument/2006/relationships/hyperlink" Target="https://doi.org/10.1071/WR01095" TargetMode="External"/><Relationship Id="rId51" Type="http://schemas.openxmlformats.org/officeDocument/2006/relationships/hyperlink" Target="https://doi.org/10.1071/WR97095" TargetMode="External"/><Relationship Id="rId72" Type="http://schemas.openxmlformats.org/officeDocument/2006/relationships/hyperlink" Target="https://doi.org/10.1111/j.1469-7998.2008.00508.x" TargetMode="External"/><Relationship Id="rId93" Type="http://schemas.openxmlformats.org/officeDocument/2006/relationships/hyperlink" Target="https://doi.org/10.1111/j.1469-7998.1992.tb04437.x" TargetMode="External"/><Relationship Id="rId98" Type="http://schemas.openxmlformats.org/officeDocument/2006/relationships/hyperlink" Target="https://doi.org/10.1515/mammalia-2017-0107" TargetMode="External"/><Relationship Id="rId3" Type="http://schemas.openxmlformats.org/officeDocument/2006/relationships/hyperlink" Target="https://doi.org/10.1071/WR96112" TargetMode="External"/><Relationship Id="rId25" Type="http://schemas.openxmlformats.org/officeDocument/2006/relationships/hyperlink" Target="https://doi.org/10.1006/anbe.2001.1686" TargetMode="External"/><Relationship Id="rId46" Type="http://schemas.openxmlformats.org/officeDocument/2006/relationships/hyperlink" Target="https://doi.org/10.1071/wr9950699" TargetMode="External"/><Relationship Id="rId67" Type="http://schemas.openxmlformats.org/officeDocument/2006/relationships/hyperlink" Target="https://doi.org/10.1071/WR9770109" TargetMode="External"/><Relationship Id="rId20" Type="http://schemas.openxmlformats.org/officeDocument/2006/relationships/hyperlink" Target="https://doi.org/10.1515/mamm.1991.55.2.169" TargetMode="External"/><Relationship Id="rId41" Type="http://schemas.openxmlformats.org/officeDocument/2006/relationships/hyperlink" Target="https://doi.org/10.1111/j.1442-9993.2007.01763.x" TargetMode="External"/><Relationship Id="rId62" Type="http://schemas.openxmlformats.org/officeDocument/2006/relationships/hyperlink" Target="https://doi.org/10.1006/anbe.1999.1119" TargetMode="External"/><Relationship Id="rId83" Type="http://schemas.openxmlformats.org/officeDocument/2006/relationships/hyperlink" Target="https://doi.org/10.1071/WR01089" TargetMode="External"/><Relationship Id="rId88" Type="http://schemas.openxmlformats.org/officeDocument/2006/relationships/hyperlink" Target="https://doi.org/10.1071/AM06007" TargetMode="External"/><Relationship Id="rId111" Type="http://schemas.openxmlformats.org/officeDocument/2006/relationships/hyperlink" Target="https://doi.org/10.1071/wr98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51C5F-8363-4072-BD84-CB8EE30A1DF2}">
  <dimension ref="A1:O189"/>
  <sheetViews>
    <sheetView tabSelected="1" zoomScale="105" workbookViewId="0">
      <pane ySplit="1" topLeftCell="A2" activePane="bottomLeft" state="frozen"/>
      <selection pane="bottomLeft" activeCell="A167" sqref="A167:XFD167"/>
    </sheetView>
  </sheetViews>
  <sheetFormatPr defaultColWidth="11.5546875" defaultRowHeight="14.4"/>
  <cols>
    <col min="1" max="1" width="22.88671875" style="5" customWidth="1"/>
    <col min="2" max="2" width="15.6640625" style="5" customWidth="1"/>
    <col min="3" max="3" width="11.77734375" style="5" customWidth="1"/>
    <col min="4" max="4" width="12.5546875" style="5" customWidth="1"/>
    <col min="5" max="5" width="8.88671875" style="5" customWidth="1"/>
    <col min="6" max="6" width="3.33203125" style="7" hidden="1" customWidth="1"/>
    <col min="7" max="7" width="1.21875" style="7" hidden="1" customWidth="1"/>
    <col min="8" max="8" width="8.44140625" style="5" customWidth="1"/>
    <col min="9" max="11" width="11.5546875" style="5"/>
    <col min="12" max="12" width="14.33203125" style="8" customWidth="1"/>
    <col min="13" max="16384" width="11.5546875" style="5"/>
  </cols>
  <sheetData>
    <row r="1" spans="1:12" s="4" customFormat="1" ht="18" customHeight="1">
      <c r="A1" s="1" t="s">
        <v>0</v>
      </c>
      <c r="B1" s="1" t="s">
        <v>318</v>
      </c>
      <c r="C1" s="1" t="s">
        <v>462</v>
      </c>
      <c r="D1" s="2" t="s">
        <v>459</v>
      </c>
      <c r="E1" s="2" t="s">
        <v>461</v>
      </c>
      <c r="F1" s="3" t="s">
        <v>5</v>
      </c>
      <c r="G1" s="3" t="s">
        <v>458</v>
      </c>
      <c r="H1" s="1" t="s">
        <v>317</v>
      </c>
      <c r="L1" s="9" t="s">
        <v>89</v>
      </c>
    </row>
    <row r="2" spans="1:12">
      <c r="A2" s="5" t="s">
        <v>6</v>
      </c>
      <c r="B2" s="5" t="s">
        <v>1</v>
      </c>
      <c r="C2" s="5">
        <v>1</v>
      </c>
      <c r="D2" s="5" t="s">
        <v>7</v>
      </c>
      <c r="E2" s="5" t="s">
        <v>337</v>
      </c>
      <c r="F2" s="7">
        <v>1</v>
      </c>
      <c r="G2" s="7">
        <f>(8+10)/2</f>
        <v>9</v>
      </c>
      <c r="H2" s="5" t="s">
        <v>8</v>
      </c>
      <c r="I2" s="21"/>
      <c r="J2" s="21"/>
      <c r="K2" s="21"/>
      <c r="L2" s="20"/>
    </row>
    <row r="3" spans="1:12" s="22" customFormat="1">
      <c r="A3" s="22" t="s">
        <v>386</v>
      </c>
      <c r="B3" s="22" t="s">
        <v>331</v>
      </c>
      <c r="C3" s="28">
        <v>1</v>
      </c>
      <c r="E3" s="28" t="s">
        <v>353</v>
      </c>
      <c r="F3" s="7">
        <v>1</v>
      </c>
      <c r="G3" s="7">
        <f>(8+10)/2</f>
        <v>9</v>
      </c>
      <c r="H3" s="22" t="s">
        <v>387</v>
      </c>
      <c r="I3" s="24"/>
      <c r="J3" s="24"/>
      <c r="K3" s="24"/>
      <c r="L3" s="25"/>
    </row>
    <row r="4" spans="1:12" s="22" customFormat="1">
      <c r="A4" s="22" t="s">
        <v>386</v>
      </c>
      <c r="B4" s="22" t="s">
        <v>331</v>
      </c>
      <c r="C4" s="28">
        <v>1</v>
      </c>
      <c r="E4" s="28" t="s">
        <v>337</v>
      </c>
      <c r="F4" s="7">
        <v>1</v>
      </c>
      <c r="G4" s="7">
        <f>(8+10)/2</f>
        <v>9</v>
      </c>
      <c r="H4" s="26" t="s">
        <v>388</v>
      </c>
      <c r="I4" s="24"/>
      <c r="J4" s="24"/>
      <c r="K4" s="24"/>
      <c r="L4" s="25"/>
    </row>
    <row r="5" spans="1:12" s="22" customFormat="1">
      <c r="A5" s="22" t="s">
        <v>396</v>
      </c>
      <c r="B5" s="22" t="s">
        <v>331</v>
      </c>
      <c r="C5" s="28">
        <v>1</v>
      </c>
      <c r="E5" s="28" t="s">
        <v>353</v>
      </c>
      <c r="F5" s="7">
        <v>1</v>
      </c>
      <c r="G5" s="7">
        <f>(8+21)/2</f>
        <v>14.5</v>
      </c>
      <c r="H5" s="22" t="s">
        <v>395</v>
      </c>
      <c r="I5" s="24"/>
      <c r="J5" s="24"/>
      <c r="K5" s="24"/>
      <c r="L5" s="25"/>
    </row>
    <row r="6" spans="1:12" s="35" customFormat="1">
      <c r="A6" s="35" t="s">
        <v>332</v>
      </c>
      <c r="B6" s="35" t="s">
        <v>1</v>
      </c>
      <c r="C6" s="35">
        <v>1</v>
      </c>
      <c r="D6" s="35" t="s">
        <v>103</v>
      </c>
      <c r="E6" s="35" t="s">
        <v>337</v>
      </c>
      <c r="F6" s="36">
        <v>1</v>
      </c>
      <c r="G6" s="36">
        <f>(15+43)/2</f>
        <v>29</v>
      </c>
      <c r="H6" s="35" t="s">
        <v>333</v>
      </c>
      <c r="I6" s="37"/>
      <c r="J6" s="37"/>
      <c r="K6" s="37"/>
      <c r="L6" s="38"/>
    </row>
    <row r="7" spans="1:12" s="22" customFormat="1">
      <c r="A7" s="22" t="s">
        <v>332</v>
      </c>
      <c r="B7" s="22" t="s">
        <v>331</v>
      </c>
      <c r="C7" s="28">
        <v>1</v>
      </c>
      <c r="E7" s="28" t="s">
        <v>353</v>
      </c>
      <c r="F7" s="7">
        <v>1</v>
      </c>
      <c r="G7" s="7">
        <f>(15+43)/2</f>
        <v>29</v>
      </c>
      <c r="H7" s="22" t="s">
        <v>397</v>
      </c>
      <c r="I7" s="24"/>
      <c r="J7" s="24"/>
      <c r="K7" s="24"/>
      <c r="L7" s="25"/>
    </row>
    <row r="8" spans="1:12" s="22" customFormat="1">
      <c r="A8" s="22" t="s">
        <v>332</v>
      </c>
      <c r="B8" s="22" t="s">
        <v>331</v>
      </c>
      <c r="C8" s="28">
        <v>1</v>
      </c>
      <c r="E8" s="28" t="s">
        <v>353</v>
      </c>
      <c r="F8" s="7">
        <v>1</v>
      </c>
      <c r="G8" s="7">
        <f>(15+43)/2</f>
        <v>29</v>
      </c>
      <c r="H8" s="22" t="s">
        <v>398</v>
      </c>
      <c r="I8" s="24"/>
      <c r="J8" s="24"/>
      <c r="K8" s="24"/>
      <c r="L8" s="25"/>
    </row>
    <row r="9" spans="1:12">
      <c r="A9" s="5" t="s">
        <v>10</v>
      </c>
      <c r="B9" s="5" t="s">
        <v>1</v>
      </c>
      <c r="C9" s="5">
        <v>1</v>
      </c>
      <c r="D9" s="5" t="s">
        <v>2</v>
      </c>
      <c r="E9" s="5" t="s">
        <v>353</v>
      </c>
      <c r="F9" s="7">
        <v>1</v>
      </c>
      <c r="G9" s="7">
        <f>(5.4+9.9+4.7+7.8)/4*1000</f>
        <v>6950</v>
      </c>
      <c r="H9" s="5" t="s">
        <v>125</v>
      </c>
      <c r="I9" s="21"/>
      <c r="J9" s="21"/>
      <c r="K9" s="21"/>
      <c r="L9" s="20"/>
    </row>
    <row r="10" spans="1:12">
      <c r="A10" s="5" t="s">
        <v>11</v>
      </c>
      <c r="B10" s="5" t="s">
        <v>1</v>
      </c>
      <c r="C10" s="5">
        <v>1</v>
      </c>
      <c r="D10" s="5" t="s">
        <v>2</v>
      </c>
      <c r="E10" s="5" t="s">
        <v>353</v>
      </c>
      <c r="F10" s="7">
        <v>1</v>
      </c>
      <c r="G10" s="7">
        <f>(7+10+8.4+10.5)/4*1000</f>
        <v>8975</v>
      </c>
      <c r="H10" s="5" t="s">
        <v>247</v>
      </c>
    </row>
    <row r="11" spans="1:12" s="22" customFormat="1">
      <c r="A11" s="22" t="s">
        <v>400</v>
      </c>
      <c r="B11" s="22" t="s">
        <v>331</v>
      </c>
      <c r="C11" s="28">
        <v>1</v>
      </c>
      <c r="E11" s="28" t="s">
        <v>353</v>
      </c>
      <c r="F11" s="7">
        <v>1</v>
      </c>
      <c r="G11" s="7">
        <f>(5.4+8.6)/2*1000</f>
        <v>7000</v>
      </c>
      <c r="H11" s="22" t="s">
        <v>399</v>
      </c>
    </row>
    <row r="12" spans="1:12" s="22" customFormat="1">
      <c r="A12" s="22" t="s">
        <v>402</v>
      </c>
      <c r="B12" s="22" t="s">
        <v>331</v>
      </c>
      <c r="C12" s="28">
        <v>1</v>
      </c>
      <c r="E12" s="28" t="s">
        <v>353</v>
      </c>
      <c r="F12" s="7">
        <v>1</v>
      </c>
      <c r="G12" s="7">
        <f>(360+680)/2</f>
        <v>520</v>
      </c>
      <c r="H12" s="22" t="s">
        <v>401</v>
      </c>
    </row>
    <row r="13" spans="1:12" s="28" customFormat="1">
      <c r="A13" s="28" t="s">
        <v>463</v>
      </c>
      <c r="B13" s="28" t="s">
        <v>331</v>
      </c>
      <c r="C13" s="28">
        <v>1</v>
      </c>
      <c r="D13" s="28" t="s">
        <v>372</v>
      </c>
      <c r="E13" s="28" t="s">
        <v>337</v>
      </c>
      <c r="F13" s="7"/>
      <c r="G13" s="7"/>
      <c r="H13" s="23" t="s">
        <v>464</v>
      </c>
    </row>
    <row r="14" spans="1:12" s="28" customFormat="1">
      <c r="A14" s="28" t="s">
        <v>405</v>
      </c>
      <c r="B14" s="28" t="s">
        <v>331</v>
      </c>
      <c r="C14" s="28">
        <v>1</v>
      </c>
      <c r="D14" s="28" t="s">
        <v>372</v>
      </c>
      <c r="E14" s="28" t="s">
        <v>337</v>
      </c>
      <c r="F14" s="7"/>
      <c r="G14" s="7"/>
      <c r="H14" s="23" t="s">
        <v>465</v>
      </c>
    </row>
    <row r="15" spans="1:12" s="22" customFormat="1">
      <c r="A15" s="22" t="s">
        <v>405</v>
      </c>
      <c r="B15" s="22" t="s">
        <v>331</v>
      </c>
      <c r="C15" s="28">
        <v>1</v>
      </c>
      <c r="E15" s="28" t="s">
        <v>337</v>
      </c>
      <c r="F15" s="7">
        <v>1</v>
      </c>
      <c r="G15" s="7">
        <f>(8.7+21+5.2+7.6)/4*1000</f>
        <v>10625</v>
      </c>
      <c r="H15" s="22" t="s">
        <v>383</v>
      </c>
    </row>
    <row r="16" spans="1:12" s="22" customFormat="1">
      <c r="A16" s="22" t="s">
        <v>406</v>
      </c>
      <c r="B16" s="22" t="s">
        <v>331</v>
      </c>
      <c r="C16" s="28">
        <v>2</v>
      </c>
      <c r="E16" s="28" t="s">
        <v>337</v>
      </c>
      <c r="F16" s="7">
        <v>1</v>
      </c>
      <c r="G16" s="7">
        <f>(6+10+4+6)/4*1000</f>
        <v>6500</v>
      </c>
      <c r="H16" s="22" t="s">
        <v>407</v>
      </c>
    </row>
    <row r="17" spans="1:8">
      <c r="A17" s="5" t="s">
        <v>14</v>
      </c>
      <c r="B17" s="5" t="s">
        <v>1</v>
      </c>
      <c r="C17" s="5">
        <v>1</v>
      </c>
      <c r="D17" s="5" t="s">
        <v>7</v>
      </c>
      <c r="E17" s="5" t="s">
        <v>337</v>
      </c>
      <c r="F17" s="7">
        <v>1</v>
      </c>
      <c r="G17" s="7">
        <f>(18+72+17+39)/4*1000</f>
        <v>36500</v>
      </c>
      <c r="H17" s="5" t="s">
        <v>15</v>
      </c>
    </row>
    <row r="18" spans="1:8">
      <c r="A18" s="5" t="s">
        <v>14</v>
      </c>
      <c r="B18" s="5" t="s">
        <v>1</v>
      </c>
      <c r="C18" s="5">
        <v>2</v>
      </c>
      <c r="D18" s="5" t="s">
        <v>13</v>
      </c>
      <c r="E18" s="5" t="s">
        <v>337</v>
      </c>
      <c r="F18" s="7">
        <v>1</v>
      </c>
      <c r="G18" s="7">
        <f>(18+72+17+39)/4*1000</f>
        <v>36500</v>
      </c>
      <c r="H18" s="5" t="s">
        <v>248</v>
      </c>
    </row>
    <row r="19" spans="1:8">
      <c r="A19" s="5" t="s">
        <v>14</v>
      </c>
      <c r="B19" s="5" t="s">
        <v>1</v>
      </c>
      <c r="C19" s="5">
        <v>2</v>
      </c>
      <c r="D19" s="5" t="s">
        <v>13</v>
      </c>
      <c r="E19" s="5" t="s">
        <v>337</v>
      </c>
      <c r="F19" s="7">
        <v>1</v>
      </c>
      <c r="G19" s="7">
        <f>(18+72+17+39)/4*1000</f>
        <v>36500</v>
      </c>
      <c r="H19" s="5" t="s">
        <v>248</v>
      </c>
    </row>
    <row r="20" spans="1:8">
      <c r="A20" s="5" t="s">
        <v>14</v>
      </c>
      <c r="B20" s="5" t="s">
        <v>1</v>
      </c>
      <c r="C20" s="5">
        <v>2</v>
      </c>
      <c r="D20" s="5" t="s">
        <v>16</v>
      </c>
      <c r="E20" s="5" t="s">
        <v>337</v>
      </c>
      <c r="F20" s="7">
        <v>1</v>
      </c>
      <c r="G20" s="7">
        <f>(18+72+17+39)/4*1000</f>
        <v>36500</v>
      </c>
      <c r="H20" s="5" t="s">
        <v>249</v>
      </c>
    </row>
    <row r="21" spans="1:8" s="22" customFormat="1">
      <c r="A21" s="22" t="s">
        <v>14</v>
      </c>
      <c r="B21" s="22" t="s">
        <v>331</v>
      </c>
      <c r="C21" s="28">
        <v>2</v>
      </c>
      <c r="E21" s="28" t="s">
        <v>337</v>
      </c>
      <c r="F21" s="7">
        <v>1</v>
      </c>
      <c r="G21" s="7">
        <f>(18+72+17+39)/4*1000</f>
        <v>36500</v>
      </c>
      <c r="H21" s="22" t="s">
        <v>408</v>
      </c>
    </row>
    <row r="22" spans="1:8" s="22" customFormat="1">
      <c r="A22" s="22" t="s">
        <v>14</v>
      </c>
      <c r="B22" s="22" t="s">
        <v>331</v>
      </c>
      <c r="C22" s="28">
        <v>3</v>
      </c>
      <c r="D22" s="22" t="s">
        <v>389</v>
      </c>
      <c r="E22" s="28" t="s">
        <v>337</v>
      </c>
      <c r="F22" s="7">
        <v>1</v>
      </c>
      <c r="G22" s="7">
        <f>(18+72+17+39)/4*1000</f>
        <v>36500</v>
      </c>
      <c r="H22" s="22" t="s">
        <v>409</v>
      </c>
    </row>
    <row r="23" spans="1:8" s="22" customFormat="1">
      <c r="A23" s="22" t="s">
        <v>14</v>
      </c>
      <c r="B23" s="22" t="s">
        <v>331</v>
      </c>
      <c r="C23" s="28">
        <v>2</v>
      </c>
      <c r="E23" s="28" t="s">
        <v>337</v>
      </c>
      <c r="F23" s="7">
        <v>1</v>
      </c>
      <c r="G23" s="7">
        <f>(18+72+17+39)/4*1000</f>
        <v>36500</v>
      </c>
      <c r="H23" s="22" t="s">
        <v>410</v>
      </c>
    </row>
    <row r="24" spans="1:8">
      <c r="A24" s="5" t="s">
        <v>17</v>
      </c>
      <c r="B24" s="5" t="s">
        <v>1</v>
      </c>
      <c r="C24" s="5">
        <v>1</v>
      </c>
      <c r="D24" s="5" t="s">
        <v>7</v>
      </c>
      <c r="E24" s="5" t="s">
        <v>337</v>
      </c>
      <c r="F24" s="7">
        <v>1</v>
      </c>
      <c r="G24" s="7">
        <f>(19+90+17+42)/4*1000</f>
        <v>42000</v>
      </c>
      <c r="H24" s="5" t="s">
        <v>12</v>
      </c>
    </row>
    <row r="25" spans="1:8">
      <c r="A25" s="5" t="s">
        <v>17</v>
      </c>
      <c r="B25" s="5" t="s">
        <v>1</v>
      </c>
      <c r="C25" s="5">
        <v>1</v>
      </c>
      <c r="D25" s="5" t="s">
        <v>7</v>
      </c>
      <c r="E25" s="5" t="s">
        <v>337</v>
      </c>
      <c r="F25" s="7">
        <v>1</v>
      </c>
      <c r="G25" s="7">
        <f>(19+90+17+42)/4*1000</f>
        <v>42000</v>
      </c>
      <c r="H25" s="5" t="s">
        <v>15</v>
      </c>
    </row>
    <row r="26" spans="1:8">
      <c r="A26" s="8" t="s">
        <v>17</v>
      </c>
      <c r="B26" s="8" t="s">
        <v>1</v>
      </c>
      <c r="C26" s="8">
        <v>2</v>
      </c>
      <c r="D26" s="8"/>
      <c r="E26" s="8" t="s">
        <v>337</v>
      </c>
      <c r="F26" s="7">
        <v>1</v>
      </c>
      <c r="G26" s="7">
        <f>(19+90+17+42)/4*1000</f>
        <v>42000</v>
      </c>
      <c r="H26" s="8" t="s">
        <v>251</v>
      </c>
    </row>
    <row r="27" spans="1:8">
      <c r="A27" s="5" t="s">
        <v>17</v>
      </c>
      <c r="B27" s="5" t="s">
        <v>1</v>
      </c>
      <c r="C27" s="5">
        <v>22</v>
      </c>
      <c r="D27" s="5" t="s">
        <v>7</v>
      </c>
      <c r="E27" s="5" t="s">
        <v>337</v>
      </c>
      <c r="F27" s="7">
        <v>1</v>
      </c>
      <c r="G27" s="7">
        <f>(19+90+17+42)/4*1000</f>
        <v>42000</v>
      </c>
      <c r="H27" s="5" t="s">
        <v>250</v>
      </c>
    </row>
    <row r="28" spans="1:8">
      <c r="A28" s="5" t="s">
        <v>17</v>
      </c>
      <c r="B28" s="5" t="s">
        <v>1</v>
      </c>
      <c r="C28" s="5">
        <v>2</v>
      </c>
      <c r="D28" s="5" t="s">
        <v>7</v>
      </c>
      <c r="E28" s="5" t="s">
        <v>337</v>
      </c>
      <c r="F28" s="7">
        <v>1</v>
      </c>
      <c r="G28" s="7">
        <f>(19+90+17+42)/4*1000</f>
        <v>42000</v>
      </c>
      <c r="H28" s="5" t="s">
        <v>252</v>
      </c>
    </row>
    <row r="29" spans="1:8">
      <c r="A29" s="5" t="s">
        <v>17</v>
      </c>
      <c r="B29" s="5" t="s">
        <v>1</v>
      </c>
      <c r="C29" s="5">
        <v>2</v>
      </c>
      <c r="D29" s="5" t="s">
        <v>7</v>
      </c>
      <c r="E29" s="5" t="s">
        <v>337</v>
      </c>
      <c r="F29" s="7">
        <v>1</v>
      </c>
      <c r="G29" s="7">
        <f>(19+90+17+42)/4*1000</f>
        <v>42000</v>
      </c>
      <c r="H29" s="5" t="s">
        <v>19</v>
      </c>
    </row>
    <row r="30" spans="1:8">
      <c r="A30" s="5" t="s">
        <v>17</v>
      </c>
      <c r="B30" s="5" t="s">
        <v>1</v>
      </c>
      <c r="C30" s="5">
        <v>2</v>
      </c>
      <c r="D30" s="5" t="s">
        <v>7</v>
      </c>
      <c r="E30" s="5" t="s">
        <v>337</v>
      </c>
      <c r="F30" s="7">
        <v>1</v>
      </c>
      <c r="G30" s="7">
        <f>(19+90+17+42)/4*1000</f>
        <v>42000</v>
      </c>
      <c r="H30" s="5" t="s">
        <v>253</v>
      </c>
    </row>
    <row r="31" spans="1:8">
      <c r="A31" s="5" t="s">
        <v>17</v>
      </c>
      <c r="B31" s="5" t="s">
        <v>1</v>
      </c>
      <c r="C31" s="5">
        <v>2</v>
      </c>
      <c r="D31" s="5" t="s">
        <v>7</v>
      </c>
      <c r="E31" s="5" t="s">
        <v>337</v>
      </c>
      <c r="F31" s="7">
        <v>1</v>
      </c>
      <c r="G31" s="7">
        <f>(19+90+17+42)/4*1000</f>
        <v>42000</v>
      </c>
      <c r="H31" s="5" t="s">
        <v>20</v>
      </c>
    </row>
    <row r="32" spans="1:8">
      <c r="A32" s="5" t="s">
        <v>17</v>
      </c>
      <c r="B32" s="5" t="s">
        <v>1</v>
      </c>
      <c r="C32" s="5">
        <v>2</v>
      </c>
      <c r="D32" s="5" t="s">
        <v>13</v>
      </c>
      <c r="E32" s="5" t="s">
        <v>337</v>
      </c>
      <c r="F32" s="7">
        <v>1</v>
      </c>
      <c r="G32" s="7">
        <f>(19+90+17+42)/4*1000</f>
        <v>42000</v>
      </c>
      <c r="H32" s="5" t="s">
        <v>254</v>
      </c>
    </row>
    <row r="33" spans="1:12">
      <c r="A33" s="8" t="s">
        <v>17</v>
      </c>
      <c r="B33" s="8" t="s">
        <v>1</v>
      </c>
      <c r="C33" s="8">
        <v>1</v>
      </c>
      <c r="D33" s="8"/>
      <c r="E33" s="5" t="s">
        <v>337</v>
      </c>
      <c r="F33" s="7">
        <v>1</v>
      </c>
      <c r="G33" s="7">
        <f>(19+90+17+42)/4*1000</f>
        <v>42000</v>
      </c>
      <c r="H33" s="8" t="s">
        <v>255</v>
      </c>
    </row>
    <row r="34" spans="1:12">
      <c r="A34" s="5" t="s">
        <v>17</v>
      </c>
      <c r="B34" s="5" t="s">
        <v>1</v>
      </c>
      <c r="C34" s="5">
        <v>2</v>
      </c>
      <c r="D34" s="5" t="s">
        <v>13</v>
      </c>
      <c r="E34" s="5" t="s">
        <v>337</v>
      </c>
      <c r="F34" s="7">
        <v>1</v>
      </c>
      <c r="G34" s="7">
        <f>(19+90+17+42)/4*1000</f>
        <v>42000</v>
      </c>
      <c r="H34" s="5" t="s">
        <v>256</v>
      </c>
    </row>
    <row r="35" spans="1:12">
      <c r="A35" s="5" t="s">
        <v>17</v>
      </c>
      <c r="B35" s="5" t="s">
        <v>1</v>
      </c>
      <c r="C35" s="5">
        <v>2</v>
      </c>
      <c r="D35" s="5" t="s">
        <v>13</v>
      </c>
      <c r="E35" s="5" t="s">
        <v>337</v>
      </c>
      <c r="F35" s="7">
        <v>1</v>
      </c>
      <c r="G35" s="7">
        <f>(19+90+17+42)/4*1000</f>
        <v>42000</v>
      </c>
      <c r="H35" s="5" t="s">
        <v>256</v>
      </c>
    </row>
    <row r="36" spans="1:12">
      <c r="A36" s="5" t="s">
        <v>17</v>
      </c>
      <c r="B36" s="5" t="s">
        <v>1</v>
      </c>
      <c r="C36" s="5">
        <v>2</v>
      </c>
      <c r="D36" s="5" t="s">
        <v>13</v>
      </c>
      <c r="E36" s="5" t="s">
        <v>337</v>
      </c>
      <c r="F36" s="7">
        <v>1</v>
      </c>
      <c r="G36" s="7">
        <f>(19+90+17+42)/4*1000</f>
        <v>42000</v>
      </c>
      <c r="H36" s="5" t="s">
        <v>256</v>
      </c>
    </row>
    <row r="37" spans="1:12">
      <c r="A37" s="5" t="s">
        <v>17</v>
      </c>
      <c r="B37" s="5" t="s">
        <v>1</v>
      </c>
      <c r="C37" s="5">
        <v>2</v>
      </c>
      <c r="D37" s="5" t="s">
        <v>13</v>
      </c>
      <c r="E37" s="5" t="s">
        <v>337</v>
      </c>
      <c r="F37" s="7">
        <v>1</v>
      </c>
      <c r="G37" s="7">
        <f>(19+90+17+42)/4*1000</f>
        <v>42000</v>
      </c>
      <c r="H37" s="5" t="s">
        <v>256</v>
      </c>
    </row>
    <row r="38" spans="1:12" s="10" customFormat="1">
      <c r="A38" s="10" t="s">
        <v>17</v>
      </c>
      <c r="B38" s="10" t="s">
        <v>1</v>
      </c>
      <c r="C38" s="10">
        <v>2</v>
      </c>
      <c r="D38" s="10" t="s">
        <v>13</v>
      </c>
      <c r="E38" s="10" t="s">
        <v>337</v>
      </c>
      <c r="F38" s="39">
        <v>1</v>
      </c>
      <c r="G38" s="39">
        <f>(19+90+17+42)/4*1000</f>
        <v>42000</v>
      </c>
      <c r="H38" s="10" t="s">
        <v>256</v>
      </c>
    </row>
    <row r="39" spans="1:12" s="10" customFormat="1">
      <c r="A39" s="10" t="s">
        <v>17</v>
      </c>
      <c r="B39" s="10" t="s">
        <v>1</v>
      </c>
      <c r="C39" s="10">
        <v>2</v>
      </c>
      <c r="D39" s="10" t="s">
        <v>372</v>
      </c>
      <c r="E39" s="10" t="s">
        <v>337</v>
      </c>
      <c r="F39" s="39">
        <v>1</v>
      </c>
      <c r="G39" s="39">
        <f>(19+90+17+42)/4*1000</f>
        <v>42000</v>
      </c>
      <c r="H39" s="10" t="s">
        <v>31</v>
      </c>
    </row>
    <row r="40" spans="1:12" s="10" customFormat="1">
      <c r="A40" s="10" t="s">
        <v>17</v>
      </c>
      <c r="B40" s="10" t="s">
        <v>1</v>
      </c>
      <c r="C40" s="10">
        <v>2</v>
      </c>
      <c r="D40" s="10" t="s">
        <v>372</v>
      </c>
      <c r="E40" s="10" t="s">
        <v>337</v>
      </c>
      <c r="F40" s="39">
        <v>1</v>
      </c>
      <c r="G40" s="39">
        <f>(19+90+17+42)/4*1000</f>
        <v>42000</v>
      </c>
      <c r="H40" s="10" t="s">
        <v>31</v>
      </c>
    </row>
    <row r="41" spans="1:12" s="28" customFormat="1">
      <c r="A41" s="28" t="s">
        <v>315</v>
      </c>
      <c r="B41" s="28" t="s">
        <v>331</v>
      </c>
      <c r="C41" s="28">
        <v>2</v>
      </c>
      <c r="E41" s="28" t="s">
        <v>337</v>
      </c>
      <c r="F41" s="29">
        <v>1</v>
      </c>
      <c r="G41" s="29">
        <f>(19+90+17+42)/4*1000</f>
        <v>42000</v>
      </c>
      <c r="H41" s="28" t="s">
        <v>412</v>
      </c>
    </row>
    <row r="42" spans="1:12" s="28" customFormat="1">
      <c r="A42" s="28" t="s">
        <v>315</v>
      </c>
      <c r="B42" s="28" t="s">
        <v>331</v>
      </c>
      <c r="C42" s="28">
        <v>2</v>
      </c>
      <c r="E42" s="28" t="s">
        <v>337</v>
      </c>
      <c r="F42" s="29">
        <v>1</v>
      </c>
      <c r="G42" s="29">
        <f>(19+90+17+42)/4*1000</f>
        <v>42000</v>
      </c>
      <c r="H42" s="28" t="s">
        <v>413</v>
      </c>
    </row>
    <row r="43" spans="1:12" s="28" customFormat="1">
      <c r="A43" s="28" t="s">
        <v>315</v>
      </c>
      <c r="B43" s="28" t="s">
        <v>331</v>
      </c>
      <c r="C43" s="28">
        <v>1</v>
      </c>
      <c r="E43" s="28" t="s">
        <v>337</v>
      </c>
      <c r="F43" s="29">
        <v>1</v>
      </c>
      <c r="G43" s="29">
        <f>(19+90+17+42)/4*1000</f>
        <v>42000</v>
      </c>
      <c r="H43" s="28" t="s">
        <v>416</v>
      </c>
    </row>
    <row r="44" spans="1:12" s="28" customFormat="1">
      <c r="A44" s="28" t="s">
        <v>315</v>
      </c>
      <c r="B44" s="28" t="s">
        <v>331</v>
      </c>
      <c r="C44" s="28">
        <v>1</v>
      </c>
      <c r="E44" s="28" t="s">
        <v>337</v>
      </c>
      <c r="F44" s="29">
        <v>1</v>
      </c>
      <c r="G44" s="29">
        <f>(19+90+17+42)/4*1000</f>
        <v>42000</v>
      </c>
      <c r="H44" s="28" t="s">
        <v>417</v>
      </c>
    </row>
    <row r="45" spans="1:12">
      <c r="A45" s="5" t="s">
        <v>34</v>
      </c>
      <c r="B45" s="5" t="s">
        <v>1</v>
      </c>
      <c r="C45" s="5">
        <v>1</v>
      </c>
      <c r="D45" s="5" t="s">
        <v>35</v>
      </c>
      <c r="E45" s="5" t="s">
        <v>429</v>
      </c>
      <c r="F45" s="7">
        <v>1</v>
      </c>
      <c r="G45" s="7">
        <f>(4.1+5.9+3.2+4.8)/4*1000</f>
        <v>4500</v>
      </c>
      <c r="H45" s="5" t="s">
        <v>36</v>
      </c>
    </row>
    <row r="46" spans="1:12">
      <c r="A46" s="5" t="s">
        <v>37</v>
      </c>
      <c r="B46" s="5" t="s">
        <v>1</v>
      </c>
      <c r="C46" s="5">
        <v>1</v>
      </c>
      <c r="D46" s="5" t="s">
        <v>7</v>
      </c>
      <c r="E46" s="5" t="s">
        <v>337</v>
      </c>
      <c r="F46" s="7">
        <v>1</v>
      </c>
      <c r="G46" s="7">
        <f>(14+26+7+15)/4*1000</f>
        <v>15500</v>
      </c>
      <c r="H46" s="5" t="s">
        <v>12</v>
      </c>
    </row>
    <row r="47" spans="1:12">
      <c r="A47" s="8" t="s">
        <v>38</v>
      </c>
      <c r="B47" s="8" t="s">
        <v>1</v>
      </c>
      <c r="C47" s="8">
        <v>1</v>
      </c>
      <c r="D47" s="8" t="s">
        <v>372</v>
      </c>
      <c r="E47" s="8" t="s">
        <v>353</v>
      </c>
      <c r="F47" s="7">
        <v>1</v>
      </c>
      <c r="G47" s="7">
        <f>(60+28)/2*1000</f>
        <v>44000</v>
      </c>
      <c r="H47" s="8" t="s">
        <v>258</v>
      </c>
      <c r="I47" s="21"/>
      <c r="J47" s="21"/>
      <c r="K47" s="21"/>
      <c r="L47" s="18"/>
    </row>
    <row r="48" spans="1:12">
      <c r="A48" s="8" t="s">
        <v>38</v>
      </c>
      <c r="B48" s="8" t="s">
        <v>1</v>
      </c>
      <c r="C48" s="8">
        <v>2</v>
      </c>
      <c r="D48" s="8" t="s">
        <v>372</v>
      </c>
      <c r="E48" s="8" t="s">
        <v>353</v>
      </c>
      <c r="F48" s="7">
        <v>1</v>
      </c>
      <c r="G48" s="7">
        <f>(60+28)/2*1000</f>
        <v>44000</v>
      </c>
      <c r="H48" s="8" t="s">
        <v>31</v>
      </c>
      <c r="I48" s="21"/>
      <c r="J48" s="21"/>
      <c r="K48" s="21"/>
      <c r="L48" s="17"/>
    </row>
    <row r="49" spans="1:12">
      <c r="A49" s="8" t="s">
        <v>38</v>
      </c>
      <c r="B49" s="8" t="s">
        <v>1</v>
      </c>
      <c r="C49" s="8">
        <v>2</v>
      </c>
      <c r="D49" s="8" t="s">
        <v>372</v>
      </c>
      <c r="E49" s="8" t="s">
        <v>353</v>
      </c>
      <c r="F49" s="7">
        <v>1</v>
      </c>
      <c r="G49" s="7">
        <f>(60+28)/2*1000</f>
        <v>44000</v>
      </c>
      <c r="H49" s="8" t="s">
        <v>31</v>
      </c>
    </row>
    <row r="50" spans="1:12">
      <c r="A50" s="8" t="s">
        <v>38</v>
      </c>
      <c r="B50" s="8" t="s">
        <v>1</v>
      </c>
      <c r="C50" s="8">
        <v>3</v>
      </c>
      <c r="D50" s="8" t="s">
        <v>372</v>
      </c>
      <c r="E50" s="8" t="s">
        <v>353</v>
      </c>
      <c r="F50" s="7">
        <v>1</v>
      </c>
      <c r="G50" s="7">
        <f>(60+28)/2*1000</f>
        <v>44000</v>
      </c>
      <c r="H50" s="8" t="s">
        <v>39</v>
      </c>
    </row>
    <row r="51" spans="1:12" s="28" customFormat="1">
      <c r="A51" s="28" t="s">
        <v>38</v>
      </c>
      <c r="B51" s="28" t="s">
        <v>331</v>
      </c>
      <c r="C51" s="28">
        <v>1</v>
      </c>
      <c r="D51" s="28" t="s">
        <v>450</v>
      </c>
      <c r="E51" s="28" t="s">
        <v>353</v>
      </c>
      <c r="F51" s="29">
        <v>1</v>
      </c>
      <c r="G51" s="29">
        <f>(60+28)/2*1000</f>
        <v>44000</v>
      </c>
      <c r="H51" s="28" t="s">
        <v>12</v>
      </c>
      <c r="I51" s="32"/>
      <c r="J51" s="32"/>
      <c r="K51" s="32"/>
      <c r="L51" s="33"/>
    </row>
    <row r="52" spans="1:12" s="28" customFormat="1">
      <c r="A52" s="28" t="s">
        <v>38</v>
      </c>
      <c r="B52" s="28" t="s">
        <v>331</v>
      </c>
      <c r="C52" s="28">
        <v>3</v>
      </c>
      <c r="D52" s="28" t="s">
        <v>372</v>
      </c>
      <c r="E52" s="28" t="s">
        <v>353</v>
      </c>
      <c r="F52" s="29"/>
      <c r="G52" s="29"/>
      <c r="H52" s="28" t="s">
        <v>464</v>
      </c>
      <c r="I52" s="32"/>
      <c r="J52" s="32"/>
      <c r="K52" s="32"/>
      <c r="L52" s="33"/>
    </row>
    <row r="53" spans="1:12" s="28" customFormat="1">
      <c r="A53" s="28" t="s">
        <v>424</v>
      </c>
      <c r="B53" s="28" t="s">
        <v>331</v>
      </c>
      <c r="C53" s="28">
        <v>2</v>
      </c>
      <c r="D53" s="28" t="s">
        <v>372</v>
      </c>
      <c r="E53" s="28" t="s">
        <v>353</v>
      </c>
      <c r="F53" s="29">
        <v>1</v>
      </c>
      <c r="G53" s="29">
        <f>(15+26.8+11+15.5)/4*1000</f>
        <v>17075</v>
      </c>
      <c r="H53" s="28" t="s">
        <v>411</v>
      </c>
    </row>
    <row r="54" spans="1:12" s="28" customFormat="1">
      <c r="A54" s="28" t="s">
        <v>424</v>
      </c>
      <c r="B54" s="28" t="s">
        <v>331</v>
      </c>
      <c r="C54" s="28">
        <v>1</v>
      </c>
      <c r="D54" s="28" t="s">
        <v>372</v>
      </c>
      <c r="E54" s="29" t="s">
        <v>353</v>
      </c>
      <c r="F54" s="29"/>
      <c r="G54" s="29"/>
      <c r="H54" s="23" t="s">
        <v>467</v>
      </c>
    </row>
    <row r="55" spans="1:12" s="28" customFormat="1">
      <c r="A55" s="28" t="s">
        <v>424</v>
      </c>
      <c r="B55" s="28" t="s">
        <v>331</v>
      </c>
      <c r="C55" s="28">
        <v>2</v>
      </c>
      <c r="D55" s="28" t="s">
        <v>372</v>
      </c>
      <c r="E55" s="29" t="s">
        <v>353</v>
      </c>
      <c r="F55" s="29"/>
      <c r="G55" s="29"/>
      <c r="H55" s="23" t="s">
        <v>468</v>
      </c>
    </row>
    <row r="56" spans="1:12">
      <c r="A56" s="5" t="s">
        <v>40</v>
      </c>
      <c r="B56" s="5" t="s">
        <v>1</v>
      </c>
      <c r="C56" s="5">
        <v>2</v>
      </c>
      <c r="D56" s="5" t="s">
        <v>7</v>
      </c>
      <c r="E56" s="5" t="s">
        <v>337</v>
      </c>
      <c r="F56" s="7">
        <v>1</v>
      </c>
      <c r="G56" s="7">
        <f>(22+92+17+39)/4*1000</f>
        <v>42500</v>
      </c>
      <c r="H56" s="5" t="s">
        <v>259</v>
      </c>
    </row>
    <row r="57" spans="1:12">
      <c r="A57" s="5" t="s">
        <v>40</v>
      </c>
      <c r="B57" s="5" t="s">
        <v>1</v>
      </c>
      <c r="C57" s="5">
        <v>2</v>
      </c>
      <c r="D57" s="5" t="s">
        <v>41</v>
      </c>
      <c r="E57" s="5" t="s">
        <v>337</v>
      </c>
      <c r="F57" s="7">
        <v>1</v>
      </c>
      <c r="G57" s="7">
        <f>(22+92+17+39)/4*1000</f>
        <v>42500</v>
      </c>
      <c r="H57" s="5" t="s">
        <v>42</v>
      </c>
    </row>
    <row r="58" spans="1:12">
      <c r="A58" s="5" t="s">
        <v>43</v>
      </c>
      <c r="B58" s="5" t="s">
        <v>1</v>
      </c>
      <c r="C58" s="5">
        <v>2</v>
      </c>
      <c r="D58" s="5" t="s">
        <v>2</v>
      </c>
      <c r="E58" s="5" t="s">
        <v>353</v>
      </c>
      <c r="F58" s="7">
        <v>1</v>
      </c>
      <c r="G58" s="7">
        <f>(2.8+8.3+1.8+5)/4*1000</f>
        <v>4475.0000000000009</v>
      </c>
      <c r="H58" s="5" t="s">
        <v>470</v>
      </c>
    </row>
    <row r="59" spans="1:12" s="8" customFormat="1">
      <c r="A59" s="8" t="s">
        <v>45</v>
      </c>
      <c r="B59" s="8" t="s">
        <v>1</v>
      </c>
      <c r="C59" s="8">
        <v>1</v>
      </c>
      <c r="D59" s="8" t="s">
        <v>44</v>
      </c>
      <c r="E59" s="31" t="s">
        <v>429</v>
      </c>
      <c r="F59" s="31">
        <v>1</v>
      </c>
      <c r="G59" s="31">
        <f>(3.2+5.9+3.1+5.4)/4*1000</f>
        <v>4400</v>
      </c>
      <c r="H59" s="8" t="s">
        <v>47</v>
      </c>
    </row>
    <row r="60" spans="1:12" s="8" customFormat="1">
      <c r="A60" s="8" t="s">
        <v>45</v>
      </c>
      <c r="B60" s="8" t="s">
        <v>1</v>
      </c>
      <c r="C60" s="8">
        <v>1</v>
      </c>
      <c r="D60" s="8" t="s">
        <v>35</v>
      </c>
      <c r="E60" s="31" t="s">
        <v>429</v>
      </c>
      <c r="F60" s="31">
        <v>1</v>
      </c>
      <c r="G60" s="31">
        <f>(3.2+5.9+3.1+5.4)/4*1000</f>
        <v>4400</v>
      </c>
      <c r="H60" s="8" t="s">
        <v>260</v>
      </c>
    </row>
    <row r="61" spans="1:12" s="8" customFormat="1">
      <c r="A61" s="8" t="s">
        <v>45</v>
      </c>
      <c r="B61" s="8" t="s">
        <v>1</v>
      </c>
      <c r="C61" s="8">
        <v>1</v>
      </c>
      <c r="D61" s="8" t="s">
        <v>35</v>
      </c>
      <c r="E61" s="31" t="s">
        <v>429</v>
      </c>
      <c r="F61" s="31">
        <v>1</v>
      </c>
      <c r="G61" s="31">
        <f>(3.2+5.9+3.1+5.4)/4*1000</f>
        <v>4400</v>
      </c>
      <c r="H61" s="8" t="s">
        <v>261</v>
      </c>
    </row>
    <row r="62" spans="1:12" s="8" customFormat="1">
      <c r="A62" s="8" t="s">
        <v>48</v>
      </c>
      <c r="B62" s="8" t="s">
        <v>1</v>
      </c>
      <c r="C62" s="8">
        <v>1</v>
      </c>
      <c r="D62" s="8" t="s">
        <v>35</v>
      </c>
      <c r="E62" s="31" t="s">
        <v>429</v>
      </c>
      <c r="F62" s="31">
        <v>1</v>
      </c>
      <c r="G62" s="31">
        <f>(3.3+6+2.9+5)/4*1000</f>
        <v>4300.0000000000009</v>
      </c>
      <c r="H62" s="8" t="s">
        <v>262</v>
      </c>
    </row>
    <row r="63" spans="1:12" s="28" customFormat="1">
      <c r="A63" s="28" t="s">
        <v>427</v>
      </c>
      <c r="B63" s="28" t="s">
        <v>331</v>
      </c>
      <c r="C63" s="28">
        <v>1</v>
      </c>
      <c r="E63" s="28" t="s">
        <v>337</v>
      </c>
      <c r="F63" s="29">
        <v>1</v>
      </c>
      <c r="G63" s="29">
        <f>(68+160+60+135)/4</f>
        <v>105.75</v>
      </c>
      <c r="H63" s="28" t="s">
        <v>426</v>
      </c>
    </row>
    <row r="64" spans="1:12" s="28" customFormat="1">
      <c r="A64" s="28" t="s">
        <v>428</v>
      </c>
      <c r="B64" s="28" t="s">
        <v>331</v>
      </c>
      <c r="C64" s="28">
        <v>1</v>
      </c>
      <c r="D64" s="28" t="s">
        <v>355</v>
      </c>
      <c r="E64" s="28" t="s">
        <v>429</v>
      </c>
      <c r="F64" s="29">
        <v>1</v>
      </c>
      <c r="G64" s="29">
        <f>(337+500+310+454)/4</f>
        <v>400.25</v>
      </c>
      <c r="H64" s="28" t="s">
        <v>430</v>
      </c>
    </row>
    <row r="65" spans="1:8" s="8" customFormat="1">
      <c r="A65" s="8" t="s">
        <v>49</v>
      </c>
      <c r="B65" s="8" t="s">
        <v>1</v>
      </c>
      <c r="C65" s="8">
        <v>3</v>
      </c>
      <c r="D65" s="8" t="s">
        <v>29</v>
      </c>
      <c r="E65" s="8" t="s">
        <v>337</v>
      </c>
      <c r="F65" s="31">
        <v>1</v>
      </c>
      <c r="G65" s="31">
        <f>(4.4+10.9+4.2+8.2)/4*1000</f>
        <v>6925</v>
      </c>
      <c r="H65" s="8" t="s">
        <v>263</v>
      </c>
    </row>
    <row r="66" spans="1:8" s="8" customFormat="1">
      <c r="A66" s="8" t="s">
        <v>49</v>
      </c>
      <c r="B66" s="8" t="s">
        <v>1</v>
      </c>
      <c r="C66" s="8">
        <v>1</v>
      </c>
      <c r="D66" s="8" t="s">
        <v>7</v>
      </c>
      <c r="E66" s="8" t="s">
        <v>337</v>
      </c>
      <c r="F66" s="31">
        <v>1</v>
      </c>
      <c r="G66" s="31">
        <f>(4.4+10.9+4.2+8.2)/4*1000</f>
        <v>6925</v>
      </c>
      <c r="H66" s="8" t="s">
        <v>264</v>
      </c>
    </row>
    <row r="67" spans="1:8" s="8" customFormat="1">
      <c r="A67" s="8" t="s">
        <v>50</v>
      </c>
      <c r="B67" s="8" t="s">
        <v>1</v>
      </c>
      <c r="C67" s="8">
        <v>2</v>
      </c>
      <c r="D67" s="8" t="s">
        <v>7</v>
      </c>
      <c r="E67" s="8" t="s">
        <v>337</v>
      </c>
      <c r="F67" s="31">
        <v>1</v>
      </c>
      <c r="G67" s="31">
        <f>(6+12)/2*1000</f>
        <v>9000</v>
      </c>
      <c r="H67" s="8" t="s">
        <v>265</v>
      </c>
    </row>
    <row r="68" spans="1:8" s="8" customFormat="1">
      <c r="A68" s="8" t="s">
        <v>320</v>
      </c>
      <c r="B68" s="8" t="s">
        <v>1</v>
      </c>
      <c r="C68" s="8">
        <v>1</v>
      </c>
      <c r="E68" s="8" t="s">
        <v>353</v>
      </c>
      <c r="F68" s="31">
        <v>1</v>
      </c>
      <c r="G68" s="31">
        <f>(4.2+12.9+4.1+11)/4*1000</f>
        <v>8050.0000000000009</v>
      </c>
      <c r="H68" s="8" t="s">
        <v>384</v>
      </c>
    </row>
    <row r="69" spans="1:8" s="8" customFormat="1">
      <c r="A69" s="8" t="s">
        <v>51</v>
      </c>
      <c r="B69" s="8" t="s">
        <v>1</v>
      </c>
      <c r="C69" s="8">
        <v>1</v>
      </c>
      <c r="D69" s="8" t="s">
        <v>7</v>
      </c>
      <c r="E69" s="8" t="s">
        <v>337</v>
      </c>
      <c r="F69" s="31">
        <v>1</v>
      </c>
      <c r="G69" s="31">
        <f>(2.7+4.2+1.6+3.5)/4*1000</f>
        <v>3000</v>
      </c>
      <c r="H69" s="8" t="s">
        <v>266</v>
      </c>
    </row>
    <row r="70" spans="1:8" s="8" customFormat="1">
      <c r="A70" s="8" t="s">
        <v>51</v>
      </c>
      <c r="B70" s="8" t="s">
        <v>1</v>
      </c>
      <c r="C70" s="8">
        <v>2</v>
      </c>
      <c r="D70" s="8" t="s">
        <v>7</v>
      </c>
      <c r="E70" s="8" t="s">
        <v>337</v>
      </c>
      <c r="F70" s="31">
        <v>1</v>
      </c>
      <c r="G70" s="31">
        <f>(2.7+4.2+1.6+3.5)/4*1000</f>
        <v>3000</v>
      </c>
      <c r="H70" s="8" t="s">
        <v>52</v>
      </c>
    </row>
    <row r="71" spans="1:8" s="28" customFormat="1">
      <c r="A71" s="28" t="s">
        <v>51</v>
      </c>
      <c r="B71" s="28" t="s">
        <v>331</v>
      </c>
      <c r="C71" s="28">
        <v>1</v>
      </c>
      <c r="E71" s="28" t="s">
        <v>337</v>
      </c>
      <c r="F71" s="29">
        <v>1</v>
      </c>
      <c r="G71" s="29">
        <f>(2.7+4.2+1.6+3.5)/4*1000</f>
        <v>3000</v>
      </c>
      <c r="H71" s="28" t="s">
        <v>385</v>
      </c>
    </row>
    <row r="72" spans="1:8" s="8" customFormat="1">
      <c r="A72" s="8" t="s">
        <v>53</v>
      </c>
      <c r="B72" s="8" t="s">
        <v>1</v>
      </c>
      <c r="C72" s="8">
        <v>1</v>
      </c>
      <c r="D72" s="8" t="s">
        <v>27</v>
      </c>
      <c r="E72" s="8" t="s">
        <v>337</v>
      </c>
      <c r="F72" s="31">
        <v>1</v>
      </c>
      <c r="G72" s="31">
        <f>(3.7+6.8+2.5+4.2)/4*1000</f>
        <v>4300</v>
      </c>
      <c r="H72" s="8" t="s">
        <v>267</v>
      </c>
    </row>
    <row r="73" spans="1:8" s="8" customFormat="1">
      <c r="A73" s="8" t="s">
        <v>54</v>
      </c>
      <c r="B73" s="8" t="s">
        <v>1</v>
      </c>
      <c r="C73" s="8">
        <v>1</v>
      </c>
      <c r="D73" s="8" t="s">
        <v>35</v>
      </c>
      <c r="E73" s="8" t="s">
        <v>429</v>
      </c>
      <c r="F73" s="31">
        <v>1</v>
      </c>
      <c r="G73" s="31">
        <f>(100+170)/2</f>
        <v>135</v>
      </c>
      <c r="H73" s="8" t="s">
        <v>268</v>
      </c>
    </row>
    <row r="74" spans="1:8" s="8" customFormat="1">
      <c r="A74" s="8" t="s">
        <v>56</v>
      </c>
      <c r="B74" s="8" t="s">
        <v>1</v>
      </c>
      <c r="C74" s="8">
        <v>1</v>
      </c>
      <c r="D74" s="8" t="s">
        <v>55</v>
      </c>
      <c r="E74" s="8" t="s">
        <v>429</v>
      </c>
      <c r="F74" s="31">
        <v>1</v>
      </c>
      <c r="G74" s="31">
        <f>(470+725+435+660)/4</f>
        <v>572.5</v>
      </c>
      <c r="H74" s="8" t="s">
        <v>269</v>
      </c>
    </row>
    <row r="75" spans="1:8" s="8" customFormat="1">
      <c r="A75" s="8" t="s">
        <v>56</v>
      </c>
      <c r="B75" s="8" t="s">
        <v>1</v>
      </c>
      <c r="C75" s="8">
        <v>1</v>
      </c>
      <c r="D75" s="8" t="s">
        <v>35</v>
      </c>
      <c r="E75" s="8" t="s">
        <v>429</v>
      </c>
      <c r="F75" s="31">
        <v>1</v>
      </c>
      <c r="G75" s="31">
        <f>(470+725+435+660)/4</f>
        <v>572.5</v>
      </c>
      <c r="H75" s="8" t="s">
        <v>57</v>
      </c>
    </row>
    <row r="76" spans="1:8" s="8" customFormat="1">
      <c r="A76" s="8" t="s">
        <v>56</v>
      </c>
      <c r="B76" s="8" t="s">
        <v>1</v>
      </c>
      <c r="C76" s="8">
        <v>1</v>
      </c>
      <c r="D76" s="8" t="s">
        <v>27</v>
      </c>
      <c r="E76" s="8" t="s">
        <v>337</v>
      </c>
      <c r="F76" s="31">
        <v>1</v>
      </c>
      <c r="G76" s="31">
        <f>(470+725+435+660)/4</f>
        <v>572.5</v>
      </c>
      <c r="H76" s="8" t="s">
        <v>126</v>
      </c>
    </row>
    <row r="77" spans="1:8" s="8" customFormat="1">
      <c r="A77" s="8" t="s">
        <v>56</v>
      </c>
      <c r="B77" s="8" t="s">
        <v>1</v>
      </c>
      <c r="C77" s="8">
        <v>1</v>
      </c>
      <c r="D77" s="8" t="s">
        <v>35</v>
      </c>
      <c r="E77" s="8" t="s">
        <v>429</v>
      </c>
      <c r="F77" s="31">
        <v>1</v>
      </c>
      <c r="G77" s="31">
        <f>(470+725+435+660)/4</f>
        <v>572.5</v>
      </c>
      <c r="H77" s="8" t="s">
        <v>270</v>
      </c>
    </row>
    <row r="78" spans="1:8" s="8" customFormat="1">
      <c r="A78" s="8" t="s">
        <v>56</v>
      </c>
      <c r="B78" s="8" t="s">
        <v>1</v>
      </c>
      <c r="C78" s="8">
        <v>1</v>
      </c>
      <c r="D78" s="8" t="s">
        <v>55</v>
      </c>
      <c r="E78" s="8" t="s">
        <v>429</v>
      </c>
      <c r="F78" s="31">
        <v>1</v>
      </c>
      <c r="G78" s="31">
        <f>(470+725+435+660)/4</f>
        <v>572.5</v>
      </c>
      <c r="H78" s="8" t="s">
        <v>271</v>
      </c>
    </row>
    <row r="79" spans="1:8" s="8" customFormat="1">
      <c r="A79" s="8" t="s">
        <v>58</v>
      </c>
      <c r="B79" s="8" t="s">
        <v>1</v>
      </c>
      <c r="C79" s="8">
        <v>1</v>
      </c>
      <c r="D79" s="8" t="s">
        <v>29</v>
      </c>
      <c r="E79" s="8" t="s">
        <v>337</v>
      </c>
      <c r="F79" s="31">
        <v>1</v>
      </c>
      <c r="G79" s="31">
        <f>(68+160+60+135)/4</f>
        <v>105.75</v>
      </c>
      <c r="H79" s="8" t="s">
        <v>59</v>
      </c>
    </row>
    <row r="80" spans="1:8" s="8" customFormat="1">
      <c r="A80" s="8" t="s">
        <v>58</v>
      </c>
      <c r="B80" s="8" t="s">
        <v>1</v>
      </c>
      <c r="C80" s="8">
        <v>1</v>
      </c>
      <c r="D80" s="8" t="s">
        <v>35</v>
      </c>
      <c r="E80" s="8" t="s">
        <v>429</v>
      </c>
      <c r="F80" s="31">
        <v>1</v>
      </c>
      <c r="G80" s="31">
        <f>(68+160+60+135)/4</f>
        <v>105.75</v>
      </c>
      <c r="H80" s="8" t="s">
        <v>60</v>
      </c>
    </row>
    <row r="81" spans="1:15" s="8" customFormat="1">
      <c r="A81" s="8" t="s">
        <v>61</v>
      </c>
      <c r="B81" s="8" t="s">
        <v>1</v>
      </c>
      <c r="C81" s="8">
        <v>1</v>
      </c>
      <c r="D81" s="8" t="s">
        <v>35</v>
      </c>
      <c r="E81" s="8" t="s">
        <v>429</v>
      </c>
      <c r="F81" s="31">
        <v>1</v>
      </c>
      <c r="G81" s="31">
        <f>(337+500+310+454)/4</f>
        <v>400.25</v>
      </c>
      <c r="H81" s="8" t="s">
        <v>62</v>
      </c>
    </row>
    <row r="82" spans="1:15" s="8" customFormat="1">
      <c r="A82" s="8" t="s">
        <v>63</v>
      </c>
      <c r="B82" s="8" t="s">
        <v>1</v>
      </c>
      <c r="C82" s="8">
        <v>1</v>
      </c>
      <c r="D82" s="8" t="s">
        <v>25</v>
      </c>
      <c r="E82" s="8" t="s">
        <v>337</v>
      </c>
      <c r="F82" s="31">
        <v>1</v>
      </c>
      <c r="G82" s="31">
        <f>(173+300)/2</f>
        <v>236.5</v>
      </c>
      <c r="H82" s="8" t="s">
        <v>59</v>
      </c>
    </row>
    <row r="83" spans="1:15" s="8" customFormat="1">
      <c r="A83" s="8" t="s">
        <v>63</v>
      </c>
      <c r="B83" s="8" t="s">
        <v>1</v>
      </c>
      <c r="C83" s="8">
        <v>1</v>
      </c>
      <c r="D83" s="8" t="s">
        <v>64</v>
      </c>
      <c r="E83" s="8" t="s">
        <v>429</v>
      </c>
      <c r="F83" s="31">
        <v>1</v>
      </c>
      <c r="G83" s="31">
        <f>(173+300)/2</f>
        <v>236.5</v>
      </c>
      <c r="H83" s="8" t="s">
        <v>272</v>
      </c>
    </row>
    <row r="84" spans="1:15" s="8" customFormat="1">
      <c r="A84" s="8" t="s">
        <v>63</v>
      </c>
      <c r="B84" s="8" t="s">
        <v>1</v>
      </c>
      <c r="C84" s="8">
        <v>1</v>
      </c>
      <c r="D84" s="8" t="s">
        <v>35</v>
      </c>
      <c r="E84" s="8" t="s">
        <v>429</v>
      </c>
      <c r="F84" s="31">
        <v>1</v>
      </c>
      <c r="G84" s="31">
        <f>(173+300)/2</f>
        <v>236.5</v>
      </c>
      <c r="H84" s="8" t="s">
        <v>273</v>
      </c>
    </row>
    <row r="85" spans="1:15">
      <c r="A85" s="5" t="s">
        <v>63</v>
      </c>
      <c r="B85" s="5" t="s">
        <v>1</v>
      </c>
      <c r="C85" s="5">
        <v>1</v>
      </c>
      <c r="D85" s="5" t="s">
        <v>7</v>
      </c>
      <c r="E85" s="5" t="s">
        <v>337</v>
      </c>
      <c r="F85" s="7">
        <v>1</v>
      </c>
      <c r="G85" s="7">
        <f>(173+300)/2</f>
        <v>236.5</v>
      </c>
      <c r="H85" s="5" t="s">
        <v>65</v>
      </c>
    </row>
    <row r="86" spans="1:15" s="28" customFormat="1">
      <c r="A86" s="28" t="s">
        <v>431</v>
      </c>
      <c r="B86" s="28" t="s">
        <v>331</v>
      </c>
      <c r="C86" s="28">
        <v>1</v>
      </c>
      <c r="E86" s="28" t="s">
        <v>337</v>
      </c>
      <c r="F86" s="29">
        <v>1</v>
      </c>
      <c r="G86" s="29">
        <f>(173+300)/2</f>
        <v>236.5</v>
      </c>
      <c r="H86" s="28" t="s">
        <v>432</v>
      </c>
      <c r="J86" s="27"/>
      <c r="K86" s="27"/>
      <c r="L86" s="27"/>
      <c r="M86" s="27"/>
      <c r="N86" s="27"/>
      <c r="O86" s="27"/>
    </row>
    <row r="87" spans="1:15" s="28" customFormat="1">
      <c r="A87" s="28" t="s">
        <v>49</v>
      </c>
      <c r="B87" s="28" t="s">
        <v>331</v>
      </c>
      <c r="C87" s="28">
        <v>2</v>
      </c>
      <c r="D87" s="28" t="s">
        <v>433</v>
      </c>
      <c r="E87" s="28" t="s">
        <v>337</v>
      </c>
      <c r="F87" s="29">
        <v>1</v>
      </c>
      <c r="G87" s="29">
        <f>(4.4+10.9+4.2+8.2)/4*1000</f>
        <v>6925</v>
      </c>
      <c r="H87" s="28" t="s">
        <v>434</v>
      </c>
    </row>
    <row r="88" spans="1:15" s="28" customFormat="1">
      <c r="A88" s="28" t="s">
        <v>49</v>
      </c>
      <c r="B88" s="28" t="s">
        <v>331</v>
      </c>
      <c r="C88" s="28">
        <v>2</v>
      </c>
      <c r="E88" s="28" t="s">
        <v>337</v>
      </c>
      <c r="F88" s="29">
        <v>1</v>
      </c>
      <c r="G88" s="29">
        <f>(4.4+10.9+4.2+8.2)/4*1000</f>
        <v>6925</v>
      </c>
      <c r="H88" s="28" t="s">
        <v>435</v>
      </c>
    </row>
    <row r="89" spans="1:15" s="28" customFormat="1">
      <c r="A89" s="28" t="s">
        <v>49</v>
      </c>
      <c r="B89" s="28" t="s">
        <v>331</v>
      </c>
      <c r="C89" s="28">
        <v>2</v>
      </c>
      <c r="E89" s="28" t="s">
        <v>337</v>
      </c>
      <c r="F89" s="29">
        <v>1</v>
      </c>
      <c r="G89" s="29">
        <f>(4.4+10.9+4.2+8.2)/4*1000</f>
        <v>6925</v>
      </c>
      <c r="H89" s="28" t="s">
        <v>411</v>
      </c>
    </row>
    <row r="90" spans="1:15" s="28" customFormat="1">
      <c r="A90" s="28" t="s">
        <v>50</v>
      </c>
      <c r="B90" s="28" t="s">
        <v>331</v>
      </c>
      <c r="C90" s="28">
        <v>1</v>
      </c>
      <c r="E90" s="28" t="s">
        <v>337</v>
      </c>
      <c r="F90" s="29">
        <v>1</v>
      </c>
      <c r="G90" s="29">
        <f>(6+11+6+12)/4*1000</f>
        <v>8750</v>
      </c>
      <c r="H90" s="28" t="s">
        <v>436</v>
      </c>
    </row>
    <row r="91" spans="1:15">
      <c r="A91" s="8" t="s">
        <v>67</v>
      </c>
      <c r="B91" s="8" t="s">
        <v>1</v>
      </c>
      <c r="C91" s="8">
        <v>1</v>
      </c>
      <c r="D91" s="8" t="s">
        <v>35</v>
      </c>
      <c r="E91" s="8" t="s">
        <v>429</v>
      </c>
      <c r="F91" s="7">
        <v>1</v>
      </c>
      <c r="G91" s="7">
        <f>(5+8)/2*1000</f>
        <v>6500</v>
      </c>
      <c r="H91" s="8" t="s">
        <v>275</v>
      </c>
    </row>
    <row r="92" spans="1:15" s="28" customFormat="1">
      <c r="A92" s="28" t="s">
        <v>67</v>
      </c>
      <c r="B92" s="28" t="s">
        <v>331</v>
      </c>
      <c r="C92" s="28">
        <v>1</v>
      </c>
      <c r="D92" s="28" t="s">
        <v>390</v>
      </c>
      <c r="E92" s="28" t="s">
        <v>337</v>
      </c>
      <c r="F92" s="29">
        <v>1</v>
      </c>
      <c r="G92" s="29">
        <f>(5+8)/2*1000</f>
        <v>6500</v>
      </c>
      <c r="H92" s="28" t="s">
        <v>391</v>
      </c>
    </row>
    <row r="93" spans="1:15" s="28" customFormat="1">
      <c r="A93" s="28" t="s">
        <v>439</v>
      </c>
      <c r="B93" s="28" t="s">
        <v>331</v>
      </c>
      <c r="C93" s="28">
        <v>1</v>
      </c>
      <c r="E93" s="28" t="s">
        <v>353</v>
      </c>
      <c r="F93" s="29">
        <v>1</v>
      </c>
      <c r="G93" s="29">
        <f>(2.5+9.1+1.8+4.3)/4*1000</f>
        <v>4425</v>
      </c>
      <c r="H93" s="28" t="s">
        <v>419</v>
      </c>
    </row>
    <row r="94" spans="1:15" s="28" customFormat="1">
      <c r="A94" s="28" t="s">
        <v>439</v>
      </c>
      <c r="B94" s="28" t="s">
        <v>331</v>
      </c>
      <c r="C94" s="28">
        <v>1</v>
      </c>
      <c r="E94" s="28" t="s">
        <v>353</v>
      </c>
      <c r="F94" s="29">
        <v>1</v>
      </c>
      <c r="G94" s="29">
        <f>(2.5+9.1+1.8+4.3)/4*1000</f>
        <v>4425</v>
      </c>
      <c r="H94" s="28" t="s">
        <v>446</v>
      </c>
    </row>
    <row r="95" spans="1:15" s="8" customFormat="1">
      <c r="A95" s="8" t="s">
        <v>68</v>
      </c>
      <c r="B95" s="8" t="s">
        <v>1</v>
      </c>
      <c r="C95" s="8">
        <v>1</v>
      </c>
      <c r="D95" s="8" t="s">
        <v>35</v>
      </c>
      <c r="E95" s="8" t="s">
        <v>429</v>
      </c>
      <c r="F95" s="31">
        <v>1</v>
      </c>
      <c r="G95" s="31">
        <f>(2.5+4.5)/2*1000</f>
        <v>3500</v>
      </c>
      <c r="H95" s="8" t="s">
        <v>69</v>
      </c>
    </row>
    <row r="96" spans="1:15" s="8" customFormat="1">
      <c r="A96" s="8" t="s">
        <v>68</v>
      </c>
      <c r="B96" s="8" t="s">
        <v>1</v>
      </c>
      <c r="C96" s="8">
        <v>1</v>
      </c>
      <c r="D96" s="8" t="s">
        <v>35</v>
      </c>
      <c r="E96" s="8" t="s">
        <v>429</v>
      </c>
      <c r="F96" s="31">
        <v>1</v>
      </c>
      <c r="G96" s="31">
        <f>(2.5+4.5)/2*1000</f>
        <v>3500</v>
      </c>
      <c r="H96" s="8" t="s">
        <v>276</v>
      </c>
    </row>
    <row r="97" spans="1:9" s="40" customFormat="1">
      <c r="A97" s="8" t="s">
        <v>70</v>
      </c>
      <c r="B97" s="8" t="s">
        <v>1</v>
      </c>
      <c r="C97" s="8">
        <v>1</v>
      </c>
      <c r="D97" s="8" t="s">
        <v>35</v>
      </c>
      <c r="E97" s="8" t="s">
        <v>429</v>
      </c>
      <c r="F97" s="31">
        <v>1</v>
      </c>
      <c r="G97" s="31">
        <f>(2.6+4.2)/2*1000</f>
        <v>3400.0000000000005</v>
      </c>
      <c r="H97" s="8" t="s">
        <v>277</v>
      </c>
    </row>
    <row r="98" spans="1:9" s="40" customFormat="1">
      <c r="A98" s="8" t="s">
        <v>70</v>
      </c>
      <c r="B98" s="8" t="s">
        <v>1</v>
      </c>
      <c r="C98" s="8">
        <v>1</v>
      </c>
      <c r="D98" s="8" t="s">
        <v>71</v>
      </c>
      <c r="E98" s="8" t="s">
        <v>429</v>
      </c>
      <c r="F98" s="31">
        <v>1</v>
      </c>
      <c r="G98" s="31">
        <f>(2.6+4.2)/2*1000</f>
        <v>3400.0000000000005</v>
      </c>
      <c r="H98" s="8" t="s">
        <v>278</v>
      </c>
    </row>
    <row r="99" spans="1:9" s="8" customFormat="1">
      <c r="A99" s="8" t="s">
        <v>70</v>
      </c>
      <c r="B99" s="8" t="s">
        <v>1</v>
      </c>
      <c r="C99" s="8">
        <v>1</v>
      </c>
      <c r="D99" s="8" t="s">
        <v>27</v>
      </c>
      <c r="E99" s="8" t="s">
        <v>337</v>
      </c>
      <c r="F99" s="31">
        <v>1</v>
      </c>
      <c r="G99" s="31">
        <f>(2.6+4.2)/2*1000</f>
        <v>3400.0000000000005</v>
      </c>
      <c r="H99" s="8" t="s">
        <v>279</v>
      </c>
    </row>
    <row r="100" spans="1:9" s="28" customFormat="1">
      <c r="A100" s="28" t="s">
        <v>70</v>
      </c>
      <c r="B100" s="28" t="s">
        <v>331</v>
      </c>
      <c r="C100" s="28">
        <v>1</v>
      </c>
      <c r="E100" s="28" t="s">
        <v>429</v>
      </c>
      <c r="F100" s="29">
        <v>1</v>
      </c>
      <c r="G100" s="29">
        <f>(2.6+4.2)/2*1000</f>
        <v>3400.0000000000005</v>
      </c>
      <c r="H100" s="28" t="s">
        <v>440</v>
      </c>
    </row>
    <row r="101" spans="1:9" s="8" customFormat="1">
      <c r="A101" s="8" t="s">
        <v>72</v>
      </c>
      <c r="B101" s="8" t="s">
        <v>1</v>
      </c>
      <c r="C101" s="8">
        <v>1</v>
      </c>
      <c r="D101" s="8" t="s">
        <v>27</v>
      </c>
      <c r="E101" s="8" t="s">
        <v>337</v>
      </c>
      <c r="F101" s="31">
        <v>1</v>
      </c>
      <c r="G101" s="31">
        <f>(1.2+4.5)*1000</f>
        <v>5700</v>
      </c>
      <c r="H101" s="8" t="s">
        <v>73</v>
      </c>
    </row>
    <row r="102" spans="1:9" s="28" customFormat="1">
      <c r="A102" s="28" t="s">
        <v>453</v>
      </c>
      <c r="B102" s="28" t="s">
        <v>331</v>
      </c>
      <c r="C102" s="28">
        <v>1</v>
      </c>
      <c r="D102" s="28" t="s">
        <v>353</v>
      </c>
      <c r="E102" s="28" t="s">
        <v>353</v>
      </c>
      <c r="F102" s="28">
        <v>1</v>
      </c>
      <c r="G102" s="28">
        <f>(22+40)/2*1000</f>
        <v>31000</v>
      </c>
      <c r="H102" s="28" t="s">
        <v>454</v>
      </c>
      <c r="I102" s="29"/>
    </row>
    <row r="103" spans="1:9" s="28" customFormat="1">
      <c r="A103" s="28" t="s">
        <v>442</v>
      </c>
      <c r="B103" s="28" t="s">
        <v>331</v>
      </c>
      <c r="C103" s="28">
        <v>1</v>
      </c>
      <c r="E103" s="28" t="s">
        <v>353</v>
      </c>
      <c r="F103" s="29">
        <v>1</v>
      </c>
      <c r="G103" s="29">
        <f>(12.3+20.5+10.3+15.4)/4*1000</f>
        <v>14624.999999999998</v>
      </c>
      <c r="H103" s="28" t="s">
        <v>411</v>
      </c>
    </row>
    <row r="104" spans="1:9" s="28" customFormat="1">
      <c r="A104" s="28" t="s">
        <v>442</v>
      </c>
      <c r="B104" s="28" t="s">
        <v>331</v>
      </c>
      <c r="C104" s="28">
        <v>1</v>
      </c>
      <c r="E104" s="28" t="s">
        <v>353</v>
      </c>
      <c r="F104" s="29">
        <v>1</v>
      </c>
      <c r="G104" s="29">
        <f>(12.3+20.5+10.3+15.4)/4*1000</f>
        <v>14624.999999999998</v>
      </c>
      <c r="H104" s="28" t="s">
        <v>443</v>
      </c>
    </row>
    <row r="105" spans="1:9" s="8" customFormat="1">
      <c r="A105" s="8" t="s">
        <v>74</v>
      </c>
      <c r="B105" s="8" t="s">
        <v>1</v>
      </c>
      <c r="C105" s="8">
        <v>1</v>
      </c>
      <c r="D105" s="8" t="s">
        <v>2</v>
      </c>
      <c r="E105" s="8" t="s">
        <v>353</v>
      </c>
      <c r="F105" s="31">
        <v>1</v>
      </c>
      <c r="G105" s="31">
        <f>(0.9+2)/2*1000</f>
        <v>1450</v>
      </c>
      <c r="H105" s="8" t="s">
        <v>75</v>
      </c>
    </row>
    <row r="106" spans="1:9" s="8" customFormat="1">
      <c r="A106" s="8" t="s">
        <v>76</v>
      </c>
      <c r="B106" s="8" t="s">
        <v>1</v>
      </c>
      <c r="C106" s="8">
        <v>1</v>
      </c>
      <c r="D106" s="8" t="s">
        <v>35</v>
      </c>
      <c r="E106" s="8" t="s">
        <v>429</v>
      </c>
      <c r="F106" s="31">
        <v>1</v>
      </c>
      <c r="G106" s="31">
        <f>(1.6+2.2)/2*1000</f>
        <v>1900.0000000000002</v>
      </c>
      <c r="H106" s="8" t="s">
        <v>280</v>
      </c>
    </row>
    <row r="107" spans="1:9" s="8" customFormat="1">
      <c r="A107" s="8" t="s">
        <v>77</v>
      </c>
      <c r="B107" s="8" t="s">
        <v>1</v>
      </c>
      <c r="C107" s="8">
        <v>1</v>
      </c>
      <c r="D107" s="8" t="s">
        <v>55</v>
      </c>
      <c r="E107" s="8" t="s">
        <v>337</v>
      </c>
      <c r="F107" s="31">
        <v>1</v>
      </c>
      <c r="G107" s="31">
        <f>(0.66+1.7)/2*1000</f>
        <v>1180</v>
      </c>
      <c r="H107" s="8" t="s">
        <v>78</v>
      </c>
    </row>
    <row r="108" spans="1:9" s="22" customFormat="1">
      <c r="A108" s="22" t="s">
        <v>437</v>
      </c>
      <c r="B108" s="22" t="s">
        <v>331</v>
      </c>
      <c r="C108" s="28">
        <v>1</v>
      </c>
      <c r="E108" s="28" t="s">
        <v>353</v>
      </c>
      <c r="F108" s="7">
        <v>1</v>
      </c>
      <c r="G108" s="7">
        <f>(0.66+1.7)/2*1000</f>
        <v>1180</v>
      </c>
      <c r="H108" s="22" t="s">
        <v>438</v>
      </c>
    </row>
    <row r="109" spans="1:9" s="8" customFormat="1">
      <c r="A109" s="8" t="s">
        <v>476</v>
      </c>
      <c r="B109" s="8" t="s">
        <v>1</v>
      </c>
      <c r="C109" s="8">
        <v>1</v>
      </c>
      <c r="D109" s="8" t="s">
        <v>18</v>
      </c>
      <c r="E109" s="8" t="s">
        <v>353</v>
      </c>
      <c r="F109" s="31">
        <v>1</v>
      </c>
      <c r="G109" s="31">
        <f>(1.9+3+1.3+3)/4*1000</f>
        <v>2300</v>
      </c>
      <c r="H109" s="8" t="s">
        <v>281</v>
      </c>
    </row>
    <row r="110" spans="1:9" s="8" customFormat="1">
      <c r="A110" s="8" t="s">
        <v>79</v>
      </c>
      <c r="B110" s="8" t="s">
        <v>1</v>
      </c>
      <c r="C110" s="8">
        <v>2</v>
      </c>
      <c r="D110" s="8" t="s">
        <v>2</v>
      </c>
      <c r="E110" s="8" t="s">
        <v>353</v>
      </c>
      <c r="F110" s="31">
        <v>1</v>
      </c>
      <c r="G110" s="31">
        <f>(0.68+1)/2*1000</f>
        <v>840.00000000000011</v>
      </c>
      <c r="H110" s="40" t="s">
        <v>282</v>
      </c>
    </row>
    <row r="111" spans="1:9" s="8" customFormat="1">
      <c r="A111" s="8" t="s">
        <v>80</v>
      </c>
      <c r="B111" s="8" t="s">
        <v>1</v>
      </c>
      <c r="C111" s="8">
        <v>1</v>
      </c>
      <c r="D111" s="8" t="s">
        <v>35</v>
      </c>
      <c r="E111" s="8" t="s">
        <v>429</v>
      </c>
      <c r="F111" s="31">
        <v>1</v>
      </c>
      <c r="G111" s="31">
        <f>(0.9+1.4)/2*1000</f>
        <v>1150</v>
      </c>
      <c r="H111" s="8" t="s">
        <v>283</v>
      </c>
    </row>
    <row r="112" spans="1:9" s="28" customFormat="1">
      <c r="A112" s="28" t="s">
        <v>393</v>
      </c>
      <c r="B112" s="28" t="s">
        <v>331</v>
      </c>
      <c r="C112" s="28">
        <v>1</v>
      </c>
      <c r="E112" s="28" t="s">
        <v>353</v>
      </c>
      <c r="F112" s="29">
        <v>1</v>
      </c>
      <c r="G112" s="29">
        <f>(0.9+1.4)/2*1000</f>
        <v>1150</v>
      </c>
      <c r="H112" s="28" t="s">
        <v>394</v>
      </c>
    </row>
    <row r="113" spans="1:12" s="8" customFormat="1">
      <c r="A113" s="8" t="s">
        <v>81</v>
      </c>
      <c r="B113" s="8" t="s">
        <v>1</v>
      </c>
      <c r="C113" s="8">
        <v>1</v>
      </c>
      <c r="D113" s="8" t="s">
        <v>2</v>
      </c>
      <c r="E113" s="8" t="s">
        <v>353</v>
      </c>
      <c r="F113" s="31">
        <v>1</v>
      </c>
      <c r="G113" s="31">
        <f>(0.9+1.7)/2*1000</f>
        <v>1300</v>
      </c>
      <c r="H113" s="8" t="s">
        <v>284</v>
      </c>
    </row>
    <row r="114" spans="1:12" s="8" customFormat="1">
      <c r="A114" s="8" t="s">
        <v>81</v>
      </c>
      <c r="B114" s="8" t="s">
        <v>1</v>
      </c>
      <c r="C114" s="8">
        <v>1</v>
      </c>
      <c r="D114" s="8" t="s">
        <v>2</v>
      </c>
      <c r="E114" s="8" t="s">
        <v>353</v>
      </c>
      <c r="F114" s="31">
        <v>1</v>
      </c>
      <c r="G114" s="31">
        <f>(0.9+1.7)/2*1000</f>
        <v>1300</v>
      </c>
      <c r="H114" s="8" t="s">
        <v>285</v>
      </c>
    </row>
    <row r="115" spans="1:12" s="8" customFormat="1">
      <c r="A115" s="8" t="s">
        <v>82</v>
      </c>
      <c r="B115" s="8" t="s">
        <v>1</v>
      </c>
      <c r="C115" s="8">
        <v>2</v>
      </c>
      <c r="D115" s="8" t="s">
        <v>55</v>
      </c>
      <c r="E115" s="8" t="s">
        <v>429</v>
      </c>
      <c r="F115" s="31">
        <v>1</v>
      </c>
      <c r="G115" s="31">
        <f>(1.3+2)/2*1000</f>
        <v>1650</v>
      </c>
      <c r="H115" s="40" t="s">
        <v>286</v>
      </c>
    </row>
    <row r="116" spans="1:12">
      <c r="A116" s="5" t="s">
        <v>84</v>
      </c>
      <c r="B116" s="5" t="s">
        <v>1</v>
      </c>
      <c r="C116" s="5">
        <v>2</v>
      </c>
      <c r="D116" s="5" t="s">
        <v>85</v>
      </c>
      <c r="E116" s="5" t="s">
        <v>429</v>
      </c>
      <c r="F116" s="7">
        <v>1</v>
      </c>
      <c r="G116" s="7">
        <f>(0.8+1.1)/2*1000</f>
        <v>950.00000000000011</v>
      </c>
      <c r="H116" s="5" t="s">
        <v>288</v>
      </c>
      <c r="L116" s="5"/>
    </row>
    <row r="117" spans="1:12" s="8" customFormat="1">
      <c r="A117" s="8" t="s">
        <v>86</v>
      </c>
      <c r="B117" s="8" t="s">
        <v>1</v>
      </c>
      <c r="C117" s="8">
        <v>1</v>
      </c>
      <c r="D117" s="8" t="s">
        <v>30</v>
      </c>
      <c r="E117" s="8" t="s">
        <v>337</v>
      </c>
      <c r="F117" s="31">
        <v>1</v>
      </c>
      <c r="G117" s="31">
        <f>(31+31.9)/2*1000</f>
        <v>31450</v>
      </c>
      <c r="H117" s="8" t="s">
        <v>289</v>
      </c>
    </row>
    <row r="118" spans="1:12" s="28" customFormat="1">
      <c r="A118" s="28" t="s">
        <v>86</v>
      </c>
      <c r="B118" s="28" t="s">
        <v>331</v>
      </c>
      <c r="C118" s="28">
        <v>2</v>
      </c>
      <c r="E118" s="28" t="s">
        <v>353</v>
      </c>
      <c r="F118" s="29">
        <v>1</v>
      </c>
      <c r="G118" s="29">
        <f>(31+31.9)/2*1000</f>
        <v>31450</v>
      </c>
      <c r="H118" s="28" t="s">
        <v>403</v>
      </c>
    </row>
    <row r="119" spans="1:12" s="28" customFormat="1">
      <c r="A119" s="28" t="s">
        <v>87</v>
      </c>
      <c r="B119" s="28" t="s">
        <v>331</v>
      </c>
      <c r="C119" s="28">
        <v>1</v>
      </c>
      <c r="E119" s="28" t="s">
        <v>353</v>
      </c>
      <c r="F119" s="29">
        <v>1</v>
      </c>
      <c r="G119" s="29">
        <f>(17.5+36)/2*1000</f>
        <v>26750</v>
      </c>
      <c r="H119" s="28" t="s">
        <v>404</v>
      </c>
    </row>
    <row r="120" spans="1:12">
      <c r="A120" s="14" t="s">
        <v>320</v>
      </c>
      <c r="B120" s="8" t="s">
        <v>1</v>
      </c>
      <c r="C120" s="8">
        <v>1</v>
      </c>
      <c r="D120" s="8" t="s">
        <v>9</v>
      </c>
      <c r="E120" s="8" t="s">
        <v>353</v>
      </c>
      <c r="F120" s="7">
        <v>1</v>
      </c>
      <c r="G120" s="7">
        <f>(4.2+12.9+4.1+11)/4*1000</f>
        <v>8050.0000000000009</v>
      </c>
      <c r="H120" s="8" t="s">
        <v>321</v>
      </c>
      <c r="L120" s="5"/>
    </row>
    <row r="121" spans="1:12" s="28" customFormat="1">
      <c r="A121" s="28" t="s">
        <v>336</v>
      </c>
      <c r="B121" s="28" t="s">
        <v>331</v>
      </c>
      <c r="C121" s="28">
        <v>1</v>
      </c>
      <c r="E121" s="28" t="s">
        <v>337</v>
      </c>
      <c r="F121" s="29">
        <v>1</v>
      </c>
      <c r="G121" s="29">
        <f>(20+40+16+25)/4</f>
        <v>25.25</v>
      </c>
      <c r="H121" s="28" t="s">
        <v>338</v>
      </c>
    </row>
    <row r="122" spans="1:12" s="28" customFormat="1">
      <c r="A122" s="28" t="s">
        <v>336</v>
      </c>
      <c r="B122" s="28" t="s">
        <v>331</v>
      </c>
      <c r="C122" s="28">
        <v>1</v>
      </c>
      <c r="E122" s="28" t="s">
        <v>337</v>
      </c>
      <c r="F122" s="29">
        <v>1</v>
      </c>
      <c r="G122" s="29">
        <f>(20+40+16+25)/4</f>
        <v>25.25</v>
      </c>
      <c r="H122" s="28" t="s">
        <v>340</v>
      </c>
    </row>
    <row r="123" spans="1:12" s="22" customFormat="1">
      <c r="A123" s="23" t="s">
        <v>341</v>
      </c>
      <c r="B123" s="23" t="s">
        <v>331</v>
      </c>
      <c r="C123" s="23">
        <v>1</v>
      </c>
      <c r="D123" s="23"/>
      <c r="E123" s="23" t="s">
        <v>337</v>
      </c>
      <c r="F123" s="7">
        <v>1</v>
      </c>
      <c r="G123" s="7">
        <f>(28.1+67+28.9+40.1)/4</f>
        <v>41.024999999999999</v>
      </c>
      <c r="H123" s="23" t="s">
        <v>342</v>
      </c>
    </row>
    <row r="124" spans="1:12" s="22" customFormat="1">
      <c r="A124" s="23" t="s">
        <v>341</v>
      </c>
      <c r="B124" s="23" t="s">
        <v>331</v>
      </c>
      <c r="C124" s="23">
        <v>1</v>
      </c>
      <c r="D124" s="23"/>
      <c r="E124" s="23" t="s">
        <v>337</v>
      </c>
      <c r="F124" s="7">
        <v>1</v>
      </c>
      <c r="G124" s="7">
        <f>(28.1+67+28.9+40.1)/4</f>
        <v>41.024999999999999</v>
      </c>
      <c r="H124" s="23" t="s">
        <v>343</v>
      </c>
    </row>
    <row r="125" spans="1:12" s="8" customFormat="1">
      <c r="A125" s="14" t="s">
        <v>90</v>
      </c>
      <c r="B125" s="8" t="s">
        <v>1</v>
      </c>
      <c r="C125" s="8">
        <v>1</v>
      </c>
      <c r="D125" s="8" t="s">
        <v>99</v>
      </c>
      <c r="E125" s="8" t="s">
        <v>337</v>
      </c>
      <c r="F125" s="31">
        <v>1</v>
      </c>
      <c r="G125" s="31">
        <f>(30+20)/2</f>
        <v>25</v>
      </c>
      <c r="H125" s="8" t="s">
        <v>127</v>
      </c>
    </row>
    <row r="126" spans="1:12" s="28" customFormat="1">
      <c r="A126" s="28" t="s">
        <v>344</v>
      </c>
      <c r="B126" s="28" t="s">
        <v>331</v>
      </c>
      <c r="C126" s="28">
        <v>1</v>
      </c>
      <c r="E126" s="28" t="s">
        <v>337</v>
      </c>
      <c r="F126" s="29">
        <v>1</v>
      </c>
      <c r="G126" s="29">
        <f>(50+129+36+68)/4</f>
        <v>70.75</v>
      </c>
      <c r="H126" s="28" t="s">
        <v>345</v>
      </c>
    </row>
    <row r="127" spans="1:12" s="28" customFormat="1">
      <c r="A127" s="28" t="s">
        <v>344</v>
      </c>
      <c r="B127" s="28" t="s">
        <v>331</v>
      </c>
      <c r="C127" s="28">
        <v>1</v>
      </c>
      <c r="E127" s="28" t="s">
        <v>337</v>
      </c>
      <c r="F127" s="29">
        <v>1</v>
      </c>
      <c r="G127" s="29">
        <f>(50+129+36+68)/4</f>
        <v>70.75</v>
      </c>
      <c r="H127" s="28" t="s">
        <v>346</v>
      </c>
    </row>
    <row r="128" spans="1:12" s="8" customFormat="1">
      <c r="A128" s="8" t="s">
        <v>91</v>
      </c>
      <c r="B128" s="8" t="s">
        <v>1</v>
      </c>
      <c r="C128" s="8">
        <v>1</v>
      </c>
      <c r="D128" s="8" t="s">
        <v>100</v>
      </c>
      <c r="E128" s="8" t="s">
        <v>337</v>
      </c>
      <c r="F128" s="31">
        <v>1</v>
      </c>
      <c r="G128" s="31">
        <f>(24+71+16+40)/4</f>
        <v>37.75</v>
      </c>
      <c r="H128" s="8" t="s">
        <v>292</v>
      </c>
    </row>
    <row r="129" spans="1:12" s="8" customFormat="1">
      <c r="A129" s="8" t="s">
        <v>91</v>
      </c>
      <c r="B129" s="8" t="s">
        <v>1</v>
      </c>
      <c r="C129" s="8">
        <v>1</v>
      </c>
      <c r="D129" s="8" t="s">
        <v>4</v>
      </c>
      <c r="E129" s="8" t="s">
        <v>337</v>
      </c>
      <c r="F129" s="31">
        <v>1</v>
      </c>
      <c r="G129" s="31">
        <f>(24+71+16+40)/4</f>
        <v>37.75</v>
      </c>
      <c r="H129" s="8" t="s">
        <v>293</v>
      </c>
    </row>
    <row r="130" spans="1:12" s="8" customFormat="1">
      <c r="A130" s="8" t="s">
        <v>91</v>
      </c>
      <c r="B130" s="8" t="s">
        <v>1</v>
      </c>
      <c r="C130" s="8">
        <v>1</v>
      </c>
      <c r="D130" s="8" t="s">
        <v>101</v>
      </c>
      <c r="E130" s="8" t="s">
        <v>337</v>
      </c>
      <c r="F130" s="31">
        <v>1</v>
      </c>
      <c r="G130" s="31">
        <f>(24+71+16+40)/4</f>
        <v>37.75</v>
      </c>
      <c r="H130" s="8" t="s">
        <v>294</v>
      </c>
    </row>
    <row r="131" spans="1:12" s="28" customFormat="1">
      <c r="A131" s="28" t="s">
        <v>91</v>
      </c>
      <c r="B131" s="28" t="s">
        <v>331</v>
      </c>
      <c r="C131" s="28">
        <v>1</v>
      </c>
      <c r="E131" s="28" t="s">
        <v>337</v>
      </c>
      <c r="F131" s="29">
        <v>1</v>
      </c>
      <c r="G131" s="29">
        <f>(24+71+16+40)/4</f>
        <v>37.75</v>
      </c>
      <c r="H131" s="28" t="s">
        <v>339</v>
      </c>
    </row>
    <row r="132" spans="1:12" s="28" customFormat="1">
      <c r="A132" s="28" t="s">
        <v>91</v>
      </c>
      <c r="B132" s="28" t="s">
        <v>331</v>
      </c>
      <c r="C132" s="28">
        <v>3</v>
      </c>
      <c r="E132" s="28" t="s">
        <v>337</v>
      </c>
      <c r="F132" s="29">
        <v>1</v>
      </c>
      <c r="G132" s="29">
        <f>(24+71+16+40)/4</f>
        <v>37.75</v>
      </c>
      <c r="H132" s="28" t="s">
        <v>347</v>
      </c>
    </row>
    <row r="133" spans="1:12" s="28" customFormat="1">
      <c r="A133" s="28" t="s">
        <v>91</v>
      </c>
      <c r="B133" s="28" t="s">
        <v>331</v>
      </c>
      <c r="C133" s="28">
        <v>1</v>
      </c>
      <c r="E133" s="28" t="s">
        <v>337</v>
      </c>
      <c r="F133" s="29">
        <v>1</v>
      </c>
      <c r="G133" s="29">
        <f>(24+71+16+40)/4</f>
        <v>37.75</v>
      </c>
      <c r="H133" s="28" t="s">
        <v>348</v>
      </c>
    </row>
    <row r="134" spans="1:12" s="28" customFormat="1">
      <c r="A134" s="28" t="s">
        <v>91</v>
      </c>
      <c r="B134" s="28" t="s">
        <v>331</v>
      </c>
      <c r="C134" s="28">
        <v>1</v>
      </c>
      <c r="E134" s="28" t="s">
        <v>337</v>
      </c>
      <c r="F134" s="29">
        <v>1</v>
      </c>
      <c r="G134" s="29">
        <f>(24+71+16+40)/4</f>
        <v>37.75</v>
      </c>
      <c r="H134" s="28" t="s">
        <v>349</v>
      </c>
    </row>
    <row r="135" spans="1:12" s="28" customFormat="1">
      <c r="A135" s="28" t="s">
        <v>91</v>
      </c>
      <c r="B135" s="28" t="s">
        <v>331</v>
      </c>
      <c r="C135" s="28">
        <v>1</v>
      </c>
      <c r="E135" s="28" t="s">
        <v>337</v>
      </c>
      <c r="F135" s="29">
        <v>1</v>
      </c>
      <c r="G135" s="29">
        <f>(24+71+16+40)/4</f>
        <v>37.75</v>
      </c>
      <c r="H135" s="28" t="s">
        <v>350</v>
      </c>
    </row>
    <row r="136" spans="1:12" s="28" customFormat="1">
      <c r="A136" s="28" t="s">
        <v>91</v>
      </c>
      <c r="B136" s="28" t="s">
        <v>331</v>
      </c>
      <c r="C136" s="28">
        <v>1</v>
      </c>
      <c r="E136" s="28" t="s">
        <v>337</v>
      </c>
      <c r="F136" s="29">
        <v>1</v>
      </c>
      <c r="G136" s="29">
        <f>(24+71+16+40)/4</f>
        <v>37.75</v>
      </c>
      <c r="H136" s="28" t="s">
        <v>351</v>
      </c>
    </row>
    <row r="137" spans="1:12">
      <c r="A137" s="8" t="s">
        <v>92</v>
      </c>
      <c r="B137" s="8" t="s">
        <v>1</v>
      </c>
      <c r="C137" s="8">
        <v>1</v>
      </c>
      <c r="D137" s="8" t="s">
        <v>102</v>
      </c>
      <c r="E137" s="8" t="s">
        <v>337</v>
      </c>
      <c r="F137" s="7">
        <v>1</v>
      </c>
      <c r="G137" s="7">
        <f>(18+78+16+33.1)/4</f>
        <v>36.274999999999999</v>
      </c>
      <c r="H137" s="8" t="s">
        <v>295</v>
      </c>
      <c r="L137" s="5"/>
    </row>
    <row r="138" spans="1:12" s="8" customFormat="1">
      <c r="A138" s="8" t="s">
        <v>352</v>
      </c>
      <c r="B138" s="8" t="s">
        <v>1</v>
      </c>
      <c r="C138" s="8">
        <v>3</v>
      </c>
      <c r="D138" s="8" t="s">
        <v>353</v>
      </c>
      <c r="E138" s="8" t="s">
        <v>353</v>
      </c>
      <c r="F138" s="31">
        <v>1</v>
      </c>
      <c r="G138" s="7">
        <f>(42+178+35+100)/4</f>
        <v>88.75</v>
      </c>
      <c r="H138" s="8" t="s">
        <v>456</v>
      </c>
    </row>
    <row r="139" spans="1:12" s="28" customFormat="1">
      <c r="A139" s="28" t="s">
        <v>352</v>
      </c>
      <c r="B139" s="28" t="s">
        <v>331</v>
      </c>
      <c r="C139" s="28">
        <v>1</v>
      </c>
      <c r="E139" s="28" t="s">
        <v>353</v>
      </c>
      <c r="F139" s="29">
        <v>1</v>
      </c>
      <c r="G139" s="29">
        <f>(42+178+35+100)/4</f>
        <v>88.75</v>
      </c>
      <c r="H139" s="28" t="s">
        <v>354</v>
      </c>
    </row>
    <row r="140" spans="1:12">
      <c r="A140" s="8" t="s">
        <v>93</v>
      </c>
      <c r="B140" s="8" t="s">
        <v>1</v>
      </c>
      <c r="C140" s="8">
        <v>1</v>
      </c>
      <c r="D140" s="8" t="s">
        <v>103</v>
      </c>
      <c r="E140" s="8" t="s">
        <v>429</v>
      </c>
      <c r="F140" s="7">
        <v>1</v>
      </c>
      <c r="G140" s="7">
        <f>(75+110+60+90)/4</f>
        <v>83.75</v>
      </c>
      <c r="H140" s="8" t="s">
        <v>296</v>
      </c>
      <c r="L140" s="5"/>
    </row>
    <row r="141" spans="1:12" s="28" customFormat="1">
      <c r="A141" s="28" t="s">
        <v>93</v>
      </c>
      <c r="B141" s="28" t="s">
        <v>331</v>
      </c>
      <c r="C141" s="28">
        <v>1</v>
      </c>
      <c r="D141" s="28" t="s">
        <v>355</v>
      </c>
      <c r="E141" s="28" t="s">
        <v>353</v>
      </c>
      <c r="F141" s="29">
        <v>1</v>
      </c>
      <c r="G141" s="29">
        <f>(75+110+60+90)/4</f>
        <v>83.75</v>
      </c>
      <c r="H141" s="28" t="s">
        <v>356</v>
      </c>
    </row>
    <row r="142" spans="1:12">
      <c r="A142" s="5" t="s">
        <v>94</v>
      </c>
      <c r="B142" s="5" t="s">
        <v>1</v>
      </c>
      <c r="C142" s="5">
        <v>1</v>
      </c>
      <c r="D142" s="5" t="s">
        <v>105</v>
      </c>
      <c r="E142" s="5" t="s">
        <v>353</v>
      </c>
      <c r="F142" s="7">
        <v>1</v>
      </c>
      <c r="G142" s="7">
        <f>(110+185+65+120)/4</f>
        <v>120</v>
      </c>
      <c r="H142" s="5" t="s">
        <v>297</v>
      </c>
      <c r="L142" s="5"/>
    </row>
    <row r="143" spans="1:12">
      <c r="A143" s="5" t="s">
        <v>94</v>
      </c>
      <c r="B143" s="5" t="s">
        <v>1</v>
      </c>
      <c r="C143" s="5">
        <v>1</v>
      </c>
      <c r="D143" s="5" t="s">
        <v>104</v>
      </c>
      <c r="E143" s="5" t="s">
        <v>353</v>
      </c>
      <c r="F143" s="7">
        <v>1</v>
      </c>
      <c r="G143" s="7">
        <f>(110+185+65+120)/4</f>
        <v>120</v>
      </c>
      <c r="H143" s="5" t="s">
        <v>128</v>
      </c>
      <c r="L143" s="5"/>
    </row>
    <row r="144" spans="1:12" s="8" customFormat="1">
      <c r="A144" s="8" t="s">
        <v>95</v>
      </c>
      <c r="B144" s="8" t="s">
        <v>1</v>
      </c>
      <c r="C144" s="8">
        <v>1</v>
      </c>
      <c r="D144" s="8" t="s">
        <v>105</v>
      </c>
      <c r="E144" s="8" t="s">
        <v>353</v>
      </c>
      <c r="F144" s="31">
        <v>1</v>
      </c>
      <c r="G144" s="31">
        <f>(0.71+2.2+0.61+1.1)/4*1000</f>
        <v>1155</v>
      </c>
      <c r="H144" s="8" t="s">
        <v>298</v>
      </c>
    </row>
    <row r="145" spans="1:12" s="28" customFormat="1">
      <c r="A145" s="28" t="s">
        <v>95</v>
      </c>
      <c r="B145" s="28" t="s">
        <v>331</v>
      </c>
      <c r="C145" s="28">
        <v>1</v>
      </c>
      <c r="E145" s="28" t="s">
        <v>353</v>
      </c>
      <c r="F145" s="29">
        <v>1</v>
      </c>
      <c r="G145" s="29">
        <f>(0.71+2.2+0.61+1.1)/4*1000</f>
        <v>1155</v>
      </c>
      <c r="H145" s="28" t="s">
        <v>357</v>
      </c>
    </row>
    <row r="146" spans="1:12" s="8" customFormat="1">
      <c r="A146" s="8" t="s">
        <v>325</v>
      </c>
      <c r="B146" s="8" t="s">
        <v>1</v>
      </c>
      <c r="C146" s="8">
        <v>4</v>
      </c>
      <c r="D146" s="8" t="s">
        <v>106</v>
      </c>
      <c r="E146" s="8" t="s">
        <v>353</v>
      </c>
      <c r="F146" s="31">
        <v>1</v>
      </c>
      <c r="G146" s="31">
        <f>(0.34+1.1+0.24+0.69)/4*1000</f>
        <v>592.5</v>
      </c>
      <c r="H146" s="8" t="s">
        <v>326</v>
      </c>
    </row>
    <row r="147" spans="1:12" s="8" customFormat="1">
      <c r="A147" s="8" t="s">
        <v>96</v>
      </c>
      <c r="B147" s="8" t="s">
        <v>1</v>
      </c>
      <c r="C147" s="8">
        <v>1</v>
      </c>
      <c r="D147" s="8" t="s">
        <v>106</v>
      </c>
      <c r="E147" s="8" t="s">
        <v>353</v>
      </c>
      <c r="F147" s="31">
        <v>1</v>
      </c>
      <c r="G147" s="31">
        <f>(1.5+5+0.9+2.5)/4*1000</f>
        <v>2475</v>
      </c>
      <c r="H147" s="16" t="s">
        <v>299</v>
      </c>
    </row>
    <row r="148" spans="1:12" s="8" customFormat="1">
      <c r="A148" s="8" t="s">
        <v>96</v>
      </c>
      <c r="B148" s="8" t="s">
        <v>1</v>
      </c>
      <c r="C148" s="8">
        <v>1</v>
      </c>
      <c r="D148" s="8" t="s">
        <v>106</v>
      </c>
      <c r="E148" s="8" t="s">
        <v>353</v>
      </c>
      <c r="F148" s="31">
        <v>2</v>
      </c>
      <c r="G148" s="31">
        <f>(1.5+5+0.9+2.5)/4*1000</f>
        <v>2475</v>
      </c>
      <c r="H148" s="16" t="s">
        <v>300</v>
      </c>
    </row>
    <row r="149" spans="1:12" s="8" customFormat="1">
      <c r="A149" s="8" t="s">
        <v>96</v>
      </c>
      <c r="B149" s="8" t="s">
        <v>1</v>
      </c>
      <c r="C149" s="8">
        <v>1</v>
      </c>
      <c r="D149" s="8" t="s">
        <v>106</v>
      </c>
      <c r="E149" s="8" t="s">
        <v>353</v>
      </c>
      <c r="F149" s="31">
        <v>2</v>
      </c>
      <c r="G149" s="31">
        <f>(1.5+5+0.9+2.5)/4*1000</f>
        <v>2475</v>
      </c>
      <c r="H149" s="16" t="s">
        <v>300</v>
      </c>
    </row>
    <row r="150" spans="1:12" s="8" customFormat="1">
      <c r="A150" s="8" t="s">
        <v>96</v>
      </c>
      <c r="B150" s="8" t="s">
        <v>1</v>
      </c>
      <c r="C150" s="8">
        <v>1</v>
      </c>
      <c r="D150" s="8" t="s">
        <v>106</v>
      </c>
      <c r="E150" s="8" t="s">
        <v>353</v>
      </c>
      <c r="F150" s="31">
        <v>2</v>
      </c>
      <c r="G150" s="31">
        <f>(1.5+5+0.9+2.5)/4*1000</f>
        <v>2475</v>
      </c>
      <c r="H150" s="16" t="s">
        <v>300</v>
      </c>
    </row>
    <row r="151" spans="1:12" s="28" customFormat="1">
      <c r="A151" s="28" t="s">
        <v>96</v>
      </c>
      <c r="B151" s="28" t="s">
        <v>331</v>
      </c>
      <c r="C151" s="28">
        <v>1</v>
      </c>
      <c r="E151" s="28" t="s">
        <v>353</v>
      </c>
      <c r="F151" s="29">
        <v>1</v>
      </c>
      <c r="G151" s="29">
        <f>(1.5+5+0.9+2.5)/4*1000</f>
        <v>2475</v>
      </c>
      <c r="H151" s="28" t="s">
        <v>358</v>
      </c>
    </row>
    <row r="152" spans="1:12" s="28" customFormat="1">
      <c r="A152" s="28" t="s">
        <v>360</v>
      </c>
      <c r="B152" s="28" t="s">
        <v>331</v>
      </c>
      <c r="C152" s="28">
        <v>3</v>
      </c>
      <c r="E152" s="28" t="s">
        <v>353</v>
      </c>
      <c r="F152" s="29">
        <v>1</v>
      </c>
      <c r="G152" s="29">
        <f>(400+750+300+650)/4</f>
        <v>525</v>
      </c>
      <c r="H152" s="28" t="s">
        <v>362</v>
      </c>
    </row>
    <row r="153" spans="1:12" s="28" customFormat="1">
      <c r="A153" s="28" t="s">
        <v>360</v>
      </c>
      <c r="B153" s="28" t="s">
        <v>331</v>
      </c>
      <c r="C153" s="28">
        <v>2</v>
      </c>
      <c r="E153" s="28" t="s">
        <v>353</v>
      </c>
      <c r="F153" s="29">
        <v>1</v>
      </c>
      <c r="G153" s="29">
        <f>(400+750+300+650)/4</f>
        <v>525</v>
      </c>
      <c r="H153" s="28" t="s">
        <v>361</v>
      </c>
    </row>
    <row r="154" spans="1:12">
      <c r="A154" s="10" t="s">
        <v>97</v>
      </c>
      <c r="B154" s="5" t="s">
        <v>1</v>
      </c>
      <c r="C154" s="5">
        <v>2</v>
      </c>
      <c r="D154" s="5" t="s">
        <v>106</v>
      </c>
      <c r="E154" s="5" t="s">
        <v>353</v>
      </c>
      <c r="F154" s="29">
        <v>1</v>
      </c>
      <c r="G154" s="7">
        <f>(175+331+106+212)/4</f>
        <v>206</v>
      </c>
      <c r="H154" s="13" t="s">
        <v>306</v>
      </c>
      <c r="L154" s="5"/>
    </row>
    <row r="155" spans="1:12">
      <c r="A155" s="10" t="s">
        <v>97</v>
      </c>
      <c r="B155" s="5" t="s">
        <v>1</v>
      </c>
      <c r="C155" s="5">
        <v>1</v>
      </c>
      <c r="D155" s="5" t="s">
        <v>107</v>
      </c>
      <c r="E155" s="5" t="s">
        <v>429</v>
      </c>
      <c r="F155" s="29">
        <v>1</v>
      </c>
      <c r="G155" s="7">
        <f>(175+331+106+212)/4</f>
        <v>206</v>
      </c>
      <c r="H155" s="5" t="s">
        <v>301</v>
      </c>
      <c r="L155" s="5"/>
    </row>
    <row r="156" spans="1:12" s="28" customFormat="1">
      <c r="A156" s="28" t="s">
        <v>97</v>
      </c>
      <c r="B156" s="28" t="s">
        <v>331</v>
      </c>
      <c r="C156" s="28">
        <v>1</v>
      </c>
      <c r="E156" s="28" t="s">
        <v>353</v>
      </c>
      <c r="F156" s="29">
        <v>1</v>
      </c>
      <c r="G156" s="29">
        <f>(175+331+106+212)/4</f>
        <v>206</v>
      </c>
      <c r="H156" s="28" t="s">
        <v>363</v>
      </c>
    </row>
    <row r="157" spans="1:12" s="28" customFormat="1">
      <c r="A157" s="28" t="s">
        <v>97</v>
      </c>
      <c r="B157" s="28" t="s">
        <v>331</v>
      </c>
      <c r="C157" s="28">
        <v>1</v>
      </c>
      <c r="E157" s="28" t="s">
        <v>353</v>
      </c>
      <c r="F157" s="29">
        <v>1</v>
      </c>
      <c r="G157" s="29">
        <f>(175+331+106+212)/4</f>
        <v>206</v>
      </c>
      <c r="H157" s="28" t="s">
        <v>364</v>
      </c>
    </row>
    <row r="158" spans="1:12" s="28" customFormat="1">
      <c r="A158" s="28" t="s">
        <v>97</v>
      </c>
      <c r="B158" s="28" t="s">
        <v>331</v>
      </c>
      <c r="C158" s="28">
        <v>1</v>
      </c>
      <c r="E158" s="28" t="s">
        <v>353</v>
      </c>
      <c r="F158" s="29">
        <v>1</v>
      </c>
      <c r="G158" s="29">
        <f>(175+331+106+212)/4</f>
        <v>206</v>
      </c>
      <c r="H158" s="28" t="s">
        <v>365</v>
      </c>
    </row>
    <row r="159" spans="1:12" s="40" customFormat="1">
      <c r="A159" s="40" t="s">
        <v>98</v>
      </c>
      <c r="B159" s="40" t="s">
        <v>1</v>
      </c>
      <c r="C159" s="40">
        <v>1</v>
      </c>
      <c r="D159" s="40" t="s">
        <v>108</v>
      </c>
      <c r="E159" s="40" t="s">
        <v>353</v>
      </c>
      <c r="F159" s="41">
        <v>1</v>
      </c>
      <c r="G159" s="41">
        <f>(10+20)/2</f>
        <v>15</v>
      </c>
      <c r="H159" s="40" t="s">
        <v>302</v>
      </c>
    </row>
    <row r="160" spans="1:12" s="40" customFormat="1">
      <c r="A160" s="40" t="s">
        <v>98</v>
      </c>
      <c r="B160" s="40" t="s">
        <v>1</v>
      </c>
      <c r="C160" s="40">
        <v>1</v>
      </c>
      <c r="D160" s="40" t="s">
        <v>109</v>
      </c>
      <c r="E160" s="40" t="s">
        <v>429</v>
      </c>
      <c r="F160" s="41">
        <v>1</v>
      </c>
      <c r="G160" s="41">
        <f>(10+20)/2</f>
        <v>15</v>
      </c>
      <c r="H160" s="40" t="s">
        <v>302</v>
      </c>
    </row>
    <row r="161" spans="1:12" s="40" customFormat="1">
      <c r="A161" s="40" t="s">
        <v>322</v>
      </c>
      <c r="B161" s="40" t="s">
        <v>1</v>
      </c>
      <c r="C161" s="40">
        <v>3</v>
      </c>
      <c r="D161" s="40" t="s">
        <v>106</v>
      </c>
      <c r="E161" s="40" t="s">
        <v>353</v>
      </c>
      <c r="F161" s="41">
        <v>1</v>
      </c>
      <c r="G161" s="41">
        <f>(8+14+5+9)/4*1000</f>
        <v>9000</v>
      </c>
      <c r="H161" s="40" t="s">
        <v>323</v>
      </c>
    </row>
    <row r="162" spans="1:12" s="40" customFormat="1">
      <c r="A162" s="40" t="s">
        <v>322</v>
      </c>
      <c r="B162" s="40" t="s">
        <v>1</v>
      </c>
      <c r="C162" s="40">
        <v>1</v>
      </c>
      <c r="D162" s="40" t="s">
        <v>106</v>
      </c>
      <c r="E162" s="40" t="s">
        <v>353</v>
      </c>
      <c r="F162" s="41">
        <v>1</v>
      </c>
      <c r="G162" s="41">
        <f>(8+14+5+9)/4*1000</f>
        <v>9000</v>
      </c>
      <c r="H162" s="40" t="s">
        <v>324</v>
      </c>
    </row>
    <row r="163" spans="1:12" s="28" customFormat="1">
      <c r="A163" s="28" t="s">
        <v>322</v>
      </c>
      <c r="B163" s="28" t="s">
        <v>331</v>
      </c>
      <c r="C163" s="28">
        <v>1</v>
      </c>
      <c r="E163" s="28" t="s">
        <v>353</v>
      </c>
      <c r="F163" s="29">
        <v>1</v>
      </c>
      <c r="G163" s="29">
        <f>(8+14+5+9)/4*1000</f>
        <v>9000</v>
      </c>
      <c r="H163" s="28" t="s">
        <v>368</v>
      </c>
    </row>
    <row r="164" spans="1:12">
      <c r="A164" s="5" t="s">
        <v>110</v>
      </c>
      <c r="B164" s="5" t="s">
        <v>1</v>
      </c>
      <c r="C164" s="5">
        <v>1</v>
      </c>
      <c r="D164" s="5" t="s">
        <v>3</v>
      </c>
      <c r="E164" s="5" t="s">
        <v>429</v>
      </c>
      <c r="F164" s="7">
        <v>1</v>
      </c>
      <c r="G164" s="7">
        <f>(140+390)/2</f>
        <v>265</v>
      </c>
      <c r="H164" s="5" t="s">
        <v>129</v>
      </c>
      <c r="L164" s="5"/>
    </row>
    <row r="165" spans="1:12">
      <c r="A165" s="5" t="s">
        <v>110</v>
      </c>
      <c r="B165" s="5" t="s">
        <v>1</v>
      </c>
      <c r="C165" s="5">
        <v>1</v>
      </c>
      <c r="D165" s="5" t="s">
        <v>106</v>
      </c>
      <c r="E165" s="5" t="s">
        <v>353</v>
      </c>
      <c r="F165" s="7">
        <v>1</v>
      </c>
      <c r="G165" s="7">
        <f>(140+390)/2</f>
        <v>265</v>
      </c>
      <c r="H165" s="5" t="s">
        <v>303</v>
      </c>
      <c r="L165" s="5"/>
    </row>
    <row r="166" spans="1:12">
      <c r="A166" s="5" t="s">
        <v>110</v>
      </c>
      <c r="B166" s="5" t="s">
        <v>1</v>
      </c>
      <c r="C166" s="5">
        <v>1</v>
      </c>
      <c r="D166" s="5" t="s">
        <v>106</v>
      </c>
      <c r="E166" s="5" t="s">
        <v>353</v>
      </c>
      <c r="F166" s="7">
        <v>1</v>
      </c>
      <c r="G166" s="7">
        <f>(140+390)/2</f>
        <v>265</v>
      </c>
      <c r="H166" s="5" t="s">
        <v>304</v>
      </c>
    </row>
    <row r="167" spans="1:12">
      <c r="A167" s="11" t="s">
        <v>111</v>
      </c>
      <c r="B167" s="5" t="s">
        <v>1</v>
      </c>
      <c r="C167" s="5">
        <v>1</v>
      </c>
      <c r="D167" s="5" t="s">
        <v>106</v>
      </c>
      <c r="E167" s="5" t="s">
        <v>353</v>
      </c>
      <c r="F167" s="7">
        <v>1</v>
      </c>
      <c r="G167" s="7">
        <f>(0.7+1.5)/2*1000</f>
        <v>1100</v>
      </c>
      <c r="H167" s="5" t="s">
        <v>305</v>
      </c>
    </row>
    <row r="168" spans="1:12">
      <c r="A168" s="11" t="s">
        <v>111</v>
      </c>
      <c r="B168" s="5" t="s">
        <v>1</v>
      </c>
      <c r="C168" s="5">
        <v>1</v>
      </c>
      <c r="D168" s="5" t="s">
        <v>106</v>
      </c>
      <c r="E168" s="5" t="s">
        <v>353</v>
      </c>
      <c r="F168" s="7">
        <v>1</v>
      </c>
      <c r="G168" s="7">
        <f>(0.7+1.5)/2*1000</f>
        <v>1100</v>
      </c>
      <c r="H168" s="15" t="s">
        <v>130</v>
      </c>
    </row>
    <row r="169" spans="1:12" s="28" customFormat="1">
      <c r="A169" s="28" t="s">
        <v>111</v>
      </c>
      <c r="B169" s="28" t="s">
        <v>331</v>
      </c>
      <c r="C169" s="28">
        <v>1</v>
      </c>
      <c r="E169" s="28" t="s">
        <v>353</v>
      </c>
      <c r="F169" s="29">
        <v>1</v>
      </c>
      <c r="G169" s="29">
        <f>(0.7+1.5)/2*1000</f>
        <v>1100</v>
      </c>
      <c r="H169" s="28" t="s">
        <v>374</v>
      </c>
    </row>
    <row r="170" spans="1:12">
      <c r="A170" s="11" t="s">
        <v>112</v>
      </c>
      <c r="B170" s="5" t="s">
        <v>1</v>
      </c>
      <c r="C170" s="5">
        <v>2</v>
      </c>
      <c r="D170" s="5" t="s">
        <v>105</v>
      </c>
      <c r="E170" s="5" t="s">
        <v>353</v>
      </c>
      <c r="F170" s="7">
        <v>2</v>
      </c>
      <c r="G170" s="7">
        <f>(0.57+2.4)/2*1000</f>
        <v>1484.9999999999998</v>
      </c>
      <c r="H170" s="5" t="s">
        <v>307</v>
      </c>
    </row>
    <row r="171" spans="1:12">
      <c r="A171" s="11" t="s">
        <v>112</v>
      </c>
      <c r="B171" s="5" t="s">
        <v>1</v>
      </c>
      <c r="C171" s="5">
        <v>1</v>
      </c>
      <c r="D171" s="5" t="s">
        <v>106</v>
      </c>
      <c r="E171" s="5" t="s">
        <v>353</v>
      </c>
      <c r="F171" s="7">
        <v>1</v>
      </c>
      <c r="G171" s="7">
        <f>(0.57+2.4)/2*1000</f>
        <v>1484.9999999999998</v>
      </c>
      <c r="H171" s="13" t="s">
        <v>308</v>
      </c>
    </row>
    <row r="172" spans="1:12">
      <c r="A172" s="11" t="s">
        <v>113</v>
      </c>
      <c r="B172" s="5" t="s">
        <v>1</v>
      </c>
      <c r="C172" s="5">
        <v>5</v>
      </c>
      <c r="D172" s="5" t="s">
        <v>105</v>
      </c>
      <c r="E172" s="5" t="s">
        <v>353</v>
      </c>
      <c r="F172" s="7">
        <v>1</v>
      </c>
      <c r="G172" s="7">
        <f>(0.5+5.9)/2*1000</f>
        <v>3200</v>
      </c>
      <c r="H172" s="5" t="s">
        <v>131</v>
      </c>
    </row>
    <row r="173" spans="1:12">
      <c r="A173" s="11" t="s">
        <v>113</v>
      </c>
      <c r="B173" s="5" t="s">
        <v>1</v>
      </c>
      <c r="C173" s="5">
        <v>4</v>
      </c>
      <c r="D173" s="5" t="s">
        <v>21</v>
      </c>
      <c r="E173" s="5" t="s">
        <v>337</v>
      </c>
      <c r="F173" s="7">
        <v>1</v>
      </c>
      <c r="G173" s="7">
        <f>(0.5+5.9)/2*1000</f>
        <v>3200</v>
      </c>
      <c r="H173" s="5" t="s">
        <v>132</v>
      </c>
    </row>
    <row r="174" spans="1:12" s="28" customFormat="1">
      <c r="A174" s="28" t="s">
        <v>113</v>
      </c>
      <c r="B174" s="28" t="s">
        <v>331</v>
      </c>
      <c r="C174" s="28">
        <v>2</v>
      </c>
      <c r="E174" s="28" t="s">
        <v>353</v>
      </c>
      <c r="F174" s="29">
        <v>1</v>
      </c>
      <c r="G174" s="29">
        <f>(0.5+5.9)/2*1000</f>
        <v>3200</v>
      </c>
      <c r="H174" s="28" t="s">
        <v>376</v>
      </c>
    </row>
    <row r="175" spans="1:12" s="28" customFormat="1">
      <c r="A175" s="28" t="s">
        <v>378</v>
      </c>
      <c r="B175" s="28" t="s">
        <v>331</v>
      </c>
      <c r="C175" s="28">
        <v>1</v>
      </c>
      <c r="E175" s="28" t="s">
        <v>353</v>
      </c>
      <c r="F175" s="29">
        <v>1</v>
      </c>
      <c r="G175" s="29">
        <f>(15+40)/2</f>
        <v>27.5</v>
      </c>
      <c r="H175" s="28" t="s">
        <v>377</v>
      </c>
    </row>
    <row r="176" spans="1:12">
      <c r="A176" s="8" t="s">
        <v>114</v>
      </c>
      <c r="B176" s="8" t="s">
        <v>1</v>
      </c>
      <c r="C176" s="8">
        <v>1</v>
      </c>
      <c r="D176" s="8" t="s">
        <v>106</v>
      </c>
      <c r="E176" s="8" t="s">
        <v>353</v>
      </c>
      <c r="F176" s="7">
        <v>1</v>
      </c>
      <c r="G176" s="7">
        <f>(10+20)/2</f>
        <v>15</v>
      </c>
      <c r="H176" s="16" t="s">
        <v>309</v>
      </c>
    </row>
    <row r="177" spans="1:8">
      <c r="A177" s="8" t="s">
        <v>124</v>
      </c>
      <c r="B177" s="5" t="s">
        <v>1</v>
      </c>
      <c r="C177" s="5">
        <v>1</v>
      </c>
      <c r="D177" s="8" t="s">
        <v>3</v>
      </c>
      <c r="E177" s="8" t="s">
        <v>429</v>
      </c>
      <c r="F177" s="7">
        <v>1</v>
      </c>
      <c r="G177" s="7">
        <f>(25+140+20+72)/4</f>
        <v>64.25</v>
      </c>
      <c r="H177" s="8" t="s">
        <v>310</v>
      </c>
    </row>
    <row r="178" spans="1:8">
      <c r="A178" s="5" t="s">
        <v>116</v>
      </c>
      <c r="B178" s="5" t="s">
        <v>1</v>
      </c>
      <c r="C178" s="5">
        <v>1</v>
      </c>
      <c r="D178" s="5" t="s">
        <v>106</v>
      </c>
      <c r="E178" s="5" t="s">
        <v>353</v>
      </c>
      <c r="F178" s="7">
        <v>1</v>
      </c>
      <c r="G178" s="7">
        <f>(20+70+16+47)/4</f>
        <v>38.25</v>
      </c>
      <c r="H178" s="5" t="s">
        <v>311</v>
      </c>
    </row>
    <row r="179" spans="1:8">
      <c r="A179" s="5" t="s">
        <v>115</v>
      </c>
      <c r="B179" s="5" t="s">
        <v>1</v>
      </c>
      <c r="C179" s="5">
        <v>1</v>
      </c>
      <c r="D179" s="5" t="s">
        <v>106</v>
      </c>
      <c r="E179" s="5" t="s">
        <v>353</v>
      </c>
      <c r="F179" s="7">
        <v>1</v>
      </c>
      <c r="G179" s="7">
        <f>(20+70+16+47)/4</f>
        <v>38.25</v>
      </c>
      <c r="H179" s="5" t="s">
        <v>311</v>
      </c>
    </row>
    <row r="180" spans="1:8">
      <c r="A180" s="8" t="s">
        <v>117</v>
      </c>
      <c r="B180" s="8" t="s">
        <v>1</v>
      </c>
      <c r="C180" s="8">
        <v>1</v>
      </c>
      <c r="D180" s="8" t="s">
        <v>106</v>
      </c>
      <c r="E180" s="8" t="s">
        <v>353</v>
      </c>
      <c r="F180" s="7">
        <v>1</v>
      </c>
      <c r="G180" s="7">
        <f>(220+910)/2</f>
        <v>565</v>
      </c>
      <c r="H180" s="8" t="s">
        <v>312</v>
      </c>
    </row>
    <row r="181" spans="1:8" s="28" customFormat="1">
      <c r="A181" s="28" t="s">
        <v>117</v>
      </c>
      <c r="B181" s="28" t="s">
        <v>331</v>
      </c>
      <c r="C181" s="28">
        <v>1</v>
      </c>
      <c r="E181" s="28" t="s">
        <v>353</v>
      </c>
      <c r="F181" s="29">
        <v>1</v>
      </c>
      <c r="G181" s="29">
        <f>(220+910)/2</f>
        <v>565</v>
      </c>
      <c r="H181" s="28" t="s">
        <v>370</v>
      </c>
    </row>
    <row r="182" spans="1:8">
      <c r="A182" s="8" t="s">
        <v>118</v>
      </c>
      <c r="B182" s="8" t="s">
        <v>1</v>
      </c>
      <c r="C182" s="8">
        <v>3</v>
      </c>
      <c r="D182" s="8" t="s">
        <v>106</v>
      </c>
      <c r="E182" s="8" t="s">
        <v>353</v>
      </c>
      <c r="F182" s="7">
        <v>1</v>
      </c>
      <c r="G182" s="7">
        <f>(300+670+250+600)/4</f>
        <v>455</v>
      </c>
      <c r="H182" s="8" t="s">
        <v>313</v>
      </c>
    </row>
    <row r="183" spans="1:8">
      <c r="A183" s="8" t="s">
        <v>119</v>
      </c>
      <c r="B183" s="8" t="s">
        <v>1</v>
      </c>
      <c r="C183" s="8">
        <v>1</v>
      </c>
      <c r="D183" s="8" t="s">
        <v>106</v>
      </c>
      <c r="E183" s="8" t="s">
        <v>353</v>
      </c>
      <c r="F183" s="7">
        <v>1</v>
      </c>
      <c r="G183" s="7">
        <f>(0.5+3.1)/2*1000</f>
        <v>1800</v>
      </c>
      <c r="H183" s="8" t="s">
        <v>133</v>
      </c>
    </row>
    <row r="184" spans="1:8">
      <c r="A184" s="8" t="s">
        <v>120</v>
      </c>
      <c r="B184" s="8" t="s">
        <v>1</v>
      </c>
      <c r="C184" s="8">
        <v>4</v>
      </c>
      <c r="D184" s="8" t="s">
        <v>106</v>
      </c>
      <c r="E184" s="8" t="s">
        <v>353</v>
      </c>
      <c r="F184" s="7">
        <v>1</v>
      </c>
      <c r="G184" s="7">
        <f>(0.4+1.8)/2*1000</f>
        <v>1100</v>
      </c>
      <c r="H184" s="8" t="s">
        <v>134</v>
      </c>
    </row>
    <row r="185" spans="1:8" s="28" customFormat="1">
      <c r="A185" s="28" t="s">
        <v>444</v>
      </c>
      <c r="B185" s="28" t="s">
        <v>331</v>
      </c>
      <c r="C185" s="28">
        <v>1</v>
      </c>
      <c r="E185" s="28" t="s">
        <v>353</v>
      </c>
      <c r="F185" s="29">
        <v>1</v>
      </c>
      <c r="G185" s="29">
        <f>(165+300)/2</f>
        <v>232.5</v>
      </c>
      <c r="H185" s="28" t="s">
        <v>445</v>
      </c>
    </row>
    <row r="186" spans="1:8">
      <c r="A186" s="8" t="s">
        <v>121</v>
      </c>
      <c r="B186" s="8" t="s">
        <v>1</v>
      </c>
      <c r="C186" s="8">
        <v>1</v>
      </c>
      <c r="D186" s="8" t="s">
        <v>106</v>
      </c>
      <c r="E186" s="8" t="s">
        <v>353</v>
      </c>
      <c r="F186" s="7">
        <v>1</v>
      </c>
      <c r="G186" s="7">
        <f>(0.5+1.1+0.5+1.4)/4*1000</f>
        <v>875</v>
      </c>
      <c r="H186" s="8" t="s">
        <v>135</v>
      </c>
    </row>
    <row r="187" spans="1:8">
      <c r="A187" s="5" t="s">
        <v>122</v>
      </c>
      <c r="B187" s="8" t="s">
        <v>1</v>
      </c>
      <c r="C187" s="8">
        <v>4</v>
      </c>
      <c r="D187" s="8" t="s">
        <v>123</v>
      </c>
      <c r="E187" s="8" t="s">
        <v>429</v>
      </c>
      <c r="F187" s="7">
        <v>1</v>
      </c>
      <c r="G187" s="7">
        <f>(1+2.5+0.8+1.2)/4*1000</f>
        <v>1375</v>
      </c>
      <c r="H187" s="8" t="s">
        <v>314</v>
      </c>
    </row>
    <row r="188" spans="1:8" s="28" customFormat="1">
      <c r="A188" s="28" t="s">
        <v>473</v>
      </c>
      <c r="B188" s="28" t="s">
        <v>331</v>
      </c>
      <c r="C188" s="28">
        <v>2</v>
      </c>
      <c r="D188" s="28" t="s">
        <v>372</v>
      </c>
      <c r="E188" s="28" t="s">
        <v>353</v>
      </c>
      <c r="F188" s="29"/>
      <c r="G188" s="29"/>
      <c r="H188" s="28" t="s">
        <v>474</v>
      </c>
    </row>
    <row r="189" spans="1:8" s="28" customFormat="1">
      <c r="A189" s="28" t="s">
        <v>473</v>
      </c>
      <c r="B189" s="28" t="s">
        <v>331</v>
      </c>
      <c r="C189" s="28">
        <v>1</v>
      </c>
      <c r="D189" s="28" t="s">
        <v>372</v>
      </c>
      <c r="E189" s="28" t="s">
        <v>353</v>
      </c>
      <c r="F189" s="29"/>
      <c r="G189" s="29"/>
      <c r="H189" s="28" t="s">
        <v>475</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17899-6871-41F7-AF8A-A1D71FD5FE4D}">
  <dimension ref="A1:N55"/>
  <sheetViews>
    <sheetView topLeftCell="A34" workbookViewId="0">
      <selection activeCell="A55" sqref="A55:XFD55"/>
    </sheetView>
  </sheetViews>
  <sheetFormatPr defaultRowHeight="14.4"/>
  <cols>
    <col min="1" max="1" width="29.21875" customWidth="1"/>
  </cols>
  <sheetData>
    <row r="1" spans="1:14">
      <c r="A1" t="s">
        <v>451</v>
      </c>
    </row>
    <row r="2" spans="1:14" s="5" customFormat="1">
      <c r="A2" s="8" t="s">
        <v>17</v>
      </c>
      <c r="B2" s="8" t="s">
        <v>1</v>
      </c>
      <c r="C2" s="8">
        <v>3</v>
      </c>
      <c r="D2" s="12"/>
      <c r="E2" s="8" t="s">
        <v>32</v>
      </c>
      <c r="F2" s="8" t="s">
        <v>447</v>
      </c>
      <c r="G2" s="8" t="s">
        <v>447</v>
      </c>
      <c r="H2" s="7">
        <v>1</v>
      </c>
      <c r="I2" s="8"/>
      <c r="J2" s="8" t="s">
        <v>33</v>
      </c>
      <c r="N2" s="8"/>
    </row>
    <row r="3" spans="1:14" s="28" customFormat="1">
      <c r="A3" s="5" t="s">
        <v>17</v>
      </c>
      <c r="B3" s="5" t="s">
        <v>1</v>
      </c>
      <c r="C3" s="5" t="s">
        <v>316</v>
      </c>
      <c r="D3" s="5"/>
      <c r="E3" s="5" t="s">
        <v>28</v>
      </c>
      <c r="F3" s="5" t="s">
        <v>28</v>
      </c>
      <c r="G3" s="7" t="s">
        <v>449</v>
      </c>
      <c r="H3" s="7">
        <v>1</v>
      </c>
      <c r="I3" s="5" t="s">
        <v>22</v>
      </c>
      <c r="J3" s="5" t="s">
        <v>257</v>
      </c>
      <c r="K3" s="5"/>
    </row>
    <row r="4" spans="1:14" s="5" customFormat="1">
      <c r="A4" s="28" t="s">
        <v>38</v>
      </c>
      <c r="B4" s="28" t="s">
        <v>331</v>
      </c>
      <c r="C4" s="28">
        <v>2</v>
      </c>
      <c r="D4" s="30"/>
      <c r="E4" s="28"/>
      <c r="F4" s="28" t="s">
        <v>372</v>
      </c>
      <c r="G4" s="28" t="s">
        <v>372</v>
      </c>
      <c r="H4" s="7">
        <v>1</v>
      </c>
      <c r="I4" s="28"/>
      <c r="J4" s="28" t="s">
        <v>423</v>
      </c>
      <c r="N4" s="8"/>
    </row>
    <row r="5" spans="1:14" s="5" customFormat="1">
      <c r="A5" s="5" t="s">
        <v>40</v>
      </c>
      <c r="B5" s="5" t="s">
        <v>1</v>
      </c>
      <c r="C5" s="5">
        <v>3</v>
      </c>
      <c r="D5" s="6"/>
      <c r="E5" s="5" t="s">
        <v>32</v>
      </c>
      <c r="F5" s="5" t="s">
        <v>447</v>
      </c>
      <c r="G5" s="5" t="s">
        <v>447</v>
      </c>
      <c r="H5" s="7">
        <v>1</v>
      </c>
      <c r="J5" s="5" t="s">
        <v>33</v>
      </c>
      <c r="N5" s="8"/>
    </row>
    <row r="6" spans="1:14" s="5" customFormat="1">
      <c r="A6" s="28" t="s">
        <v>72</v>
      </c>
      <c r="B6" s="28" t="s">
        <v>331</v>
      </c>
      <c r="C6" s="28">
        <v>1</v>
      </c>
      <c r="D6" s="30"/>
      <c r="E6" s="28"/>
      <c r="F6" s="28" t="s">
        <v>421</v>
      </c>
      <c r="G6" s="28" t="s">
        <v>421</v>
      </c>
      <c r="H6" s="7">
        <v>1</v>
      </c>
      <c r="I6" s="28"/>
      <c r="J6" s="28" t="s">
        <v>441</v>
      </c>
    </row>
    <row r="7" spans="1:14" s="5" customFormat="1">
      <c r="A7" s="28" t="s">
        <v>79</v>
      </c>
      <c r="B7" s="28" t="s">
        <v>331</v>
      </c>
      <c r="C7" s="28">
        <v>1</v>
      </c>
      <c r="D7" s="30"/>
      <c r="E7" s="28"/>
      <c r="F7" s="28" t="s">
        <v>448</v>
      </c>
      <c r="G7" s="28" t="s">
        <v>449</v>
      </c>
      <c r="H7" s="7">
        <v>1</v>
      </c>
      <c r="I7" s="28"/>
      <c r="J7" s="28" t="s">
        <v>392</v>
      </c>
    </row>
    <row r="8" spans="1:14" s="5" customFormat="1">
      <c r="A8" s="28" t="s">
        <v>366</v>
      </c>
      <c r="B8" s="28" t="s">
        <v>331</v>
      </c>
      <c r="C8" s="28">
        <v>1</v>
      </c>
      <c r="D8" s="30">
        <v>1</v>
      </c>
      <c r="E8" s="28" t="s">
        <v>355</v>
      </c>
      <c r="F8" s="28" t="s">
        <v>355</v>
      </c>
      <c r="G8" s="28" t="s">
        <v>422</v>
      </c>
      <c r="H8" s="29">
        <v>1</v>
      </c>
      <c r="I8" s="28" t="s">
        <v>367</v>
      </c>
      <c r="J8" s="28" t="s">
        <v>367</v>
      </c>
    </row>
    <row r="9" spans="1:14" s="5" customFormat="1">
      <c r="A9" s="28" t="s">
        <v>371</v>
      </c>
      <c r="B9" s="28" t="s">
        <v>331</v>
      </c>
      <c r="C9" s="28">
        <v>2</v>
      </c>
      <c r="D9" s="30">
        <v>2</v>
      </c>
      <c r="E9" s="28" t="s">
        <v>372</v>
      </c>
      <c r="F9" s="28" t="s">
        <v>372</v>
      </c>
      <c r="G9" s="28" t="s">
        <v>372</v>
      </c>
      <c r="H9" s="7">
        <v>1</v>
      </c>
      <c r="I9" s="28"/>
      <c r="J9" s="28" t="s">
        <v>373</v>
      </c>
      <c r="N9" s="8"/>
    </row>
    <row r="11" spans="1:14">
      <c r="A11" s="34" t="s">
        <v>452</v>
      </c>
    </row>
    <row r="12" spans="1:14" s="5" customFormat="1">
      <c r="A12" s="28" t="s">
        <v>382</v>
      </c>
      <c r="B12" s="28" t="s">
        <v>331</v>
      </c>
      <c r="C12" s="28" t="s">
        <v>316</v>
      </c>
      <c r="D12" s="28"/>
      <c r="E12" s="28" t="s">
        <v>353</v>
      </c>
      <c r="F12" s="29" t="s">
        <v>353</v>
      </c>
      <c r="G12" s="7">
        <v>1</v>
      </c>
      <c r="H12" s="28"/>
      <c r="I12" s="28" t="s">
        <v>381</v>
      </c>
      <c r="J12" s="28"/>
      <c r="M12" s="8"/>
    </row>
    <row r="13" spans="1:14" s="5" customFormat="1">
      <c r="A13" s="22" t="s">
        <v>380</v>
      </c>
      <c r="B13" s="22" t="s">
        <v>331</v>
      </c>
      <c r="C13" s="22">
        <v>1</v>
      </c>
      <c r="D13" s="22"/>
      <c r="E13" s="22" t="s">
        <v>353</v>
      </c>
      <c r="F13" s="29" t="s">
        <v>353</v>
      </c>
      <c r="G13" s="7">
        <v>1</v>
      </c>
      <c r="H13" s="22"/>
      <c r="I13" s="22" t="s">
        <v>379</v>
      </c>
      <c r="J13" s="22"/>
      <c r="M13" s="8"/>
    </row>
    <row r="15" spans="1:14">
      <c r="A15" s="34" t="s">
        <v>460</v>
      </c>
    </row>
    <row r="16" spans="1:14" s="5" customFormat="1">
      <c r="A16" s="19" t="s">
        <v>66</v>
      </c>
      <c r="B16" s="19" t="s">
        <v>1</v>
      </c>
      <c r="C16" s="19"/>
      <c r="D16" s="19" t="s">
        <v>429</v>
      </c>
      <c r="E16" s="7">
        <v>1</v>
      </c>
      <c r="F16" s="7" t="s">
        <v>316</v>
      </c>
      <c r="G16" s="19" t="s">
        <v>334</v>
      </c>
      <c r="K16" s="8"/>
    </row>
    <row r="17" spans="1:11" s="5" customFormat="1">
      <c r="A17" s="8" t="s">
        <v>66</v>
      </c>
      <c r="B17" s="8" t="s">
        <v>1</v>
      </c>
      <c r="C17" s="8" t="s">
        <v>35</v>
      </c>
      <c r="D17" s="8" t="s">
        <v>429</v>
      </c>
      <c r="E17" s="7">
        <v>1</v>
      </c>
      <c r="F17" s="7" t="s">
        <v>316</v>
      </c>
      <c r="G17" s="8" t="s">
        <v>274</v>
      </c>
      <c r="K17" s="8"/>
    </row>
    <row r="20" spans="1:11">
      <c r="A20" t="s">
        <v>477</v>
      </c>
    </row>
    <row r="21" spans="1:11" s="10" customFormat="1">
      <c r="A21" s="10" t="s">
        <v>315</v>
      </c>
      <c r="B21" s="10" t="s">
        <v>1</v>
      </c>
      <c r="C21" s="10" t="s">
        <v>316</v>
      </c>
      <c r="D21" s="10" t="s">
        <v>7</v>
      </c>
      <c r="E21" s="39" t="s">
        <v>337</v>
      </c>
      <c r="F21" s="39">
        <v>1</v>
      </c>
      <c r="G21" s="39">
        <f>(19+90+17+42)/4*1000</f>
        <v>42000</v>
      </c>
      <c r="H21" s="10" t="s">
        <v>257</v>
      </c>
    </row>
    <row r="22" spans="1:11" s="10" customFormat="1">
      <c r="A22" s="10" t="s">
        <v>17</v>
      </c>
      <c r="B22" s="10" t="s">
        <v>1</v>
      </c>
      <c r="C22" s="10" t="s">
        <v>316</v>
      </c>
      <c r="D22" s="10" t="s">
        <v>7</v>
      </c>
      <c r="E22" s="39" t="s">
        <v>337</v>
      </c>
      <c r="F22" s="39">
        <v>1</v>
      </c>
      <c r="G22" s="39">
        <f>(19+90+17+42)/4*1000</f>
        <v>42000</v>
      </c>
      <c r="H22" s="10" t="s">
        <v>257</v>
      </c>
    </row>
    <row r="23" spans="1:11" s="10" customFormat="1">
      <c r="A23" s="10" t="s">
        <v>17</v>
      </c>
      <c r="B23" s="10" t="s">
        <v>1</v>
      </c>
      <c r="C23" s="10" t="s">
        <v>316</v>
      </c>
      <c r="D23" s="10" t="s">
        <v>7</v>
      </c>
      <c r="E23" s="39" t="s">
        <v>337</v>
      </c>
      <c r="F23" s="39">
        <v>1</v>
      </c>
      <c r="G23" s="39">
        <f>(19+90+17+42)/4*1000</f>
        <v>42000</v>
      </c>
      <c r="H23" s="10" t="s">
        <v>257</v>
      </c>
    </row>
    <row r="24" spans="1:11" s="10" customFormat="1">
      <c r="A24" s="10" t="s">
        <v>17</v>
      </c>
      <c r="B24" s="10" t="s">
        <v>1</v>
      </c>
      <c r="C24" s="10" t="s">
        <v>316</v>
      </c>
      <c r="D24" s="10" t="s">
        <v>7</v>
      </c>
      <c r="E24" s="39" t="s">
        <v>337</v>
      </c>
      <c r="F24" s="39">
        <v>1</v>
      </c>
      <c r="G24" s="39">
        <f>(19+90+17+42)/4*1000</f>
        <v>42000</v>
      </c>
      <c r="H24" s="10" t="s">
        <v>257</v>
      </c>
    </row>
    <row r="25" spans="1:11" s="10" customFormat="1">
      <c r="A25" s="10" t="s">
        <v>17</v>
      </c>
      <c r="B25" s="10" t="s">
        <v>1</v>
      </c>
      <c r="C25" s="10" t="s">
        <v>316</v>
      </c>
      <c r="D25" s="10" t="s">
        <v>23</v>
      </c>
      <c r="E25" s="39" t="s">
        <v>337</v>
      </c>
      <c r="F25" s="39">
        <v>1</v>
      </c>
      <c r="G25" s="39">
        <f>(19+90+17+42)/4*1000</f>
        <v>42000</v>
      </c>
      <c r="H25" s="10" t="s">
        <v>257</v>
      </c>
    </row>
    <row r="26" spans="1:11" s="10" customFormat="1">
      <c r="A26" s="10" t="s">
        <v>17</v>
      </c>
      <c r="B26" s="10" t="s">
        <v>1</v>
      </c>
      <c r="C26" s="10" t="s">
        <v>316</v>
      </c>
      <c r="D26" s="10" t="s">
        <v>7</v>
      </c>
      <c r="E26" s="39" t="s">
        <v>337</v>
      </c>
      <c r="F26" s="39">
        <v>1</v>
      </c>
      <c r="G26" s="39">
        <f>(19+90+17+42)/4*1000</f>
        <v>42000</v>
      </c>
      <c r="H26" s="10" t="s">
        <v>257</v>
      </c>
    </row>
    <row r="27" spans="1:11" s="10" customFormat="1">
      <c r="A27" s="10" t="s">
        <v>17</v>
      </c>
      <c r="B27" s="10" t="s">
        <v>1</v>
      </c>
      <c r="C27" s="10" t="s">
        <v>316</v>
      </c>
      <c r="D27" s="10" t="s">
        <v>7</v>
      </c>
      <c r="E27" s="39" t="s">
        <v>337</v>
      </c>
      <c r="F27" s="39">
        <v>1</v>
      </c>
      <c r="G27" s="39">
        <f>(19+90+17+42)/4*1000</f>
        <v>42000</v>
      </c>
      <c r="H27" s="10" t="s">
        <v>257</v>
      </c>
    </row>
    <row r="28" spans="1:11" s="10" customFormat="1">
      <c r="A28" s="10" t="s">
        <v>17</v>
      </c>
      <c r="B28" s="10" t="s">
        <v>1</v>
      </c>
      <c r="C28" s="10" t="s">
        <v>316</v>
      </c>
      <c r="D28" s="10" t="s">
        <v>7</v>
      </c>
      <c r="E28" s="39" t="s">
        <v>337</v>
      </c>
      <c r="F28" s="39">
        <v>1</v>
      </c>
      <c r="G28" s="39">
        <f>(19+90+17+42)/4*1000</f>
        <v>42000</v>
      </c>
      <c r="H28" s="10" t="s">
        <v>257</v>
      </c>
    </row>
    <row r="29" spans="1:11" s="10" customFormat="1">
      <c r="A29" s="10" t="s">
        <v>17</v>
      </c>
      <c r="B29" s="10" t="s">
        <v>1</v>
      </c>
      <c r="C29" s="10" t="s">
        <v>316</v>
      </c>
      <c r="D29" s="10" t="s">
        <v>24</v>
      </c>
      <c r="E29" s="39" t="s">
        <v>337</v>
      </c>
      <c r="F29" s="39">
        <v>1</v>
      </c>
      <c r="G29" s="39">
        <f>(19+90+17+42)/4*1000</f>
        <v>42000</v>
      </c>
      <c r="H29" s="10" t="s">
        <v>257</v>
      </c>
    </row>
    <row r="30" spans="1:11" s="10" customFormat="1">
      <c r="A30" s="10" t="s">
        <v>17</v>
      </c>
      <c r="B30" s="10" t="s">
        <v>1</v>
      </c>
      <c r="C30" s="10" t="s">
        <v>316</v>
      </c>
      <c r="D30" s="10" t="s">
        <v>25</v>
      </c>
      <c r="E30" s="39" t="s">
        <v>337</v>
      </c>
      <c r="F30" s="39">
        <v>1</v>
      </c>
      <c r="G30" s="39">
        <f>(19+90+17+42)/4*1000</f>
        <v>42000</v>
      </c>
      <c r="H30" s="10" t="s">
        <v>257</v>
      </c>
    </row>
    <row r="31" spans="1:11" s="10" customFormat="1">
      <c r="A31" s="10" t="s">
        <v>17</v>
      </c>
      <c r="B31" s="10" t="s">
        <v>1</v>
      </c>
      <c r="C31" s="10" t="s">
        <v>316</v>
      </c>
      <c r="D31" s="10" t="s">
        <v>26</v>
      </c>
      <c r="E31" s="39" t="s">
        <v>337</v>
      </c>
      <c r="F31" s="39">
        <v>1</v>
      </c>
      <c r="G31" s="39">
        <f>(19+90+17+42)/4*1000</f>
        <v>42000</v>
      </c>
      <c r="H31" s="10" t="s">
        <v>257</v>
      </c>
    </row>
    <row r="32" spans="1:11" s="10" customFormat="1">
      <c r="A32" s="10" t="s">
        <v>17</v>
      </c>
      <c r="B32" s="10" t="s">
        <v>1</v>
      </c>
      <c r="C32" s="10" t="s">
        <v>316</v>
      </c>
      <c r="D32" s="10" t="s">
        <v>29</v>
      </c>
      <c r="E32" s="39" t="s">
        <v>337</v>
      </c>
      <c r="F32" s="39">
        <v>1</v>
      </c>
      <c r="G32" s="39">
        <f>(19+90+17+42)/4*1000</f>
        <v>42000</v>
      </c>
      <c r="H32" s="10" t="s">
        <v>257</v>
      </c>
    </row>
    <row r="33" spans="1:13" s="10" customFormat="1">
      <c r="A33" s="10" t="s">
        <v>17</v>
      </c>
      <c r="B33" s="10" t="s">
        <v>1</v>
      </c>
      <c r="C33" s="10" t="s">
        <v>316</v>
      </c>
      <c r="D33" s="10" t="s">
        <v>7</v>
      </c>
      <c r="E33" s="39" t="s">
        <v>337</v>
      </c>
      <c r="F33" s="39">
        <v>1</v>
      </c>
      <c r="G33" s="39">
        <f>(19+90+17+42)/4*1000</f>
        <v>42000</v>
      </c>
      <c r="H33" s="10" t="s">
        <v>257</v>
      </c>
    </row>
    <row r="34" spans="1:13" s="10" customFormat="1">
      <c r="A34" s="10" t="s">
        <v>17</v>
      </c>
      <c r="B34" s="10" t="s">
        <v>1</v>
      </c>
      <c r="C34" s="10" t="s">
        <v>316</v>
      </c>
      <c r="D34" s="10" t="s">
        <v>29</v>
      </c>
      <c r="E34" s="39" t="s">
        <v>337</v>
      </c>
      <c r="F34" s="39">
        <v>1</v>
      </c>
      <c r="G34" s="39">
        <f>(19+90+17+42)/4*1000</f>
        <v>42000</v>
      </c>
      <c r="H34" s="10" t="s">
        <v>257</v>
      </c>
    </row>
    <row r="35" spans="1:13" s="10" customFormat="1">
      <c r="A35" s="10" t="s">
        <v>17</v>
      </c>
      <c r="B35" s="10" t="s">
        <v>1</v>
      </c>
      <c r="C35" s="10" t="s">
        <v>316</v>
      </c>
      <c r="D35" s="10" t="s">
        <v>7</v>
      </c>
      <c r="E35" s="39" t="s">
        <v>337</v>
      </c>
      <c r="F35" s="39">
        <v>1</v>
      </c>
      <c r="G35" s="39">
        <f>(19+90+17+42)/4*1000</f>
        <v>42000</v>
      </c>
      <c r="H35" s="10" t="s">
        <v>257</v>
      </c>
    </row>
    <row r="36" spans="1:13" s="10" customFormat="1">
      <c r="A36" s="10" t="s">
        <v>17</v>
      </c>
      <c r="B36" s="10" t="s">
        <v>1</v>
      </c>
      <c r="C36" s="10" t="s">
        <v>316</v>
      </c>
      <c r="D36" s="10" t="s">
        <v>7</v>
      </c>
      <c r="E36" s="39" t="s">
        <v>337</v>
      </c>
      <c r="F36" s="39">
        <v>1</v>
      </c>
      <c r="G36" s="39">
        <f>(19+90+17+42)/4*1000</f>
        <v>42000</v>
      </c>
      <c r="H36" s="10" t="s">
        <v>257</v>
      </c>
    </row>
    <row r="37" spans="1:13" s="10" customFormat="1">
      <c r="A37" s="10" t="s">
        <v>17</v>
      </c>
      <c r="B37" s="10" t="s">
        <v>1</v>
      </c>
      <c r="C37" s="10" t="s">
        <v>316</v>
      </c>
      <c r="D37" s="10" t="s">
        <v>7</v>
      </c>
      <c r="E37" s="39" t="s">
        <v>337</v>
      </c>
      <c r="F37" s="39">
        <v>1</v>
      </c>
      <c r="G37" s="39">
        <f>(19+90+17+42)/4*1000</f>
        <v>42000</v>
      </c>
      <c r="H37" s="10" t="s">
        <v>257</v>
      </c>
    </row>
    <row r="38" spans="1:13" s="10" customFormat="1">
      <c r="A38" s="10" t="s">
        <v>17</v>
      </c>
      <c r="B38" s="10" t="s">
        <v>1</v>
      </c>
      <c r="C38" s="10" t="s">
        <v>316</v>
      </c>
      <c r="D38" s="10" t="s">
        <v>7</v>
      </c>
      <c r="E38" s="39" t="s">
        <v>337</v>
      </c>
      <c r="F38" s="39">
        <v>1</v>
      </c>
      <c r="G38" s="39">
        <f>(19+90+17+42)/4*1000</f>
        <v>42000</v>
      </c>
      <c r="H38" s="10" t="s">
        <v>257</v>
      </c>
    </row>
    <row r="39" spans="1:13" s="10" customFormat="1">
      <c r="A39" s="10" t="s">
        <v>17</v>
      </c>
      <c r="B39" s="10" t="s">
        <v>1</v>
      </c>
      <c r="C39" s="10" t="s">
        <v>316</v>
      </c>
      <c r="D39" s="10" t="s">
        <v>7</v>
      </c>
      <c r="E39" s="39" t="s">
        <v>337</v>
      </c>
      <c r="F39" s="39">
        <v>1</v>
      </c>
      <c r="G39" s="39">
        <f>(19+90+17+42)/4*1000</f>
        <v>42000</v>
      </c>
      <c r="H39" s="10" t="s">
        <v>257</v>
      </c>
    </row>
    <row r="40" spans="1:13" s="10" customFormat="1">
      <c r="A40" s="10" t="s">
        <v>17</v>
      </c>
      <c r="B40" s="10" t="s">
        <v>1</v>
      </c>
      <c r="C40" s="10" t="s">
        <v>316</v>
      </c>
      <c r="D40" s="10" t="s">
        <v>30</v>
      </c>
      <c r="E40" s="39" t="s">
        <v>337</v>
      </c>
      <c r="F40" s="39">
        <v>1</v>
      </c>
      <c r="G40" s="39">
        <f>(19+90+17+42)/4*1000</f>
        <v>42000</v>
      </c>
      <c r="H40" s="10" t="s">
        <v>257</v>
      </c>
    </row>
    <row r="41" spans="1:13" s="10" customFormat="1">
      <c r="A41" s="10" t="s">
        <v>17</v>
      </c>
      <c r="B41" s="10" t="s">
        <v>1</v>
      </c>
      <c r="C41" s="10" t="s">
        <v>316</v>
      </c>
      <c r="D41" s="10" t="s">
        <v>29</v>
      </c>
      <c r="E41" s="39" t="s">
        <v>337</v>
      </c>
      <c r="F41" s="39">
        <v>1</v>
      </c>
      <c r="G41" s="39">
        <f>(19+90+17+42)/4*1000</f>
        <v>42000</v>
      </c>
      <c r="H41" s="10" t="s">
        <v>257</v>
      </c>
    </row>
    <row r="42" spans="1:13" s="10" customFormat="1">
      <c r="A42" s="10" t="s">
        <v>17</v>
      </c>
      <c r="B42" s="10" t="s">
        <v>1</v>
      </c>
      <c r="C42" s="10" t="s">
        <v>316</v>
      </c>
      <c r="D42" s="10" t="s">
        <v>29</v>
      </c>
      <c r="E42" s="39" t="s">
        <v>337</v>
      </c>
      <c r="F42" s="39">
        <v>1</v>
      </c>
      <c r="G42" s="39">
        <f>(19+90+17+42)/4*1000</f>
        <v>42000</v>
      </c>
      <c r="H42" s="10" t="s">
        <v>257</v>
      </c>
    </row>
    <row r="43" spans="1:13" s="5" customFormat="1">
      <c r="A43" s="5" t="s">
        <v>17</v>
      </c>
      <c r="B43" s="5" t="s">
        <v>1</v>
      </c>
      <c r="C43" s="10" t="s">
        <v>316</v>
      </c>
      <c r="D43" s="5" t="s">
        <v>7</v>
      </c>
      <c r="E43" s="7" t="s">
        <v>337</v>
      </c>
      <c r="F43" s="7">
        <v>1</v>
      </c>
      <c r="G43" s="7">
        <f>(19+90+17+42)/4*1000</f>
        <v>42000</v>
      </c>
      <c r="H43" s="5" t="s">
        <v>257</v>
      </c>
      <c r="M43" s="8"/>
    </row>
    <row r="44" spans="1:13" s="28" customFormat="1">
      <c r="A44" s="28" t="s">
        <v>315</v>
      </c>
      <c r="B44" s="28" t="s">
        <v>331</v>
      </c>
      <c r="C44" s="28" t="s">
        <v>316</v>
      </c>
      <c r="E44" s="29" t="s">
        <v>337</v>
      </c>
      <c r="F44" s="29">
        <v>1</v>
      </c>
      <c r="G44" s="29">
        <f>(19+90+17+42)/4*1000</f>
        <v>42000</v>
      </c>
      <c r="H44" s="28" t="s">
        <v>414</v>
      </c>
    </row>
    <row r="45" spans="1:13" s="28" customFormat="1">
      <c r="A45" s="28" t="s">
        <v>315</v>
      </c>
      <c r="B45" s="28" t="s">
        <v>331</v>
      </c>
      <c r="C45" s="28" t="s">
        <v>316</v>
      </c>
      <c r="E45" s="29" t="s">
        <v>337</v>
      </c>
      <c r="F45" s="29">
        <v>1</v>
      </c>
      <c r="G45" s="29">
        <f>(19+90+17+42)/4*1000</f>
        <v>42000</v>
      </c>
      <c r="H45" s="28" t="s">
        <v>415</v>
      </c>
    </row>
    <row r="46" spans="1:13" s="28" customFormat="1">
      <c r="A46" s="28" t="s">
        <v>315</v>
      </c>
      <c r="B46" s="28" t="s">
        <v>331</v>
      </c>
      <c r="C46" s="28" t="s">
        <v>316</v>
      </c>
      <c r="E46" s="29" t="s">
        <v>337</v>
      </c>
      <c r="F46" s="29">
        <v>1</v>
      </c>
      <c r="G46" s="29">
        <f>(19+90+17+42)/4*1000</f>
        <v>42000</v>
      </c>
      <c r="H46" s="28" t="s">
        <v>418</v>
      </c>
    </row>
    <row r="47" spans="1:13" s="28" customFormat="1">
      <c r="A47" s="28" t="s">
        <v>420</v>
      </c>
      <c r="B47" s="28" t="s">
        <v>331</v>
      </c>
      <c r="C47" s="28" t="s">
        <v>316</v>
      </c>
      <c r="E47" s="29" t="s">
        <v>353</v>
      </c>
      <c r="F47" s="29">
        <v>1</v>
      </c>
      <c r="G47" s="29">
        <f>(4.1+5.9+3.2+4.8)/4*1000</f>
        <v>4500</v>
      </c>
      <c r="H47" s="28" t="s">
        <v>419</v>
      </c>
    </row>
    <row r="48" spans="1:13" s="28" customFormat="1">
      <c r="A48" s="28" t="s">
        <v>425</v>
      </c>
      <c r="B48" s="28" t="s">
        <v>331</v>
      </c>
      <c r="C48" s="28" t="s">
        <v>316</v>
      </c>
      <c r="E48" s="29" t="s">
        <v>337</v>
      </c>
      <c r="F48" s="29">
        <v>1</v>
      </c>
      <c r="G48" s="29">
        <f>(22+92+17+39)/4*1000</f>
        <v>42500</v>
      </c>
      <c r="H48" s="28" t="s">
        <v>414</v>
      </c>
    </row>
    <row r="49" spans="1:12" s="5" customFormat="1">
      <c r="A49" s="5" t="s">
        <v>45</v>
      </c>
      <c r="B49" s="5" t="s">
        <v>1</v>
      </c>
      <c r="C49" s="5" t="s">
        <v>316</v>
      </c>
      <c r="D49" s="5" t="s">
        <v>35</v>
      </c>
      <c r="E49" s="7" t="s">
        <v>429</v>
      </c>
      <c r="F49" s="7">
        <v>1</v>
      </c>
      <c r="G49" s="7">
        <f>(3.2+5.9+3.1+5.4)/4*1000</f>
        <v>4400</v>
      </c>
      <c r="H49" s="5" t="s">
        <v>46</v>
      </c>
      <c r="L49" s="8"/>
    </row>
    <row r="50" spans="1:12" s="5" customFormat="1">
      <c r="A50" s="5" t="s">
        <v>83</v>
      </c>
      <c r="B50" s="5" t="s">
        <v>1</v>
      </c>
      <c r="C50" s="5" t="s">
        <v>316</v>
      </c>
      <c r="D50" s="5" t="s">
        <v>2</v>
      </c>
      <c r="E50" s="5" t="s">
        <v>353</v>
      </c>
      <c r="F50" s="7">
        <v>1</v>
      </c>
      <c r="G50" s="7">
        <f>(0.7+1.3)/2*1000</f>
        <v>1000</v>
      </c>
      <c r="H50" s="5" t="s">
        <v>287</v>
      </c>
      <c r="L50" s="8"/>
    </row>
    <row r="51" spans="1:12" s="5" customFormat="1">
      <c r="A51" s="8" t="s">
        <v>87</v>
      </c>
      <c r="B51" s="8" t="s">
        <v>1</v>
      </c>
      <c r="C51" s="8" t="s">
        <v>316</v>
      </c>
      <c r="D51" s="8" t="s">
        <v>35</v>
      </c>
      <c r="E51" s="31" t="s">
        <v>429</v>
      </c>
      <c r="F51" s="7">
        <v>1</v>
      </c>
      <c r="G51" s="7">
        <f>(17.5+36)/2*1000</f>
        <v>26750</v>
      </c>
      <c r="H51" s="8" t="s">
        <v>290</v>
      </c>
      <c r="L51" s="8"/>
    </row>
    <row r="52" spans="1:12" s="5" customFormat="1">
      <c r="A52" s="8" t="s">
        <v>87</v>
      </c>
      <c r="B52" s="8" t="s">
        <v>1</v>
      </c>
      <c r="C52" s="8" t="s">
        <v>316</v>
      </c>
      <c r="D52" s="8" t="s">
        <v>88</v>
      </c>
      <c r="E52" s="31" t="s">
        <v>337</v>
      </c>
      <c r="F52" s="7">
        <v>1</v>
      </c>
      <c r="G52" s="7">
        <f>(17.5+36)/2*1000</f>
        <v>26750</v>
      </c>
      <c r="H52" s="8" t="s">
        <v>291</v>
      </c>
      <c r="L52" s="8"/>
    </row>
    <row r="53" spans="1:12" s="28" customFormat="1">
      <c r="A53" s="28" t="s">
        <v>96</v>
      </c>
      <c r="B53" s="28" t="s">
        <v>331</v>
      </c>
      <c r="C53" s="28" t="s">
        <v>316</v>
      </c>
      <c r="E53" s="29" t="s">
        <v>353</v>
      </c>
      <c r="F53" s="29">
        <v>1</v>
      </c>
      <c r="G53" s="29">
        <f>(1.5+5+0.9+2.5)/4*1000</f>
        <v>2475</v>
      </c>
      <c r="H53" s="28" t="s">
        <v>359</v>
      </c>
    </row>
    <row r="54" spans="1:12" s="28" customFormat="1">
      <c r="A54" s="28" t="s">
        <v>322</v>
      </c>
      <c r="B54" s="28" t="s">
        <v>331</v>
      </c>
      <c r="C54" s="28" t="s">
        <v>316</v>
      </c>
      <c r="E54" s="29" t="s">
        <v>353</v>
      </c>
      <c r="F54" s="29">
        <v>1</v>
      </c>
      <c r="G54" s="29">
        <f>(8+14+5+9)/4*1000</f>
        <v>9000</v>
      </c>
      <c r="H54" s="28" t="s">
        <v>369</v>
      </c>
    </row>
    <row r="55" spans="1:12" s="28" customFormat="1">
      <c r="A55" s="28" t="s">
        <v>371</v>
      </c>
      <c r="B55" s="28" t="s">
        <v>331</v>
      </c>
      <c r="C55" s="28" t="s">
        <v>316</v>
      </c>
      <c r="E55" s="29" t="s">
        <v>353</v>
      </c>
      <c r="F55" s="29">
        <v>1</v>
      </c>
      <c r="G55" s="29">
        <f>(0.5+2.5)/2*1000</f>
        <v>1500</v>
      </c>
      <c r="H55" s="28" t="s">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1531F-7B1C-42C2-8D00-64A9AF6C60CB}">
  <dimension ref="A1:A123"/>
  <sheetViews>
    <sheetView topLeftCell="A99" workbookViewId="0">
      <selection activeCell="A122" sqref="A122:A123"/>
    </sheetView>
  </sheetViews>
  <sheetFormatPr defaultRowHeight="14.4"/>
  <sheetData>
    <row r="1" spans="1:1" ht="15.6">
      <c r="A1" t="s">
        <v>136</v>
      </c>
    </row>
    <row r="2" spans="1:1">
      <c r="A2" t="s">
        <v>137</v>
      </c>
    </row>
    <row r="3" spans="1:1">
      <c r="A3" t="s">
        <v>138</v>
      </c>
    </row>
    <row r="4" spans="1:1">
      <c r="A4" t="s">
        <v>139</v>
      </c>
    </row>
    <row r="5" spans="1:1">
      <c r="A5" t="s">
        <v>140</v>
      </c>
    </row>
    <row r="6" spans="1:1">
      <c r="A6" t="s">
        <v>141</v>
      </c>
    </row>
    <row r="7" spans="1:1">
      <c r="A7" t="s">
        <v>142</v>
      </c>
    </row>
    <row r="8" spans="1:1">
      <c r="A8" t="s">
        <v>143</v>
      </c>
    </row>
    <row r="9" spans="1:1">
      <c r="A9" t="s">
        <v>144</v>
      </c>
    </row>
    <row r="10" spans="1:1">
      <c r="A10" t="s">
        <v>145</v>
      </c>
    </row>
    <row r="11" spans="1:1">
      <c r="A11" t="s">
        <v>146</v>
      </c>
    </row>
    <row r="12" spans="1:1">
      <c r="A12" t="s">
        <v>147</v>
      </c>
    </row>
    <row r="13" spans="1:1">
      <c r="A13" t="s">
        <v>148</v>
      </c>
    </row>
    <row r="14" spans="1:1">
      <c r="A14" t="s">
        <v>149</v>
      </c>
    </row>
    <row r="15" spans="1:1">
      <c r="A15" t="s">
        <v>150</v>
      </c>
    </row>
    <row r="16" spans="1:1">
      <c r="A16" t="s">
        <v>151</v>
      </c>
    </row>
    <row r="17" spans="1:1">
      <c r="A17" t="s">
        <v>152</v>
      </c>
    </row>
    <row r="18" spans="1:1">
      <c r="A18" t="s">
        <v>153</v>
      </c>
    </row>
    <row r="19" spans="1:1">
      <c r="A19" t="s">
        <v>154</v>
      </c>
    </row>
    <row r="20" spans="1:1">
      <c r="A20" t="s">
        <v>319</v>
      </c>
    </row>
    <row r="21" spans="1:1">
      <c r="A21" t="s">
        <v>155</v>
      </c>
    </row>
    <row r="22" spans="1:1">
      <c r="A22" t="s">
        <v>156</v>
      </c>
    </row>
    <row r="23" spans="1:1">
      <c r="A23" t="s">
        <v>157</v>
      </c>
    </row>
    <row r="24" spans="1:1">
      <c r="A24" t="s">
        <v>158</v>
      </c>
    </row>
    <row r="25" spans="1:1">
      <c r="A25" t="s">
        <v>159</v>
      </c>
    </row>
    <row r="26" spans="1:1">
      <c r="A26" t="s">
        <v>160</v>
      </c>
    </row>
    <row r="27" spans="1:1">
      <c r="A27" t="s">
        <v>161</v>
      </c>
    </row>
    <row r="28" spans="1:1">
      <c r="A28" t="s">
        <v>162</v>
      </c>
    </row>
    <row r="29" spans="1:1">
      <c r="A29" t="s">
        <v>163</v>
      </c>
    </row>
    <row r="30" spans="1:1">
      <c r="A30" t="s">
        <v>164</v>
      </c>
    </row>
    <row r="31" spans="1:1">
      <c r="A31" t="s">
        <v>165</v>
      </c>
    </row>
    <row r="32" spans="1:1">
      <c r="A32" t="s">
        <v>166</v>
      </c>
    </row>
    <row r="33" spans="1:1">
      <c r="A33" t="s">
        <v>167</v>
      </c>
    </row>
    <row r="34" spans="1:1">
      <c r="A34" t="s">
        <v>168</v>
      </c>
    </row>
    <row r="35" spans="1:1">
      <c r="A35" t="s">
        <v>169</v>
      </c>
    </row>
    <row r="36" spans="1:1">
      <c r="A36" t="s">
        <v>170</v>
      </c>
    </row>
    <row r="37" spans="1:1">
      <c r="A37" t="s">
        <v>171</v>
      </c>
    </row>
    <row r="38" spans="1:1">
      <c r="A38" t="s">
        <v>172</v>
      </c>
    </row>
    <row r="39" spans="1:1">
      <c r="A39" t="s">
        <v>173</v>
      </c>
    </row>
    <row r="40" spans="1:1">
      <c r="A40" t="s">
        <v>174</v>
      </c>
    </row>
    <row r="41" spans="1:1">
      <c r="A41" t="s">
        <v>175</v>
      </c>
    </row>
    <row r="42" spans="1:1">
      <c r="A42" t="s">
        <v>176</v>
      </c>
    </row>
    <row r="43" spans="1:1">
      <c r="A43" t="s">
        <v>177</v>
      </c>
    </row>
    <row r="44" spans="1:1">
      <c r="A44" t="s">
        <v>178</v>
      </c>
    </row>
    <row r="45" spans="1:1">
      <c r="A45" t="s">
        <v>179</v>
      </c>
    </row>
    <row r="46" spans="1:1">
      <c r="A46" t="s">
        <v>180</v>
      </c>
    </row>
    <row r="47" spans="1:1">
      <c r="A47" t="s">
        <v>181</v>
      </c>
    </row>
    <row r="48" spans="1:1">
      <c r="A48" t="s">
        <v>182</v>
      </c>
    </row>
    <row r="49" spans="1:1">
      <c r="A49" t="s">
        <v>183</v>
      </c>
    </row>
    <row r="50" spans="1:1">
      <c r="A50" t="s">
        <v>184</v>
      </c>
    </row>
    <row r="51" spans="1:1">
      <c r="A51" t="s">
        <v>185</v>
      </c>
    </row>
    <row r="52" spans="1:1">
      <c r="A52" t="s">
        <v>186</v>
      </c>
    </row>
    <row r="53" spans="1:1">
      <c r="A53" t="s">
        <v>187</v>
      </c>
    </row>
    <row r="54" spans="1:1">
      <c r="A54" t="s">
        <v>188</v>
      </c>
    </row>
    <row r="55" spans="1:1">
      <c r="A55" t="s">
        <v>189</v>
      </c>
    </row>
    <row r="56" spans="1:1">
      <c r="A56" t="s">
        <v>190</v>
      </c>
    </row>
    <row r="57" spans="1:1">
      <c r="A57" t="s">
        <v>191</v>
      </c>
    </row>
    <row r="58" spans="1:1">
      <c r="A58" t="s">
        <v>192</v>
      </c>
    </row>
    <row r="59" spans="1:1">
      <c r="A59" t="s">
        <v>193</v>
      </c>
    </row>
    <row r="60" spans="1:1">
      <c r="A60" t="s">
        <v>194</v>
      </c>
    </row>
    <row r="61" spans="1:1">
      <c r="A61" t="s">
        <v>195</v>
      </c>
    </row>
    <row r="62" spans="1:1">
      <c r="A62" t="s">
        <v>196</v>
      </c>
    </row>
    <row r="63" spans="1:1">
      <c r="A63" t="s">
        <v>197</v>
      </c>
    </row>
    <row r="64" spans="1:1">
      <c r="A64" t="s">
        <v>198</v>
      </c>
    </row>
    <row r="65" spans="1:1">
      <c r="A65" t="s">
        <v>199</v>
      </c>
    </row>
    <row r="66" spans="1:1">
      <c r="A66" t="s">
        <v>200</v>
      </c>
    </row>
    <row r="67" spans="1:1">
      <c r="A67" t="s">
        <v>201</v>
      </c>
    </row>
    <row r="68" spans="1:1">
      <c r="A68" t="s">
        <v>202</v>
      </c>
    </row>
    <row r="69" spans="1:1">
      <c r="A69" t="s">
        <v>203</v>
      </c>
    </row>
    <row r="70" spans="1:1">
      <c r="A70" t="s">
        <v>204</v>
      </c>
    </row>
    <row r="71" spans="1:1">
      <c r="A71" t="s">
        <v>205</v>
      </c>
    </row>
    <row r="72" spans="1:1">
      <c r="A72" t="s">
        <v>206</v>
      </c>
    </row>
    <row r="73" spans="1:1">
      <c r="A73" t="s">
        <v>207</v>
      </c>
    </row>
    <row r="74" spans="1:1">
      <c r="A74" t="s">
        <v>208</v>
      </c>
    </row>
    <row r="75" spans="1:1">
      <c r="A75" t="s">
        <v>209</v>
      </c>
    </row>
    <row r="76" spans="1:1">
      <c r="A76" t="s">
        <v>210</v>
      </c>
    </row>
    <row r="77" spans="1:1">
      <c r="A77" t="s">
        <v>211</v>
      </c>
    </row>
    <row r="78" spans="1:1">
      <c r="A78" t="s">
        <v>212</v>
      </c>
    </row>
    <row r="79" spans="1:1">
      <c r="A79" t="s">
        <v>213</v>
      </c>
    </row>
    <row r="80" spans="1:1">
      <c r="A80" t="s">
        <v>214</v>
      </c>
    </row>
    <row r="81" spans="1:1">
      <c r="A81" t="s">
        <v>215</v>
      </c>
    </row>
    <row r="82" spans="1:1">
      <c r="A82" t="s">
        <v>216</v>
      </c>
    </row>
    <row r="83" spans="1:1">
      <c r="A83" t="s">
        <v>217</v>
      </c>
    </row>
    <row r="84" spans="1:1" ht="15.6">
      <c r="A84" t="s">
        <v>218</v>
      </c>
    </row>
    <row r="85" spans="1:1">
      <c r="A85" t="s">
        <v>219</v>
      </c>
    </row>
    <row r="86" spans="1:1">
      <c r="A86" t="s">
        <v>220</v>
      </c>
    </row>
    <row r="87" spans="1:1">
      <c r="A87" t="s">
        <v>221</v>
      </c>
    </row>
    <row r="88" spans="1:1">
      <c r="A88" t="s">
        <v>222</v>
      </c>
    </row>
    <row r="89" spans="1:1">
      <c r="A89" t="s">
        <v>223</v>
      </c>
    </row>
    <row r="90" spans="1:1">
      <c r="A90" t="s">
        <v>224</v>
      </c>
    </row>
    <row r="91" spans="1:1">
      <c r="A91" t="s">
        <v>225</v>
      </c>
    </row>
    <row r="92" spans="1:1">
      <c r="A92" t="s">
        <v>226</v>
      </c>
    </row>
    <row r="93" spans="1:1">
      <c r="A93" t="s">
        <v>227</v>
      </c>
    </row>
    <row r="94" spans="1:1">
      <c r="A94" t="s">
        <v>228</v>
      </c>
    </row>
    <row r="95" spans="1:1">
      <c r="A95" t="s">
        <v>229</v>
      </c>
    </row>
    <row r="96" spans="1:1">
      <c r="A96" t="s">
        <v>230</v>
      </c>
    </row>
    <row r="97" spans="1:1">
      <c r="A97" t="s">
        <v>231</v>
      </c>
    </row>
    <row r="98" spans="1:1">
      <c r="A98" t="s">
        <v>232</v>
      </c>
    </row>
    <row r="99" spans="1:1">
      <c r="A99" t="s">
        <v>233</v>
      </c>
    </row>
    <row r="100" spans="1:1">
      <c r="A100" t="s">
        <v>234</v>
      </c>
    </row>
    <row r="101" spans="1:1" ht="15.6">
      <c r="A101" t="s">
        <v>235</v>
      </c>
    </row>
    <row r="102" spans="1:1">
      <c r="A102" t="s">
        <v>236</v>
      </c>
    </row>
    <row r="103" spans="1:1">
      <c r="A103" t="s">
        <v>237</v>
      </c>
    </row>
    <row r="104" spans="1:1">
      <c r="A104" t="s">
        <v>238</v>
      </c>
    </row>
    <row r="105" spans="1:1">
      <c r="A105" t="s">
        <v>239</v>
      </c>
    </row>
    <row r="106" spans="1:1">
      <c r="A106" t="s">
        <v>240</v>
      </c>
    </row>
    <row r="107" spans="1:1">
      <c r="A107" t="s">
        <v>241</v>
      </c>
    </row>
    <row r="108" spans="1:1">
      <c r="A108" t="s">
        <v>242</v>
      </c>
    </row>
    <row r="109" spans="1:1">
      <c r="A109" t="s">
        <v>243</v>
      </c>
    </row>
    <row r="110" spans="1:1">
      <c r="A110" t="s">
        <v>244</v>
      </c>
    </row>
    <row r="111" spans="1:1">
      <c r="A111" t="s">
        <v>245</v>
      </c>
    </row>
    <row r="112" spans="1:1">
      <c r="A112" t="s">
        <v>246</v>
      </c>
    </row>
    <row r="113" spans="1:1">
      <c r="A113" t="s">
        <v>327</v>
      </c>
    </row>
    <row r="114" spans="1:1">
      <c r="A114" t="s">
        <v>328</v>
      </c>
    </row>
    <row r="115" spans="1:1">
      <c r="A115" t="s">
        <v>329</v>
      </c>
    </row>
    <row r="116" spans="1:1">
      <c r="A116" t="s">
        <v>330</v>
      </c>
    </row>
    <row r="117" spans="1:1">
      <c r="A117" t="s">
        <v>335</v>
      </c>
    </row>
    <row r="118" spans="1:1">
      <c r="A118" t="s">
        <v>455</v>
      </c>
    </row>
    <row r="119" spans="1:1">
      <c r="A119" t="s">
        <v>457</v>
      </c>
    </row>
    <row r="120" spans="1:1">
      <c r="A120" t="s">
        <v>466</v>
      </c>
    </row>
    <row r="121" spans="1:1">
      <c r="A121" s="23" t="s">
        <v>469</v>
      </c>
    </row>
    <row r="122" spans="1:1">
      <c r="A122" t="s">
        <v>471</v>
      </c>
    </row>
    <row r="123" spans="1:1">
      <c r="A123" t="s">
        <v>472</v>
      </c>
    </row>
  </sheetData>
  <phoneticPr fontId="2" type="noConversion"/>
  <hyperlinks>
    <hyperlink ref="A2" r:id="rId1" display="https://doi.org/10.1071/wr9830025" xr:uid="{1238CB7D-C896-41F2-889B-269F471302D4}"/>
    <hyperlink ref="A3" r:id="rId2" display="https://doi.org/10.1071/WR9840423" xr:uid="{E5FE9C32-0299-4729-B712-042AD640FDDF}"/>
    <hyperlink ref="A4" r:id="rId3" display="https://doi.org/10.1071/WR96112" xr:uid="{51DC4EFD-15B4-4BAB-9054-543F4CB6CEAE}"/>
    <hyperlink ref="A5" r:id="rId4" display="https://doi.org/10.1016/j.anbehav.2017.01.012" xr:uid="{F47C7C32-CA9F-4BD8-BC82-99492F9D03EE}"/>
    <hyperlink ref="A6" r:id="rId5" display="https://doi.org/10.35792/zot.36.1.2016.10467" xr:uid="{3EE3538D-01AB-4DC9-9EC4-C5E61D15A095}"/>
    <hyperlink ref="A7" r:id="rId6" display="https://doi.org/10.1071/ZO09070" xr:uid="{4CD6D14F-DF33-46C3-A091-5D46836B346B}"/>
    <hyperlink ref="A8" r:id="rId7" display="https://doi.org/10.1071/wr9790237" xr:uid="{4927856C-9351-47DF-AFF1-353E05538DF2}"/>
    <hyperlink ref="A9" r:id="rId8" display="https://doi.org/10.1071/WR01095" xr:uid="{40EF2E9D-BC22-4B53-9D87-3F37877AB912}"/>
    <hyperlink ref="A10" r:id="rId9" display="https://doi.org/10.1093/beheco/arp019" xr:uid="{F6EAE0AF-1C4F-4CC7-9741-487FED2F2333}"/>
    <hyperlink ref="A11" r:id="rId10" display="https://doi.org/10.1071/Am05007" xr:uid="{1D13DC01-EC25-43F5-9D64-D56AA4829657}"/>
    <hyperlink ref="A12" r:id="rId11" display="https://doi.org/10.1071/AM08113" xr:uid="{9B829D50-9928-447E-8312-0C887FCDA5B9}"/>
    <hyperlink ref="A13" r:id="rId12" display="https://doi.org/10.1017/S0952836905007636" xr:uid="{5871D329-236D-4337-AEB9-33E70C577F7F}"/>
    <hyperlink ref="A14" r:id="rId13" display="https://doi.org/10.1071/ZO00077" xr:uid="{0E23AA25-00DD-4A94-93C9-AA97A58422E7}"/>
    <hyperlink ref="A15" r:id="rId14" display="https://doi.org/10.1071/ZO00084" xr:uid="{64855AE2-B0A8-4FD4-94E1-71E13CEE3474}"/>
    <hyperlink ref="A16" r:id="rId15" display="https://doi.org/10.1371/journal.pone.0091870" xr:uid="{02260151-C975-4FA2-8FC7-2C8E30D86D2E}"/>
    <hyperlink ref="A17" r:id="rId16" display="https://doi.org/10.1111/j.1469-7998.1971.tb02178.x" xr:uid="{26EF5885-FFED-496F-A5CB-96BACB44253C}"/>
    <hyperlink ref="A18" r:id="rId17" display="https://doi.org/10.1071/ZO9920267" xr:uid="{469CA75D-63D3-4114-BFED-A173A80D1705}"/>
    <hyperlink ref="A19" r:id="rId18" display="https://doi.org/10.1071/wr9870243" xr:uid="{35024239-4D1A-49A6-B6B3-DC5FE8DBE411}"/>
    <hyperlink ref="A21" r:id="rId19" display="https://doi.org/10.1071/WR9850001" xr:uid="{CA4A9897-CCDB-47D5-9047-682C5B4C5747}"/>
    <hyperlink ref="A22" r:id="rId20" display="https://doi.org/10.1515/mamm.1991.55.2.169" xr:uid="{C0E95AE2-B152-4773-BAA3-E675DBB6B2A1}"/>
    <hyperlink ref="A23" r:id="rId21" display="https://doi.org/10.1071/ZO9960009" xr:uid="{866FC885-4A54-47F1-BA2F-7FCA59E4D0D1}"/>
    <hyperlink ref="A24" r:id="rId22" display="https://doi.org/10.1016/S0003-3472(74)80032-1" xr:uid="{029FDF25-57BD-420D-9741-3AE64D9B6D4D}"/>
    <hyperlink ref="A25" r:id="rId23" display="https://doi.org/10.1071/WR9810013" xr:uid="{A0C7BE9E-3238-4AEE-8A93-639E4888EA4D}"/>
    <hyperlink ref="A26" r:id="rId24" display="https://doi.org/10.1071/AM12020" xr:uid="{0F2875FE-BEC9-4D14-9DFC-79B6F590B532}"/>
    <hyperlink ref="A27" r:id="rId25" display="https://doi.org/10.1006/anbe.2001.1686" xr:uid="{88BD3E2A-B4F2-4FFB-BFA4-D2AA9CBB7211}"/>
    <hyperlink ref="A28" r:id="rId26" display="https://doi.org/10.1111/j.1365-294X.2005.02784.x" xr:uid="{2B5982BA-D032-401A-B1F3-C71FFA325DD0}"/>
    <hyperlink ref="A29" r:id="rId27" display="https://doi.org/10.1071/zo9810205" xr:uid="{81917A44-BC3B-4DA3-8BA4-836C965DEC46}"/>
    <hyperlink ref="A30" r:id="rId28" display="https://doi.org/10.1071/wr9950471" xr:uid="{7C3A29FC-1843-4968-90DE-46B881C2FD5B}"/>
    <hyperlink ref="A31" r:id="rId29" display="https://doi.org/10.1071/ZO9670029" xr:uid="{393F2F8D-1115-4917-BF62-B5AA5EDBB163}"/>
    <hyperlink ref="A32" r:id="rId30" display="https://doi.org/10.1071/WR02112" xr:uid="{5B2904EA-C59A-4CF3-AA45-239AA38E438A}"/>
    <hyperlink ref="A33" r:id="rId31" display="https://doi.org/10.1163/156853908X390940" xr:uid="{6C3FE192-6147-4BA1-AF1A-E9C6C1480847}"/>
    <hyperlink ref="A34" r:id="rId32" display="https://doi.org/10.1071/AM03169" xr:uid="{F35D787D-0F36-444A-814E-89C8AA5F0FEF}"/>
    <hyperlink ref="A35" r:id="rId33" display="https://doi.org/10.1071/WR98015" xr:uid="{C5F52089-1A82-4816-98B1-C85DA59CAA10}"/>
    <hyperlink ref="A36" r:id="rId34" display="https://doi.org/10.2307/1383227" xr:uid="{261C29F5-7E6A-492B-A6F6-F17FC923A061}"/>
    <hyperlink ref="A37" r:id="rId35" display="https://doi.org/10.1071/ZO07027" xr:uid="{2577D455-07C2-4577-925D-23D5E201FA73}"/>
    <hyperlink ref="A38" r:id="rId36" display="https://doi.org/10.1071/ZO12071" xr:uid="{FE87F7E3-33C3-414D-A3B4-932BBF9AAE8F}"/>
    <hyperlink ref="A39" r:id="rId37" display="https://doi.org/10.1093/beheco/aru116" xr:uid="{FCAC6D6D-6720-4E7C-983F-B80DF26ABDFC}"/>
    <hyperlink ref="A40" r:id="rId38" display="https://doi.org/10.1071/WR03035" xr:uid="{D3C8A07A-C8E9-4726-A6FC-7EE09BED022B}"/>
    <hyperlink ref="A41" r:id="rId39" display="https://doi.org/10.1163/156853907782418240" xr:uid="{52615EFB-25B0-44C9-91E5-4E443DC81CBE}"/>
    <hyperlink ref="A42" r:id="rId40" display="https://doi.org/10.1007/s00265-017-2297-1" xr:uid="{498EA1C4-202A-4336-822D-E156F5891E41}"/>
    <hyperlink ref="A43" r:id="rId41" display="https://doi.org/10.1111/j.1442-9993.2007.01763.x" xr:uid="{CBBCB47E-E4FC-45EE-9705-A3FD86D0C4E4}"/>
    <hyperlink ref="A44" r:id="rId42" display="https://doi.org/10.1071/zo9900503" xr:uid="{90D95A77-45B7-458F-9F89-31BC5DCFD3A5}"/>
    <hyperlink ref="A45" r:id="rId43" display="https://doi.org/10.1098/rspb.2009.2337" xr:uid="{57B4C568-758C-4BE4-A75A-3FFD2EFCB605}"/>
    <hyperlink ref="A46" r:id="rId44" display="https://doi.org/10.1071/ZO12122" xr:uid="{27CD9062-3412-4A48-AF15-1666823A642C}"/>
    <hyperlink ref="A47" r:id="rId45" display="https://doi.org/10.1071/WR9930387" xr:uid="{00E0CA63-2C7E-4C69-A5EB-6563389983C6}"/>
    <hyperlink ref="A48" r:id="rId46" display="https://doi.org/10.1071/wr9950699" xr:uid="{AACA0FA3-5F65-4405-93FB-AB70E8CF535C}"/>
    <hyperlink ref="A49" r:id="rId47" display="https://doi.org/10.1071/wr98046" xr:uid="{A87E8A0A-CB7F-4788-8105-93C0536555C8}"/>
    <hyperlink ref="A50" r:id="rId48" display="https://doi.org/10.1071/WR9960401" xr:uid="{47139E07-1176-48F3-AA46-5A3B8074F320}"/>
    <hyperlink ref="A51" r:id="rId49" display="https://doi.org/10.1644/06-MAMM-A-404R1.1" xr:uid="{90040195-91A5-496A-B100-017DF958E242}"/>
    <hyperlink ref="A52" r:id="rId50" display="https://doi.org/10.1071/WR9940065" xr:uid="{71A25C1E-F38F-4113-B3E9-E201AB7919AC}"/>
    <hyperlink ref="A53" r:id="rId51" display="https://doi.org/10.1071/WR97095" xr:uid="{AF6E2E4F-EEEC-417C-9506-77622A70A854}"/>
    <hyperlink ref="A54" r:id="rId52" display="https://doi.org/10.1071/wr98016" xr:uid="{C47C74BF-CE74-42CE-8F08-556B3B3F3040}"/>
    <hyperlink ref="A55" r:id="rId53" display="https://doi.org/10.1071/WR9820229" xr:uid="{226CE18A-6FA6-449E-93A1-5A0FB3FED2DF}"/>
    <hyperlink ref="A56" r:id="rId54" display="https://doi.org/10.1016/S0003-3472(87)80161-6" xr:uid="{8AAF8541-398B-4765-821D-738FC6312127}"/>
    <hyperlink ref="A57" r:id="rId55" display="https://doi.org/10.1071/AM20012" xr:uid="{85A42C3B-5AB1-4B85-B4EB-1AEC57486C16}"/>
    <hyperlink ref="A58" r:id="rId56" display="https://doi.org/10.1093/beheco/art057" xr:uid="{9199EBB0-D4CA-4B30-BA33-FD887AEC6313}"/>
    <hyperlink ref="A59" r:id="rId57" display="https://doi.org/10.1111/j.1469-7998.2005.00026.x" xr:uid="{C73654DC-BD3B-41D4-8F40-370A1276D748}"/>
    <hyperlink ref="A60" r:id="rId58" display="https://doi.org/10.1034/j.1600-0587.2003.03516.x" xr:uid="{A8BC67FF-B02E-4BAC-A11A-1E5511E67759}"/>
    <hyperlink ref="A61" r:id="rId59" display="https://doi.org/10.1016/j.anbehav.2017.11.020" xr:uid="{CCD061FC-DDEB-45CD-9998-DA9F49BA35E8}"/>
    <hyperlink ref="A62" r:id="rId60" display="https://doi.org/10.1016/0003-3472(75)90066-4" xr:uid="{FC067050-053E-45A3-8D51-F0A6E4B0FC6D}"/>
    <hyperlink ref="A63" r:id="rId61" display="https://doi.org/10.1007/s002650050460" xr:uid="{B4D56EE0-992B-4AD3-B895-D4CA0F7095F2}"/>
    <hyperlink ref="A64" r:id="rId62" display="https://doi.org/10.1006/anbe.1999.1119" xr:uid="{E8422F39-1756-4B35-9338-A665D87E650B}"/>
    <hyperlink ref="A65" r:id="rId63" display="https://doi.org/10.3390/ani9080494" xr:uid="{2DB03FEC-EBEE-4320-903E-3A2CA3E3B383}"/>
    <hyperlink ref="A66" r:id="rId64" display="https://doi.org/10.1071/WR05032" xr:uid="{DBB9B7A5-5309-4C0E-A955-C30423DFD675}"/>
    <hyperlink ref="A67" r:id="rId65" display="https://doi.org/10.1111/j.1365-294X.2006.03131.x" xr:uid="{A6454886-B13E-4B35-9163-53BC1ACF7484}"/>
    <hyperlink ref="A68" r:id="rId66" display="https://doi.org/10.1071/zo9950519" xr:uid="{99A65FCA-F838-4826-95FD-76805D3C4A75}"/>
    <hyperlink ref="A69" r:id="rId67" display="https://doi.org/10.1071/WR9770109" xr:uid="{96F611BD-A16C-4783-87A1-CD29A03E5D02}"/>
    <hyperlink ref="A70" r:id="rId68" display="https://doi.org/10.1111/j.1469-7998.1991.tb04328.x" xr:uid="{C7183E48-933B-4BC8-8C35-F0DEF1C1CCD9}"/>
    <hyperlink ref="A71" r:id="rId69" display="https://doi.org/10.1071/AM10009" xr:uid="{EE68A7CE-B26A-4AF1-9B41-4FFEDAE278BB}"/>
    <hyperlink ref="A72" r:id="rId70" display="https://doi.org/10.2307/1382126" xr:uid="{5D41D911-31B0-49FC-A648-B3D5BDE3213D}"/>
    <hyperlink ref="A73" r:id="rId71" display="https://doi.org/10.13057/biodiv/d200928" xr:uid="{AB441543-6F6B-4AB2-868F-CCA573408037}"/>
    <hyperlink ref="A74" r:id="rId72" display="https://doi.org/10.1111/j.1469-7998.2008.00508.x" xr:uid="{CB64C76F-C23D-47DF-8B0E-4A4BAE4DD964}"/>
    <hyperlink ref="A75" r:id="rId73" display="https://doi.org/10.1002/1098-2337(1994)20:4%3c325::AID-AB2480200406%3e3.0.CO;2-V" xr:uid="{D32231AC-613D-4AF2-BADC-C67F6534610F}"/>
    <hyperlink ref="A76" r:id="rId74" display="https://doi.org/10.1006/anbe.1999.1392" xr:uid="{298DCEF4-93FE-42D6-BDE8-03225D47439A}"/>
    <hyperlink ref="A77" r:id="rId75" display="https://doi.org/10.3390/ani9050244" xr:uid="{419800BA-4E1D-4315-9BE6-782AA2373903}"/>
    <hyperlink ref="A78" r:id="rId76" display="https://doi.org/10.2307/1948462" xr:uid="{6B5147C3-A67D-4657-B61E-DE3FEE4E4700}"/>
    <hyperlink ref="A79" r:id="rId77" display="https://doi.org/10.1071/wr9940189" xr:uid="{D1C25591-E4AA-48F4-8569-9CEEA33B9472}"/>
    <hyperlink ref="A80" r:id="rId78" display="https://doi.org/10.1111/j.1469-7998.1964.tb04634.x" xr:uid="{FEBFF462-BA34-46DE-B551-677BFD160FDA}"/>
    <hyperlink ref="A81" r:id="rId79" display="https://doi.org/10.1111/j.1469-7998.1992.tb07508.x" xr:uid="{C5882813-C3B1-4981-8C1D-A381E8CD6E7C}"/>
    <hyperlink ref="A82" r:id="rId80" display="https://doi.org/10.1007/s00265-010-1060-7" xr:uid="{7D35A81F-72C6-4D73-9AD3-615000082E47}"/>
    <hyperlink ref="A83" r:id="rId81" display="https://doi.org/10.1111/j.1469-7998.2007.00334.x" xr:uid="{0E1C09FD-B031-4E2A-8ABB-47552B5534AA}"/>
    <hyperlink ref="A85" r:id="rId82" display="https://doi.org/10.1071/WR9840481" xr:uid="{7D863E31-C120-4BBC-A8E9-117B763B95B3}"/>
    <hyperlink ref="A86" r:id="rId83" display="https://doi.org/10.1071/WR01089" xr:uid="{BD53CBB6-A2E6-4681-9EAD-98504FBC8D3E}"/>
    <hyperlink ref="A87" r:id="rId84" display="https://doi.org/10.1071/AM16061" xr:uid="{79B0D3EF-9617-4350-8E31-CBFC715CD7E4}"/>
    <hyperlink ref="A88" r:id="rId85" display="https://doi.org/10.1111/j.1469-7998.2006.00064.x" xr:uid="{2A5FAD57-74F7-4352-956C-5F6605AF46AE}"/>
    <hyperlink ref="A89" r:id="rId86" display="https://doi.org/10.1017/S0952836903004631" xr:uid="{78B6BE09-D1E1-46AD-B81B-DA0B9D223CC9}"/>
    <hyperlink ref="A90" r:id="rId87" display="https://doi.org/10.1071/WR9890509" xr:uid="{DDF31B6C-BA79-43CB-A98B-6DB7FFA1C9EB}"/>
    <hyperlink ref="A91" r:id="rId88" display="https://doi.org/10.1071/AM06007" xr:uid="{B3D4481B-DF6D-4860-8369-87F92E81D654}"/>
    <hyperlink ref="A92" r:id="rId89" display="https://doi.org/10.1017/S0952836903004308" xr:uid="{59104E1B-5DAF-4318-A329-CDCA89005C58}"/>
    <hyperlink ref="A93" r:id="rId90" display="https://doi.org/10.1071/WR9780163" xr:uid="{A24C3473-DA01-4F1A-A812-2AD54F0922C3}"/>
    <hyperlink ref="A94" r:id="rId91" display="https://doi.org/10.1139/z95-152" xr:uid="{284DA57E-9875-4408-B25C-21B2111B72C7}"/>
    <hyperlink ref="A95" r:id="rId92" display="https://doi.org/10.1515/mamm.2011.024" xr:uid="{16A13248-099C-4D42-A6E0-0FA6238EDC40}"/>
    <hyperlink ref="A96" r:id="rId93" display="https://doi.org/10.1111/j.1469-7998.1992.tb04437.x" xr:uid="{567F5804-2343-4846-B5E6-DE8707422831}"/>
    <hyperlink ref="A97" r:id="rId94" display="https://doi.org/10.1017/S0266467409990228" xr:uid="{CF73F035-3B11-47C2-89E1-6486B50B6053}"/>
    <hyperlink ref="A98" r:id="rId95" display="https://doi.org/10.2307/1375155" xr:uid="{68117CE5-992B-4AEA-B360-BA4B62381A2D}"/>
    <hyperlink ref="A99" r:id="rId96" display="https://doi.org/10.1515/mammalia-2016-0098" xr:uid="{9D3D33E8-29F7-4F31-A6D5-9D5DE722D651}"/>
    <hyperlink ref="A100" r:id="rId97" display="https://doi.org/10.15517/rbt.v47i1-2.19075" xr:uid="{3BCC8F45-C111-4080-8B2F-201AA55E5C4B}"/>
    <hyperlink ref="A102" r:id="rId98" display="https://doi.org/10.1515/mammalia-2017-0107" xr:uid="{ECFA6B32-ED6E-4B25-B6D1-D25FFD0E4627}"/>
    <hyperlink ref="A103" r:id="rId99" display="https://doi.org/10.1515/mammalia-2013-0179" xr:uid="{38C571E7-F02C-4BDA-93B2-90E350A20AE6}"/>
    <hyperlink ref="A104" r:id="rId100" display="https://doi.org/10.1098/rsbl.2015.0307" xr:uid="{97722221-5CE6-41D9-B87C-65A49D932833}"/>
    <hyperlink ref="A105" r:id="rId101" display="https://doi.org/10.2307/1378389" xr:uid="{2139391D-5878-4FEA-812F-9DC4090AF03B}"/>
    <hyperlink ref="A106" r:id="rId102" display="https://doi.org/10.2307/2423734" xr:uid="{CD990C45-B93B-4254-B078-B8B8FB0E4BDC}"/>
    <hyperlink ref="A107" r:id="rId103" display="https://doi.org/10.1071/WR9910355" xr:uid="{11AC156D-B8D9-4F78-95D1-BD824C155F2F}"/>
    <hyperlink ref="A108" r:id="rId104" display="https://doi.org/10.1071/WR02012" xr:uid="{B1A8DAA6-5C7C-450A-83CF-02F4D3143424}"/>
    <hyperlink ref="A109" r:id="rId105" display="https://doi.org/10.1071/WR9960647" xr:uid="{C4DC3827-571C-4108-81C0-7A00785753D1}"/>
    <hyperlink ref="A110" r:id="rId106" display="https://doi.org/10.1515/mamm.1974.38.3.405" xr:uid="{0E319D6E-89AE-4722-8623-D2098C598039}"/>
    <hyperlink ref="A111" r:id="rId107" display="https://doi.org/10.1071/WR17040" xr:uid="{B3D577A6-4015-43B1-9A24-55A236F74AD9}"/>
    <hyperlink ref="A20" r:id="rId108" display="https://doi.org/10.1016/j.anbehav.2013.09.008" xr:uid="{5E25904E-CC86-42B7-9265-A0DB1CCCFCED}"/>
    <hyperlink ref="A113" r:id="rId109" display="https://doi.org/10.1071/zo9930507" xr:uid="{7B0EF667-96DA-45F7-ABA1-71424E0F124D}"/>
    <hyperlink ref="A114" r:id="rId110" display="https://doi.org/10.1371/journal.pone.0230216" xr:uid="{74043B3C-E0BF-4A58-8613-B1B53F8A68FA}"/>
    <hyperlink ref="A115" r:id="rId111" display="https://doi.org/10.1071/wr98002" xr:uid="{538E33F3-906D-4C09-8CB2-BC7667C33157}"/>
    <hyperlink ref="A116" r:id="rId112" display="https://doi.org/10.1017/S0952836902000833" xr:uid="{86921744-73B7-43E1-BD7A-6851071FD2B8}"/>
  </hyperlinks>
  <pageMargins left="0.7" right="0.7" top="0.75" bottom="0.75" header="0.3" footer="0.3"/>
  <pageSetup paperSize="9" orientation="portrait" horizontalDpi="1200" verticalDpi="1200" r:id="rId1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4</vt:i4>
      </vt:variant>
    </vt:vector>
  </HeadingPairs>
  <TitlesOfParts>
    <vt:vector size="7" baseType="lpstr">
      <vt:lpstr>SO Data_,main SO</vt:lpstr>
      <vt:lpstr>species excluded</vt:lpstr>
      <vt:lpstr>References</vt:lpstr>
      <vt:lpstr>References!OLE_LINK1</vt:lpstr>
      <vt:lpstr>References!OLE_LINK2</vt:lpstr>
      <vt:lpstr>References!OLE_LINK3</vt:lpstr>
      <vt:lpstr>References!OLE_LINK4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qiushicai</dc:creator>
  <cp:lastModifiedBy>jingyu qiu</cp:lastModifiedBy>
  <dcterms:created xsi:type="dcterms:W3CDTF">2015-06-05T18:19:34Z</dcterms:created>
  <dcterms:modified xsi:type="dcterms:W3CDTF">2022-07-21T20:12:40Z</dcterms:modified>
</cp:coreProperties>
</file>