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292" i="61"/>
  <c r="A291"/>
  <c r="A266" l="1"/>
  <c r="A265"/>
  <c r="A335"/>
  <c r="A334"/>
  <c r="A333"/>
  <c r="A332"/>
  <c r="A331"/>
  <c r="A330"/>
  <c r="A329"/>
  <c r="A328"/>
  <c r="A326"/>
  <c r="A325"/>
  <c r="A186"/>
  <c r="A193"/>
  <c r="A310"/>
  <c r="A303"/>
  <c r="A254"/>
  <c r="A253"/>
  <c r="A252"/>
  <c r="A251"/>
  <c r="A247"/>
  <c r="A246"/>
  <c r="A245"/>
  <c r="A244"/>
  <c r="A243"/>
  <c r="A238"/>
  <c r="A237"/>
  <c r="A236"/>
  <c r="A235"/>
  <c r="A234"/>
  <c r="A230"/>
  <c r="A309"/>
  <c r="A308"/>
  <c r="A306"/>
  <c r="A305"/>
  <c r="A307"/>
  <c r="A302"/>
  <c r="A301"/>
  <c r="A300"/>
  <c r="A299"/>
  <c r="A298"/>
  <c r="A296"/>
  <c r="A295"/>
  <c r="A289"/>
  <c r="A288"/>
  <c r="A287"/>
  <c r="A286"/>
  <c r="A285"/>
  <c r="A284"/>
  <c r="A282"/>
  <c r="A279"/>
  <c r="A278"/>
  <c r="A280"/>
  <c r="A277"/>
  <c r="A281"/>
  <c r="A250"/>
  <c r="A223"/>
  <c r="A215"/>
  <c r="A213"/>
  <c r="A231"/>
  <c r="C201"/>
  <c r="A191"/>
  <c r="A189"/>
  <c r="A192"/>
  <c r="A188"/>
  <c r="A190"/>
  <c r="A179"/>
  <c r="A140"/>
  <c r="A141"/>
  <c r="A355"/>
  <c r="A356"/>
  <c r="A354"/>
  <c r="A171"/>
  <c r="A164"/>
  <c r="A170"/>
  <c r="A163"/>
  <c r="A169"/>
  <c r="A162"/>
  <c r="A168"/>
  <c r="A161"/>
  <c r="A167"/>
  <c r="A160"/>
  <c r="A166"/>
  <c r="A159"/>
  <c r="A157"/>
  <c r="A156"/>
  <c r="A155"/>
  <c r="A154"/>
  <c r="A153"/>
  <c r="A152"/>
  <c r="A150"/>
  <c r="A149"/>
  <c r="A148"/>
  <c r="A147"/>
  <c r="A146"/>
  <c r="A145"/>
  <c r="A139"/>
  <c r="A125" l="1"/>
  <c r="A131"/>
  <c r="A130"/>
  <c r="A135"/>
  <c r="A134"/>
  <c r="A129"/>
  <c r="A124"/>
  <c r="A123"/>
  <c r="A71"/>
  <c r="A72"/>
  <c r="A66"/>
  <c r="A65"/>
  <c r="A46" l="1"/>
  <c r="A372" l="1"/>
  <c r="A364"/>
  <c r="A361"/>
  <c r="A360"/>
  <c r="A185"/>
  <c r="A184"/>
  <c r="A183"/>
  <c r="A182"/>
  <c r="A181"/>
  <c r="A178"/>
  <c r="A133"/>
  <c r="A128"/>
  <c r="A126"/>
  <c r="A122"/>
  <c r="A105" l="1"/>
  <c r="A68" l="1"/>
  <c r="A62"/>
  <c r="A43" l="1"/>
  <c r="A42"/>
  <c r="A383"/>
  <c r="A382"/>
  <c r="A379"/>
  <c r="A270" l="1"/>
  <c r="A321"/>
  <c r="A320"/>
  <c r="A319"/>
  <c r="A318"/>
  <c r="A317"/>
  <c r="A316"/>
  <c r="A275"/>
  <c r="A274"/>
  <c r="A273"/>
  <c r="A272"/>
  <c r="A271"/>
  <c r="A264"/>
  <c r="A97"/>
  <c r="C68" l="1"/>
  <c r="C62"/>
  <c r="A40"/>
  <c r="A39"/>
  <c r="A54" l="1"/>
  <c r="C54"/>
  <c r="A95" l="1"/>
  <c r="A36"/>
  <c r="A33"/>
  <c r="A34"/>
  <c r="A60"/>
  <c r="A55" l="1"/>
  <c r="A47" l="1"/>
  <c r="A82" l="1"/>
  <c r="A53"/>
  <c r="A24" i="58"/>
  <c r="A25"/>
  <c r="A27"/>
  <c r="A30"/>
  <c r="A31"/>
  <c r="A34"/>
  <c r="A35"/>
  <c r="A38"/>
  <c r="A44"/>
  <c r="A47"/>
  <c r="A48"/>
  <c r="A60"/>
  <c r="A61"/>
  <c r="A62"/>
  <c r="A63"/>
  <c r="A50" i="61"/>
  <c r="A83"/>
</calcChain>
</file>

<file path=xl/sharedStrings.xml><?xml version="1.0" encoding="utf-8"?>
<sst xmlns="http://schemas.openxmlformats.org/spreadsheetml/2006/main" count="780" uniqueCount="213">
  <si>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</si>
  <si>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</si>
  <si>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</si>
  <si>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</si>
  <si>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</si>
  <si>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</si>
  <si>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</si>
  <si>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</si>
  <si>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</si>
  <si>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</si>
  <si>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</si>
  <si>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</si>
  <si>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</si>
  <si>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</si>
  <si>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</si>
  <si>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</si>
  <si>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</si>
  <si>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</si>
  <si>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</si>
  <si>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</si>
  <si>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</si>
  <si>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</si>
  <si>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</si>
  <si>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</si>
  <si>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</si>
  <si>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</si>
  <si>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</si>
  <si>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</si>
  <si>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</si>
  <si>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</si>
  <si>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</si>
  <si>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</si>
  <si>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</si>
  <si>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</si>
  <si>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</si>
  <si>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</si>
  <si>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</si>
  <si>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</si>
  <si>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</si>
  <si>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</si>
  <si>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</si>
  <si>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</si>
  <si>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</si>
  <si>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</si>
  <si>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</si>
  <si>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</si>
  <si>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</si>
  <si>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</si>
  <si>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</si>
  <si>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</si>
  <si>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</si>
  <si>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</si>
  <si>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</si>
  <si>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</si>
  <si>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</si>
  <si>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</si>
  <si>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</si>
  <si>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</si>
  <si>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</si>
  <si>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%5 - perform tracking, check tracking, make problem movie and correct</t>
  </si>
  <si>
    <t>% Add correct mu</t>
  </si>
  <si>
    <t>branch fit time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</si>
  <si>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</si>
  <si>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</si>
  <si>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</si>
  <si>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</si>
  <si>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</si>
  <si>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</si>
  <si>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% completeCycle</t>
  </si>
  <si>
    <t>s_rm = DJK_selSchitzesToPlot(s_all, 'P', @(x) 1); name_rm = 'rm';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</si>
  <si>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</si>
  <si>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</si>
  <si>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% Schnitz Plots</t>
  </si>
  <si>
    <t>% Time point data</t>
  </si>
  <si>
    <t>all time</t>
  </si>
  <si>
    <t>schnitzes to be removed from analysis</t>
  </si>
  <si>
    <t>% remove bad cells</t>
  </si>
  <si>
    <t>autofluorescence</t>
  </si>
  <si>
    <t>0.94</t>
  </si>
  <si>
    <t>slices</t>
  </si>
  <si>
    <t>trimmed_branches = DJK_trim_branch_data(branches);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</si>
  <si>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</si>
  <si>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</si>
  <si>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</si>
  <si>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</si>
  <si>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</si>
  <si>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</si>
  <si>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</si>
  <si>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</si>
  <si>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% AutoCorr &amp; Xcorr with errorbars</t>
  </si>
  <si>
    <t>% AutoCorr &amp; Xcorr with individual traces</t>
  </si>
  <si>
    <t>% second color</t>
  </si>
  <si>
    <t>fluor1</t>
  </si>
  <si>
    <t>fluor2</t>
  </si>
  <si>
    <t>fluor3</t>
  </si>
  <si>
    <t>c</t>
  </si>
  <si>
    <t>y</t>
  </si>
  <si>
    <t>none</t>
  </si>
  <si>
    <t>DJK_compileSchnitzImproved_3colors(p,'quickMode',0);</t>
  </si>
  <si>
    <t>[p,schnitzcells] = DJK_compileSchnitzImproved_3colors(p,'quickMode',1);</t>
  </si>
  <si>
    <t>% START OF DATA PLOTTING</t>
  </si>
  <si>
    <t>for RichMedium! (LoG_Smoothing can be reset to 2(default) if good image quality)</t>
  </si>
  <si>
    <t>too few separations of cells! (change d2 to d1 or B_fillEdge2 in PN_segPhase if unsatisfying)</t>
  </si>
  <si>
    <t>DJK_makeMovie (p, 'tree', 'cellno', 'stabilize', 1,'problemCells',problems);</t>
  </si>
  <si>
    <t>if a fluorescence colour does not exist, set color to: 'none'</t>
  </si>
  <si>
    <t>rich medium</t>
  </si>
  <si>
    <t>neckDepth</t>
  </si>
  <si>
    <t>D:\ExperimentalDataTodo</t>
  </si>
  <si>
    <t>% Check if shift is sufficient!</t>
  </si>
  <si>
    <t>load 'U:\Schnitzcells-currentVersion\12-01-18\fluo_correction_images\Correction_10Mhz_111206_50ms.mat' flatfield shading replace</t>
  </si>
  <si>
    <t>load 'U:\Schnitzcells-currentVersion\12-01-18\fluo_correction_images\PSF_090402_centered.mat' PSF</t>
  </si>
  <si>
    <t>%crosscorr</t>
  </si>
  <si>
    <t>%1st plots</t>
  </si>
  <si>
    <t>[300 850]</t>
  </si>
  <si>
    <t>% Spatial Dependence</t>
  </si>
  <si>
    <t>% Find Schnitzes with slow/negative growth rate -&gt; rm them?!</t>
  </si>
  <si>
    <t>frames for which spatial dependence is plotted</t>
  </si>
  <si>
    <t>% if Fluo Data: choose Fluo Frames or use fitted_Y6_mean (decent, as long as not directly before/after cell division)</t>
  </si>
  <si>
    <t>% motivation for calculating noise seperately: if e.g. very dark/bright branch group exists</t>
  </si>
  <si>
    <t>trimmed_branches2 = DJK_trim_branch_data(branchData2);</t>
  </si>
  <si>
    <t>branch_groups2 = DJK_divide_branch_data(trimmed_branches2);</t>
  </si>
  <si>
    <t>branch_groups=branch_groups2_noise;</t>
  </si>
  <si>
    <r>
      <t xml:space="preserve">% AutoCorr &amp; Xcorr with errorbars </t>
    </r>
    <r>
      <rPr>
        <b/>
        <sz val="8"/>
        <color theme="1"/>
        <rFont val="Arial"/>
        <family val="2"/>
      </rPr>
      <t>(Here, noise is calculated seperately for each branchgroup in the array of branchgroups!)</t>
    </r>
  </si>
  <si>
    <t>% Make movie with cells colored according to branch group</t>
  </si>
  <si>
    <t>frames for branchgroup movie is plotted</t>
  </si>
  <si>
    <t>% Plot cell cycle dependence and correct for it</t>
  </si>
  <si>
    <t>fields for which noise is added to schnitzcells (each frame)</t>
  </si>
  <si>
    <t>fields for which noise is added to schnitzcells (fluo frames)</t>
  </si>
  <si>
    <t>% s_rm_fitTimeNoise, s_rm</t>
  </si>
  <si>
    <t>cellCycleDependence: # bins tested for fluo frame data</t>
  </si>
  <si>
    <t>[5 6 7 8 9 10]</t>
  </si>
  <si>
    <t>cellCycleDependence: # bins tested for each frame data</t>
  </si>
  <si>
    <t>% use noiseData for fluorescence when global trend (e.g. upwards) through experiment time. Don't use 'fitted…'</t>
  </si>
  <si>
    <t># bins for growth rate (each frame)</t>
  </si>
  <si>
    <t>trimmed_branchesCycCor = DJK_trim_branch_data(branchesCycCor);</t>
  </si>
  <si>
    <t>branch_groupsCycCor = DJK_divide_branch_data(trimmed_branchesCycCor);</t>
  </si>
  <si>
    <t>% control</t>
  </si>
  <si>
    <t>% *** now check folder /schnitzcells/cellcycle/ and find good binning  ***</t>
  </si>
  <si>
    <t>% Extra Rescale Correction for Distorted Fluorescence Images. Hopefully Obsolete</t>
  </si>
  <si>
    <t>[1.015, 1.004]</t>
  </si>
  <si>
    <t>rescaleCorection(fluor specific! At the moment for fluor2!)</t>
  </si>
  <si>
    <t>fitTime branch (obsolete?)</t>
  </si>
  <si>
    <t>load 'D:\SchnitzcellsCurrentVersion\12-03-29\Schnitzcells\fluo_correction_images\PSF_090402_centered.mat' PSF</t>
  </si>
  <si>
    <t>load 'D:\SchnitzcellsCurrentVersion\12-03-29\Schnitzcells\Noreen_additions\NW_ColorMaps.mat'  whiteredgreenColormap</t>
  </si>
  <si>
    <t>default 2</t>
  </si>
  <si>
    <t>possible till 260. but then very slow growth</t>
  </si>
  <si>
    <t>DJK_plot_scatterColor(p, s_all, 'av_mu_fitNew', 'av_time', 'gen', 'ylim', [0 1.5], 'selectionName', name_all, 'plotRegression', 0, 'onScreen', 0);</t>
  </si>
  <si>
    <t>[0 450]</t>
  </si>
  <si>
    <t>2012-04-24</t>
  </si>
  <si>
    <t>[1:580]</t>
  </si>
  <si>
    <t>DJK_addToSchnitzes_fluor_anycolor(p, 'onScreen', 0,'fluorcolor','fluor1','colorNormalize',[0 1000],'minimalMode',1);</t>
  </si>
  <si>
    <t>DJK_addToSchnitzes_fluor_anycolor(p, 'onScreen', 0,'fluorcolor','fluor2','colorNormalize',[0 250],'minimalMode',1);</t>
  </si>
  <si>
    <t>slowschnitzes=NW_detectSlowSchnitzes(p,schnitzcells,'muP19_fitNew','muThreshold',0.05);</t>
  </si>
  <si>
    <t>DJK_plot_scatterColor(p, s_all, 'av_Y6_mean', 'av_time', 'gen', 'ylim', [0 2000], 'selectionName', name_all, 'plotRegression', 0, 'onScreen', 0);</t>
  </si>
  <si>
    <t>DJK_plot_scatterColor(p, s_all, 'av_mu_fitNew', 'av_Y6_mean', 'av_time', 'xlim', [0 2000], 'ylim', [0 1.5], 'selectionName', name_all, 'plotRegression', 1, 'onScreen', 0);</t>
  </si>
  <si>
    <t>DJK_plot_scatterColor(p, s_all_fitTime_cycle, 'av_mu_fitNew', 'av_Y6_mean', 'av_time', 'xlim', [0 2000], 'ylim', [0 1.5], 'selectionName', name_all_fitTime_cycle, 'plotRegression', 1, 'onScreen', 0);</t>
  </si>
  <si>
    <t>DJK_plot_scatterColor(p, s_rm_fitTime_cycle, 'av_mu_fitNew', 'av_Y6_mean', 'av_time', 'xlim', [0 2000], 'ylim', [0 1.5], 'selectionName', name_rm_fitTime_cycle, 'plotRegression', 1, 'onScreen', 0);</t>
  </si>
  <si>
    <t>DJK_plot_scatterColor(p, s_all, 'av_C6_mean', 'av_time', 'gen', 'ylim', [0 500], 'selectionName', name_all, 'plotRegression', 0, 'onScreen', 0);</t>
  </si>
  <si>
    <t>DJK_plot_scatterColor(p, s_all, 'av_mu_fitNew', 'av_C6_mean', 'av_time', 'xlim', [0 500], 'ylim', [0 1.5], 'selectionName', name_all, 'plotRegression', 1, 'onScreen', 0);</t>
  </si>
  <si>
    <t>DJK_plot_scatterColor(p, s_all_fitTime_cycle, 'av_mu_fitNew', 'av_C6_mean', 'av_time', 'xlim', [0 500], 'ylim', [0 1.5], 'selectionName', name_all_fitTime_cycle, 'plotRegression', 1, 'onScreen', 0);</t>
  </si>
  <si>
    <t>DJK_plot_scatterColor(p, s_rm_fitTime_cycle, 'av_mu_fitNew', 'av_C6_mean', 'av_time', 'xlim', [0 500], 'ylim', [0 1.5], 'selectionName', name_rm_fitTime_cycle, 'plotRegression', 1, 'onScreen', 0);</t>
  </si>
  <si>
    <t>schnitzcells=DJK_addToSchnitzes_fluorRate_phase(p,'y');</t>
  </si>
  <si>
    <t>schnitzcells=DJK_addToSchnitzes_fluorRate_phase(p,'c');</t>
  </si>
  <si>
    <t>[100:4:580]</t>
  </si>
  <si>
    <t>[450 500 550 570]</t>
  </si>
  <si>
    <t>[22 494 653 757 775 706 701 397 257 265 862 865]</t>
  </si>
  <si>
    <t>% Add production rates (vary in code, whether 'Y', 'Y5' etc)</t>
  </si>
  <si>
    <t>MANUALLY NOISE-REMOVED VERSION FURTHER BELOW! HERE IS STD VERSION, INCLUDING RATES</t>
  </si>
  <si>
    <t>%concentrations</t>
  </si>
  <si>
    <t>% uncorrected rates</t>
  </si>
  <si>
    <t>% phase corrected rates</t>
  </si>
  <si>
    <t>% volume corrected rates</t>
  </si>
  <si>
    <t>% concentration</t>
  </si>
  <si>
    <t>% add corrected rates if wanted</t>
  </si>
  <si>
    <t>% PLOTTING 2: VISUALIZE AND CORRECT CELL CYCLE. PLOT CORRECTED CROSS CORRELATIONS</t>
  </si>
  <si>
    <t>% PLOTTING 3: MORE FEATURES FOR EXTRA ANALYSIS</t>
  </si>
  <si>
    <t>{}</t>
  </si>
  <si>
    <t>%only use if very unconstant growth rate</t>
  </si>
  <si>
    <t>{'Y_time','Y6_mean','C6_mean'}</t>
  </si>
  <si>
    <t>%concentration should be corrected. For rates, it does not work.</t>
  </si>
  <si>
    <t>[5 6 7 8]</t>
  </si>
  <si>
    <t>%same as above</t>
  </si>
  <si>
    <t xml:space="preserve">% each frame fields. </t>
  </si>
  <si>
    <t xml:space="preserve">% fluo frame fields. </t>
  </si>
  <si>
    <t>s_rmNoise=s_rm;</t>
  </si>
  <si>
    <t>% add noise terms (if needed)</t>
  </si>
  <si>
    <t>% Test Binning.</t>
  </si>
  <si>
    <t>%instead of s_rm, s_rm_fitTime could be used. Then adjust selectionName</t>
  </si>
  <si>
    <t>% use noise data only if global big trend. 'all' yields more data</t>
  </si>
  <si>
    <t># bins for fluor1 (YFP)</t>
  </si>
  <si>
    <t># bins for fluor2 (CFP)</t>
  </si>
  <si>
    <t># bins for fluor1rate (YFP rate)</t>
  </si>
  <si>
    <t># bins for fluor2rate (CFP rate)</t>
  </si>
  <si>
    <t>% Get fit polynomial for cell cycle dependence.</t>
  </si>
  <si>
    <t>% Correct for cell cycle</t>
  </si>
  <si>
    <t>% correct all schnitzes and select later</t>
  </si>
  <si>
    <t>% AutoCorr &amp; Xcorr with errorbars and Cell Cycle Noise removed</t>
  </si>
  <si>
    <t>% if noise removed fields are already added to schnitzcells you can start here</t>
  </si>
  <si>
    <t>%rates. Noise subtracted</t>
  </si>
  <si>
    <t>%concentrations. Noise subtracted</t>
  </si>
  <si>
    <t>%rates. Noise divided</t>
  </si>
  <si>
    <t>% AutoCorr &amp; Xcorr with individual traces. Noise removed</t>
  </si>
  <si>
    <t>% add divided rates if wanted</t>
  </si>
  <si>
    <t>% Controls that can be used, but are not necessary</t>
  </si>
  <si>
    <t>% uncorrected concentrations</t>
  </si>
  <si>
    <t>% **** cell cycle dependence of corrected values ****</t>
  </si>
  <si>
    <t>% *** now use crosscorr functions above ***</t>
  </si>
  <si>
    <t>% add subsequently to dummyschnitzcells!</t>
  </si>
  <si>
    <t>% *** Now run the initiation(!) and schnitz selections (s_rm= etc) again  ***</t>
  </si>
  <si>
    <t>{'Y_time' 'Y6_mean_subtr' 'C6_mean_subtr'}</t>
  </si>
  <si>
    <t>[157 857]</t>
  </si>
  <si>
    <t>%rates hybrid. Sometimes seems to work best?!</t>
  </si>
  <si>
    <t>load 'D:\SchnitzcellsCurrentVersion\12-03-29\Correction_10Mhz_111206_50ms.mat' flatfield shading replace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</si>
</sst>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9" borderId="0" xfId="0" applyFont="1" applyFill="1"/>
    <xf numFmtId="0" fontId="4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6" fillId="0" borderId="0" xfId="0" applyFont="1"/>
    <xf numFmtId="0" fontId="2" fillId="7" borderId="0" xfId="0" applyFont="1" applyFill="1"/>
    <xf numFmtId="0" fontId="1" fillId="0" borderId="0" xfId="0" applyNumberFormat="1" applyFont="1" applyAlignment="1">
      <alignment horizontal="left"/>
    </xf>
    <xf numFmtId="0" fontId="1" fillId="14" borderId="0" xfId="0" applyFont="1" applyFill="1"/>
    <xf numFmtId="0" fontId="1" fillId="0" borderId="0" xfId="0" applyFont="1" applyAlignment="1">
      <alignment horizontal="left" wrapText="1"/>
    </xf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7" fillId="0" borderId="0" xfId="0" applyFont="1"/>
    <xf numFmtId="0" fontId="3" fillId="17" borderId="0" xfId="0" applyFont="1" applyFill="1"/>
    <xf numFmtId="0" fontId="2" fillId="19" borderId="0" xfId="0" applyFont="1" applyFill="1"/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DDFFFF"/>
      <color rgb="FF00FFFF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0"/>
  <sheetViews>
    <sheetView tabSelected="1" topLeftCell="A363" zoomScaleNormal="100" workbookViewId="0">
      <selection activeCell="A69" sqref="A69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34" t="s">
        <v>10</v>
      </c>
      <c r="B1" s="34"/>
    </row>
    <row r="2" spans="1:5">
      <c r="A2" s="2" t="s">
        <v>1</v>
      </c>
      <c r="B2" s="6" t="s">
        <v>148</v>
      </c>
      <c r="C2" s="5"/>
    </row>
    <row r="3" spans="1:5">
      <c r="A3" s="2" t="s">
        <v>2</v>
      </c>
      <c r="B3" s="5" t="s">
        <v>22</v>
      </c>
      <c r="C3" s="5"/>
      <c r="E3" s="5"/>
    </row>
    <row r="4" spans="1:5">
      <c r="A4" s="2" t="s">
        <v>0</v>
      </c>
      <c r="B4" s="5" t="s">
        <v>107</v>
      </c>
      <c r="C4" s="5"/>
      <c r="D4" s="5"/>
    </row>
    <row r="5" spans="1:5">
      <c r="A5" s="2" t="s">
        <v>3</v>
      </c>
      <c r="B5" s="5" t="s">
        <v>149</v>
      </c>
      <c r="C5" s="5" t="s">
        <v>145</v>
      </c>
      <c r="D5" s="5"/>
    </row>
    <row r="6" spans="1:5">
      <c r="A6" s="2" t="s">
        <v>92</v>
      </c>
      <c r="B6" s="5" t="s">
        <v>96</v>
      </c>
      <c r="C6" s="5"/>
      <c r="D6" s="5"/>
    </row>
    <row r="7" spans="1:5">
      <c r="A7" s="2" t="s">
        <v>93</v>
      </c>
      <c r="B7" s="5" t="s">
        <v>95</v>
      </c>
      <c r="C7" s="5"/>
    </row>
    <row r="8" spans="1:5">
      <c r="A8" s="2" t="s">
        <v>94</v>
      </c>
      <c r="B8" s="5" t="s">
        <v>97</v>
      </c>
      <c r="C8" s="5" t="s">
        <v>104</v>
      </c>
      <c r="D8" s="5"/>
    </row>
    <row r="9" spans="1:5">
      <c r="A9" s="2"/>
      <c r="B9" s="5"/>
      <c r="C9" s="5"/>
    </row>
    <row r="10" spans="1:5">
      <c r="A10" s="2" t="s">
        <v>4</v>
      </c>
      <c r="B10" s="5" t="s">
        <v>18</v>
      </c>
    </row>
    <row r="11" spans="1:5">
      <c r="A11" s="2" t="s">
        <v>5</v>
      </c>
      <c r="B11" s="5" t="s">
        <v>12</v>
      </c>
      <c r="C11" s="5"/>
    </row>
    <row r="12" spans="1:5">
      <c r="A12" s="2"/>
      <c r="B12" s="5"/>
    </row>
    <row r="13" spans="1:5">
      <c r="A13" s="2" t="s">
        <v>79</v>
      </c>
      <c r="B13" s="1" t="s">
        <v>14</v>
      </c>
      <c r="C13" s="5"/>
    </row>
    <row r="14" spans="1:5">
      <c r="A14" s="2" t="s">
        <v>83</v>
      </c>
      <c r="B14" s="5">
        <v>35</v>
      </c>
      <c r="C14" s="5"/>
    </row>
    <row r="15" spans="1:5">
      <c r="A15" s="2" t="s">
        <v>84</v>
      </c>
      <c r="B15" s="5">
        <v>20</v>
      </c>
    </row>
    <row r="16" spans="1:5">
      <c r="A16" s="2" t="s">
        <v>85</v>
      </c>
      <c r="B16" s="5">
        <v>2</v>
      </c>
    </row>
    <row r="17" spans="1:3">
      <c r="A17" s="2" t="s">
        <v>86</v>
      </c>
      <c r="B17" s="5">
        <v>250</v>
      </c>
    </row>
    <row r="18" spans="1:3">
      <c r="A18" s="2" t="s">
        <v>87</v>
      </c>
      <c r="B18" s="5">
        <v>5</v>
      </c>
    </row>
    <row r="19" spans="1:3">
      <c r="A19" s="2" t="s">
        <v>88</v>
      </c>
      <c r="B19" s="5">
        <v>5</v>
      </c>
    </row>
    <row r="20" spans="1:3">
      <c r="A20" s="2" t="s">
        <v>106</v>
      </c>
      <c r="B20" s="5">
        <v>1.8</v>
      </c>
      <c r="C20" s="25" t="s">
        <v>144</v>
      </c>
    </row>
    <row r="21" spans="1:3">
      <c r="A21" s="2"/>
      <c r="B21" s="5"/>
    </row>
    <row r="22" spans="1:3">
      <c r="A22" s="2" t="s">
        <v>47</v>
      </c>
      <c r="B22" s="5" t="s">
        <v>147</v>
      </c>
    </row>
    <row r="23" spans="1:3">
      <c r="A23" s="2" t="s">
        <v>49</v>
      </c>
      <c r="B23" s="5" t="s">
        <v>210</v>
      </c>
      <c r="C23" s="1" t="s">
        <v>111</v>
      </c>
    </row>
    <row r="24" spans="1:3">
      <c r="A24" s="2" t="s">
        <v>50</v>
      </c>
      <c r="B24" s="5" t="s">
        <v>113</v>
      </c>
    </row>
    <row r="25" spans="1:3">
      <c r="A25" s="2" t="s">
        <v>141</v>
      </c>
      <c r="B25" s="5" t="s">
        <v>48</v>
      </c>
      <c r="C25" s="1" t="s">
        <v>112</v>
      </c>
    </row>
    <row r="26" spans="1:3">
      <c r="A26" s="2" t="s">
        <v>52</v>
      </c>
      <c r="B26" s="5"/>
    </row>
    <row r="27" spans="1:3">
      <c r="A27" s="2" t="s">
        <v>53</v>
      </c>
      <c r="B27" s="5">
        <v>15</v>
      </c>
    </row>
    <row r="28" spans="1:3">
      <c r="A28" s="2" t="s">
        <v>75</v>
      </c>
      <c r="B28" s="26" t="s">
        <v>165</v>
      </c>
    </row>
    <row r="29" spans="1:3">
      <c r="A29" s="2" t="s">
        <v>77</v>
      </c>
      <c r="B29" s="5" t="s">
        <v>78</v>
      </c>
    </row>
    <row r="30" spans="1:3">
      <c r="A30" s="2"/>
      <c r="B30" s="5"/>
    </row>
    <row r="31" spans="1:3">
      <c r="A31" s="34" t="s">
        <v>11</v>
      </c>
      <c r="B31" s="34"/>
    </row>
    <row r="32" spans="1:3">
      <c r="A32" s="7" t="s">
        <v>23</v>
      </c>
    </row>
    <row r="33" spans="1:3">
      <c r="A33" s="1" t="str">
        <f>CONCATENATE("p = DJK_initschnitz('",B$3,"','",B$2,"','e.coli.amolf','rootDir','",B$4,"\', 'cropLeftTop',",B$10,", 'cropRightBottom',",B$11,",'fluor1','",B$6,"','fluor2','",B$7,"','fluor3','",B$8,"');")</f>
        <v>p = DJK_initschnitz('pos5','2012-04-24','e.coli.amolf','rootDir','D:\ExperimentalDataTodo\', 'cropLeftTop',[1,1], 'cropRightBottom',[1392,1040],'fluor1','y','fluor2','c','fluor3','none');</v>
      </c>
    </row>
    <row r="34" spans="1:3">
      <c r="A34" s="1" t="str">
        <f>CONCATENATE("DJK_cropImages_3colors(p, ",B$5,", ",B$10,", ",B$11, ", 'cropName', '",B3,"crop');")</f>
        <v>DJK_cropImages_3colors(p, [1:580], [1,1], [1392,1040], 'cropName', 'pos5crop');</v>
      </c>
    </row>
    <row r="35" spans="1:3">
      <c r="A35" s="4"/>
    </row>
    <row r="36" spans="1:3">
      <c r="A36" s="2" t="str">
        <f>CONCATENATE("p = DJK_initschnitz('",B$3,"crop','",B$2,"','e.coli.AMOLF','rootDir','",B$4,"\', 'cropLeftTop', ", B$10,", 'cropRightBottom', ", B$11,",'fluor1','",B$6,"','fluor2','",B$7,"','fluor3','",B$8,"');")</f>
        <v>p = DJK_initschnitz('pos5crop','2012-04-24','e.coli.AMOLF','rootDir','D:\ExperimentalDataTodo\', 'cropLeftTop', [1,1], 'cropRightBottom', [1392,1040],'fluor1','y','fluor2','c','fluor3','none');</v>
      </c>
    </row>
    <row r="38" spans="1:3">
      <c r="A38" s="7" t="s">
        <v>24</v>
      </c>
    </row>
    <row r="39" spans="1:3">
      <c r="A39" s="1" t="str">
        <f>CONCATENATE("PN_segmoviephase_3colors(p,'segRange', ", B$5, ",'slices', ", B$13, ",'rangeFiltSize', ", B$14, ",'maskMargin', ", B$15, ",'LoG_Smoothing', ", B$16, ",'minCellArea', ", B$17, ",'GaussianFilter', ", B$18, ",'minDepth', ", B$19, ",'neckDepth', ", B$20, ");")</f>
        <v>PN_segmoviephase_3colors(p,'segRange', [1:580],'slices', [1 2 3],'rangeFiltSize', 35,'maskMargin', 20,'LoG_Smoothing', 2,'minCellArea', 250,'GaussianFilter', 5,'minDepth', 5,'neckDepth', 1.8);</v>
      </c>
    </row>
    <row r="40" spans="1:3">
      <c r="A40" s="1" t="str">
        <f>CONCATENATE("PN_copySegFiles(p,'segRange', ", B$5, ",'slices', ", B$13, ",'rangeFiltSize', ", B$14, ",'maskMargin', ", B$15, ",'LoG_Smoothing', ", B$16, ",'minCellArea', ", B$17, ",'GaussianFilter', ", B$18, ",'minDepth', ", B$19, ",'neckDepth', ", B$20, ");")</f>
        <v>PN_copySegFiles(p,'segRange', [1:580],'slices', [1 2 3],'rangeFiltSize', 35,'maskMargin', 20,'LoG_Smoothing', 2,'minCellArea', 250,'GaussianFilter', 5,'minDepth', 5,'neckDepth', 1.8);</v>
      </c>
    </row>
    <row r="42" spans="1:3">
      <c r="A42" s="1" t="str">
        <f>CONCATENATE("%PN_segmoviephase_3colors(p,'segRange', ", B$5, ",'slices', ", B$13, ",'rangeFiltSize', ", B$14, ",'maskMargin', ", B$15, ",'LoG_Smoothing', 2.5,'minCellArea', ", B$17, ",'GaussianFilter', ", B$18, ",'minDepth', ", B$19, ",'neckDepth', ", B$20, ",'medium','rich');")</f>
        <v>%PN_segmoviephase_3colors(p,'segRange', [1:580],'slices', [1 2 3],'rangeFiltSize', 35,'maskMargin', 20,'LoG_Smoothing', 2.5,'minCellArea', 250,'GaussianFilter', 5,'minDepth', 5,'neckDepth', 1.8,'medium','rich');</v>
      </c>
      <c r="C42" s="1" t="s">
        <v>101</v>
      </c>
    </row>
    <row r="43" spans="1:3">
      <c r="A43" s="1" t="str">
        <f>CONCATENATE("%PN_copySegFiles(p,'segRange', ", B$5, ",'slices', ", B$13, ",'rangeFiltSize', ", B$14, ",'maskMargin', ", B$15, ",'LoG_Smoothing', 2.5,'minCellArea', ", B$17, ",'GaussianFilter', ", B$18, ",'minDepth', ", B$19, ",'neckDepth', ", B$20, ");")</f>
        <v>%PN_copySegFiles(p,'segRange', [1:580],'slices', [1 2 3],'rangeFiltSize', 35,'maskMargin', 20,'LoG_Smoothing', 2.5,'minCellArea', 250,'GaussianFilter', 5,'minDepth', 5,'neckDepth', 1.8);</v>
      </c>
      <c r="C43" s="1" t="s">
        <v>102</v>
      </c>
    </row>
    <row r="45" spans="1:3">
      <c r="A45" s="7" t="s">
        <v>25</v>
      </c>
    </row>
    <row r="46" spans="1:3">
      <c r="A46" s="4" t="str">
        <f>CONCATENATE("PN_manualcheckseg(p,'manualRange',", B$5, ",'override',1,'assistedCorrection',1);")</f>
        <v>PN_manualcheckseg(p,'manualRange',[1:580],'override',1,'assistedCorrection',1);</v>
      </c>
    </row>
    <row r="47" spans="1:3">
      <c r="A47" s="4" t="str">
        <f>CONCATENATE("DJK_manualcheckseg(p,'manualRange',", B$5, ",'override',1);")</f>
        <v>DJK_manualcheckseg(p,'manualRange',[1:580],'override',1);</v>
      </c>
    </row>
    <row r="49" spans="1:11">
      <c r="A49" s="7" t="s">
        <v>26</v>
      </c>
    </row>
    <row r="50" spans="1:11">
      <c r="A50" s="4" t="str">
        <f>CONCATENATE("DJK_analyzeSeg(p,'manualRange',", B$5, ");")</f>
        <v>DJK_analyzeSeg(p,'manualRange',[1:580]);</v>
      </c>
    </row>
    <row r="51" spans="1:11">
      <c r="A51" s="4"/>
    </row>
    <row r="52" spans="1:11">
      <c r="A52" s="8" t="s">
        <v>59</v>
      </c>
    </row>
    <row r="53" spans="1:11">
      <c r="A53" s="4" t="str">
        <f>CONCATENATE("DJK_tracker_djk(p,'manualRange', ", B$5, ");")</f>
        <v>DJK_tracker_djk(p,'manualRange', [1:580]);</v>
      </c>
    </row>
    <row r="54" spans="1:11">
      <c r="A54" s="1" t="str">
        <f>CONCATENATE("problems = DJK_analyzeTracking(p,'manualRange', ", B$5, ", 'pixelsMoveDef', 10, 'pixelsLenDef', [-4 6]);")</f>
        <v>problems = DJK_analyzeTracking(p,'manualRange', [1:580], 'pixelsMoveDef', 10, 'pixelsLenDef', [-4 6]);</v>
      </c>
      <c r="C54" s="1" t="str">
        <f>CONCATENATE("problems = DJK_analyzeTracking(p,'manualRange', ", D$5, ", 'pixelsMoveDef', 15, 'pixelsLenDef', [-4 10]);")</f>
        <v>problems = DJK_analyzeTracking(p,'manualRange', , 'pixelsMoveDef', 15, 'pixelsLenDef', [-4 10]);</v>
      </c>
      <c r="K54" s="1" t="s">
        <v>105</v>
      </c>
    </row>
    <row r="55" spans="1:11">
      <c r="A55" s="1" t="str">
        <f>CONCATENATE("DJK_makeMovie(p, 'tree', 'schAll', 'stabilize', 1,'problemCells',problems);")</f>
        <v>DJK_makeMovie(p, 'tree', 'schAll', 'stabilize', 1,'problemCells',problems);</v>
      </c>
    </row>
    <row r="56" spans="1:11">
      <c r="A56" s="1" t="s">
        <v>82</v>
      </c>
    </row>
    <row r="57" spans="1:11">
      <c r="A57" s="1" t="s">
        <v>103</v>
      </c>
    </row>
    <row r="58" spans="1:11">
      <c r="A58" s="4"/>
    </row>
    <row r="59" spans="1:11">
      <c r="A59" s="8" t="s">
        <v>38</v>
      </c>
    </row>
    <row r="60" spans="1:11">
      <c r="A60" s="1" t="str">
        <f>CONCATENATE("NW_initializeFluorData(p,'manualRange', ", B$5, ");")</f>
        <v>NW_initializeFluorData(p,'manualRange', [1:580]);</v>
      </c>
    </row>
    <row r="61" spans="1:11">
      <c r="A61" s="4"/>
    </row>
    <row r="62" spans="1:11">
      <c r="A62" s="4" t="str">
        <f>CONCATENATE("optimalShift = DJK_getFluorShift_anycolor(p,'manualRange', ", B$5, ",'fluorcolor','fluor1','maxShift',10);")</f>
        <v>optimalShift = DJK_getFluorShift_anycolor(p,'manualRange', [1:580],'fluorcolor','fluor1','maxShift',10);</v>
      </c>
      <c r="B62" s="1" t="s">
        <v>108</v>
      </c>
      <c r="C62" s="4" t="str">
        <f>CONCATENATE("% optimalShift = DJK_getFluorShift_anycolor(p,'manualRange', ", D$5, ",'fluorcolor','fluor1','maxShift',20);")</f>
        <v>% optimalShift = DJK_getFluorShift_anycolor(p,'manualRange', ,'fluorcolor','fluor1','maxShift',20);</v>
      </c>
    </row>
    <row r="63" spans="1:11">
      <c r="A63" s="25" t="s">
        <v>212</v>
      </c>
    </row>
    <row r="64" spans="1:11">
      <c r="A64" s="25" t="s">
        <v>142</v>
      </c>
    </row>
    <row r="65" spans="1:3">
      <c r="A65" s="4" t="str">
        <f>CONCATENATE("DJK_correctFluorImage_anycolor(p, flatfield, shading, replace,'manualRange', ", B$5, ",  'fluorShift', optimalShift, 'deconv_func', @(im) deconvlucy(im, PSF),'fluorcolor','fluor1','minimalMode',1);")</f>
        <v>DJK_correctFluorImage_anycolor(p, flatfield, shading, replace,'manualRange', [1:580],  'fluorShift', optimalShift, 'deconv_func', @(im) deconvlucy(im, PSF),'fluorcolor','fluor1','minimalMode',1);</v>
      </c>
    </row>
    <row r="66" spans="1:3">
      <c r="A66" s="4" t="str">
        <f>CONCATENATE("DJK_analyzeFluorBackground_anycolor(p,'manualRange', ", B$5, ",'fluorcolor','fluor1','minimalMode',1);")</f>
        <v>DJK_analyzeFluorBackground_anycolor(p,'manualRange', [1:580],'fluorcolor','fluor1','minimalMode',1);</v>
      </c>
    </row>
    <row r="67" spans="1:3">
      <c r="A67" s="8" t="s">
        <v>91</v>
      </c>
    </row>
    <row r="68" spans="1:3">
      <c r="A68" s="4" t="str">
        <f>CONCATENATE("optimalShift2 = DJK_getFluorShift_anycolor(p,'manualRange', ", B$5, ",'fluorcolor','fluor2','maxShift',10);")</f>
        <v>optimalShift2 = DJK_getFluorShift_anycolor(p,'manualRange', [1:580],'fluorcolor','fluor2','maxShift',10);</v>
      </c>
      <c r="C68" s="4" t="str">
        <f>CONCATENATE("% optimalShift2 = DJK_getFluorShift_anycolor(p,'manualRange', ", D$5, ",'fluorcolor','fluor2','maxShift',20);")</f>
        <v>% optimalShift2 = DJK_getFluorShift_anycolor(p,'manualRange', ,'fluorcolor','fluor2','maxShift',20);</v>
      </c>
    </row>
    <row r="69" spans="1:3">
      <c r="A69" s="25" t="s">
        <v>212</v>
      </c>
    </row>
    <row r="70" spans="1:3">
      <c r="A70" s="25" t="s">
        <v>142</v>
      </c>
    </row>
    <row r="71" spans="1:3">
      <c r="A71" s="4" t="str">
        <f>CONCATENATE("DJK_correctFluorImage_anycolor(p, flatfield, shading, replace,'manualRange', ", B$5, ",  'fluorShift', optimalShift2, B59,'fluorcolor','fluor2','minimalMode',1);")</f>
        <v>DJK_correctFluorImage_anycolor(p, flatfield, shading, replace,'manualRange', [1:580],  'fluorShift', optimalShift2, B59,'fluorcolor','fluor2','minimalMode',1);</v>
      </c>
    </row>
    <row r="72" spans="1:3">
      <c r="A72" s="4" t="str">
        <f>CONCATENATE("DJK_analyzeFluorBackground_anycolor(p,'manualRange', ", B$5, ",'fluorcolor','fluor2','minimalMode',1);")</f>
        <v>DJK_analyzeFluorBackground_anycolor(p,'manualRange', [1:580],'fluorcolor','fluor2','minimalMode',1);</v>
      </c>
    </row>
    <row r="73" spans="1:3">
      <c r="A73" s="4"/>
    </row>
    <row r="74" spans="1:3">
      <c r="A74" s="8" t="s">
        <v>41</v>
      </c>
    </row>
    <row r="75" spans="1:3">
      <c r="A75" s="4" t="s">
        <v>98</v>
      </c>
    </row>
    <row r="76" spans="1:3">
      <c r="A76" s="4" t="s">
        <v>43</v>
      </c>
    </row>
    <row r="77" spans="1:3">
      <c r="A77" s="4" t="s">
        <v>44</v>
      </c>
    </row>
    <row r="78" spans="1:3">
      <c r="A78" s="4" t="s">
        <v>150</v>
      </c>
    </row>
    <row r="79" spans="1:3">
      <c r="A79" s="4" t="s">
        <v>151</v>
      </c>
    </row>
    <row r="80" spans="1:3">
      <c r="A80" s="4"/>
    </row>
    <row r="81" spans="1:2">
      <c r="A81" s="8" t="s">
        <v>60</v>
      </c>
    </row>
    <row r="82" spans="1:2">
      <c r="A82" s="4" t="str">
        <f>CONCATENATE("DJK_addToSchnitzes_mu(p, 'onScreen', 0, 'frameSizes', [", $B$27, "]);")</f>
        <v>DJK_addToSchnitzes_mu(p, 'onScreen', 0, 'frameSizes', [15]);</v>
      </c>
    </row>
    <row r="83" spans="1:2">
      <c r="A83" s="4" t="str">
        <f>CONCATENATE("DJK_addToSchnitzes_mu(p, 'frameSizes', [", $B$27, "]);")</f>
        <v>DJK_addToSchnitzes_mu(p, 'frameSizes', [15]);</v>
      </c>
    </row>
    <row r="86" spans="1:2">
      <c r="A86" s="8" t="s">
        <v>166</v>
      </c>
    </row>
    <row r="87" spans="1:2">
      <c r="A87" s="1" t="s">
        <v>161</v>
      </c>
    </row>
    <row r="88" spans="1:2">
      <c r="A88" s="1" t="s">
        <v>162</v>
      </c>
    </row>
    <row r="94" spans="1:2">
      <c r="A94" s="34" t="s">
        <v>100</v>
      </c>
      <c r="B94" s="34"/>
    </row>
    <row r="95" spans="1:2">
      <c r="A95" s="3" t="str">
        <f>CONCATENATE("p = DJK_initschnitz('",B$3,"crop','",B$2,"','e.coli.AMOLF','rootDir','",B$4,"\', 'cropLeftTop', ", B$10,", 'cropRightBottom', ", B$11,",'fluor1','",B$6,"','fluor2','",B$7,"','fluor3','",B$8,"');")</f>
        <v>p = DJK_initschnitz('pos5crop','2012-04-24','e.coli.AMOLF','rootDir','D:\ExperimentalDataTodo\', 'cropLeftTop', [1,1], 'cropRightBottom', [1392,1040],'fluor1','y','fluor2','c','fluor3','none');</v>
      </c>
    </row>
    <row r="96" spans="1:2">
      <c r="A96" s="3" t="s">
        <v>99</v>
      </c>
    </row>
    <row r="97" spans="1:2">
      <c r="A97" s="3" t="str">
        <f>CONCATENATE("fitTime = ", B$25, ";")</f>
        <v>fitTime = [0 1000];</v>
      </c>
      <c r="B97" s="7" t="s">
        <v>61</v>
      </c>
    </row>
    <row r="98" spans="1:2">
      <c r="A98" s="4"/>
    </row>
    <row r="99" spans="1:2">
      <c r="A99" s="8" t="s">
        <v>62</v>
      </c>
    </row>
    <row r="100" spans="1:2">
      <c r="A100" s="4" t="s">
        <v>63</v>
      </c>
      <c r="B100" s="3" t="s">
        <v>64</v>
      </c>
    </row>
    <row r="101" spans="1:2">
      <c r="A101" s="4" t="s">
        <v>65</v>
      </c>
      <c r="B101" s="3" t="s">
        <v>66</v>
      </c>
    </row>
    <row r="102" spans="1:2">
      <c r="A102" s="4" t="s">
        <v>67</v>
      </c>
      <c r="B102" s="3" t="s">
        <v>68</v>
      </c>
    </row>
    <row r="103" spans="1:2">
      <c r="A103" s="4"/>
      <c r="B103" s="3"/>
    </row>
    <row r="104" spans="1:2">
      <c r="A104" s="4" t="s">
        <v>69</v>
      </c>
    </row>
    <row r="105" spans="1:2">
      <c r="A105" s="4" t="str">
        <f>CONCATENATE("for i=", B$28,", s_rm(i).useForPlot=0; end;")</f>
        <v>for i=[22 494 653 757 775 706 701 397 257 265 862 865], s_rm(i).useForPlot=0; end;</v>
      </c>
      <c r="B105" s="3" t="s">
        <v>76</v>
      </c>
    </row>
    <row r="106" spans="1:2">
      <c r="A106" s="4" t="s">
        <v>70</v>
      </c>
      <c r="B106" s="3" t="s">
        <v>66</v>
      </c>
    </row>
    <row r="107" spans="1:2">
      <c r="A107" s="4" t="s">
        <v>71</v>
      </c>
      <c r="B107" s="3" t="s">
        <v>68</v>
      </c>
    </row>
    <row r="108" spans="1:2">
      <c r="A108" s="4"/>
      <c r="B108" s="3"/>
    </row>
    <row r="109" spans="1:2">
      <c r="A109" s="14" t="s">
        <v>72</v>
      </c>
      <c r="B109" s="4"/>
    </row>
    <row r="110" spans="1:2">
      <c r="A110" s="4" t="s">
        <v>146</v>
      </c>
      <c r="B110" s="4"/>
    </row>
    <row r="111" spans="1:2">
      <c r="A111" s="4" t="s">
        <v>153</v>
      </c>
      <c r="B111" s="4"/>
    </row>
    <row r="112" spans="1:2">
      <c r="A112" s="4" t="s">
        <v>157</v>
      </c>
      <c r="B112" s="4"/>
    </row>
    <row r="113" spans="1:2">
      <c r="A113" s="4" t="s">
        <v>154</v>
      </c>
      <c r="B113" s="4"/>
    </row>
    <row r="114" spans="1:2">
      <c r="A114" s="4" t="s">
        <v>158</v>
      </c>
      <c r="B114" s="4"/>
    </row>
    <row r="115" spans="1:2">
      <c r="B115" s="4"/>
    </row>
    <row r="116" spans="1:2">
      <c r="A116" s="4" t="s">
        <v>155</v>
      </c>
      <c r="B116" s="4"/>
    </row>
    <row r="117" spans="1:2">
      <c r="A117" s="4" t="s">
        <v>156</v>
      </c>
      <c r="B117" s="4"/>
    </row>
    <row r="118" spans="1:2">
      <c r="A118" s="4" t="s">
        <v>159</v>
      </c>
      <c r="B118" s="4"/>
    </row>
    <row r="119" spans="1:2">
      <c r="A119" s="4" t="s">
        <v>160</v>
      </c>
      <c r="B119" s="4"/>
    </row>
    <row r="120" spans="1:2">
      <c r="B120" s="4"/>
    </row>
    <row r="121" spans="1:2">
      <c r="A121" s="15" t="s">
        <v>73</v>
      </c>
      <c r="B121" s="4"/>
    </row>
    <row r="122" spans="1:2">
      <c r="A122" s="4" t="str">
        <f>CONCATENATE("schnitzData = DJK_get_schnitzData(p, s_rm_fitTime,'Y_time', 'dataFields', {'muP", $B$27,"_fitNew', 'Y6_mean'}, 'fitTime', fitTime);")</f>
        <v>schnitzData = DJK_get_schnitzData(p, s_rm_fitTime,'Y_time', 'dataFields', {'muP15_fitNew', 'Y6_mean'}, 'fitTime', fitTime);</v>
      </c>
      <c r="B122" s="4"/>
    </row>
    <row r="123" spans="1:2">
      <c r="A123" s="4" t="str">
        <f>CONCATENATE("DJK_plot_scatterColor(p, schnitzData, 'muP", $B$27,"_fitNew', 'Y6_mean', 'Y_time', 'xlim', [0 2000], 'ylim', [0 1.5], 'selectionName', name_rm_fitTime, 'plotRegression', 1, 'onScreen', 0);")</f>
        <v>DJK_plot_scatterColor(p, schnitzData, 'muP15_fitNew', 'Y6_mean', 'Y_time', 'xlim', [0 2000], 'ylim', [0 1.5], 'selectionName', name_rm_fitTime, 'plotRegression', 1, 'onScreen', 0);</v>
      </c>
      <c r="B123" s="4"/>
    </row>
    <row r="124" spans="1:2">
      <c r="A124" s="4" t="str">
        <f>CONCATENATE("DJK_plot_scatterColor(p, schnitzData, 'noise_muP", $B$27,"_fitNew', 'noise_Y6_mean', 'Y_time', 'xlim', [-1000 1000], 'ylim', [-0.7 0.7], 'selectionName', name_rm_fitTime, 'plotRegression', 1, 'onScreen', 0);")</f>
        <v>DJK_plot_scatterColor(p, schnitzData, 'noise_muP15_fitNew', 'noise_Y6_mean', 'Y_time', 'xlim', [-1000 1000], 'ylim', [-0.7 0.7], 'selectionName', name_rm_fitTime, 'plotRegression', 1, 'onScreen', 0);</v>
      </c>
      <c r="B124" s="4"/>
    </row>
    <row r="125" spans="1:2">
      <c r="A125" s="1" t="str">
        <f>CONCATENATE("DJK_plot_time_hist(p, schnitzData, 'Y6_mean', ",B$29,", 'selectionName', name_rm_fitTime, 'onScreen', 0,'binCenters',[0:5:2000]);")</f>
        <v>DJK_plot_time_hist(p, schnitzData, 'Y6_mean', 0.94, 'selectionName', name_rm_fitTime, 'onScreen', 0,'binCenters',[0:5:2000]);</v>
      </c>
      <c r="B125" s="4"/>
    </row>
    <row r="126" spans="1:2">
      <c r="A126" s="4" t="str">
        <f>CONCATENATE("DJK_plot_time_hist(p, schnitzData, 'muP", $B$27,"_fitNew', 0, 'binCenters', [0:0.05:1.5], 'selectionName', name_rm_fitTime, 'onScreen', 0);")</f>
        <v>DJK_plot_time_hist(p, schnitzData, 'muP15_fitNew', 0, 'binCenters', [0:0.05:1.5], 'selectionName', name_rm_fitTime, 'onScreen', 0);</v>
      </c>
      <c r="B126" s="4"/>
    </row>
    <row r="127" spans="1:2">
      <c r="A127" s="4"/>
      <c r="B127" s="4"/>
    </row>
    <row r="128" spans="1:2">
      <c r="A128" s="4" t="str">
        <f>CONCATENATE("schnitzData = DJK_get_schnitzData(p, s_rm_fitTime,'C_time', 'dataFields', {'muP", $B$27,"_fitNew', 'C6_mean'}, 'fitTime', fitTime); name_rm_branch = [name_rm '_' num2str(fitTime(1)) '_' num2str(fitTime(2))];")</f>
        <v>schnitzData = DJK_get_schnitzData(p, s_rm_fitTime,'C_time', 'dataFields', {'muP15_fitNew', 'C6_mean'}, 'fitTime', fitTime); name_rm_branch = [name_rm '_' num2str(fitTime(1)) '_' num2str(fitTime(2))];</v>
      </c>
      <c r="B128" s="4"/>
    </row>
    <row r="129" spans="1:2">
      <c r="A129" s="4" t="str">
        <f>CONCATENATE("DJK_plot_scatterColor(p, schnitzData, 'muP", $B$27,"_fitNew', 'C6_mean', 'C_time', 'xlim', [0 500], 'ylim', [0 1.5], 'selectionName', name_rm_fitTime, 'plotRegression', 1, 'onScreen', 0);")</f>
        <v>DJK_plot_scatterColor(p, schnitzData, 'muP15_fitNew', 'C6_mean', 'C_time', 'xlim', [0 500], 'ylim', [0 1.5], 'selectionName', name_rm_fitTime, 'plotRegression', 1, 'onScreen', 0);</v>
      </c>
      <c r="B129" s="4"/>
    </row>
    <row r="130" spans="1:2">
      <c r="A130" s="4" t="str">
        <f>CONCATENATE("DJK_plot_scatterColor(p, schnitzData, 'noise_muP", $B$27,"_fitNew', 'noise_C6_mean', 'C_time', 'xlim', [-250 250], 'ylim', [-0.7 0.7], 'selectionName', name_rm_fitTime, 'plotRegression', 1, 'onScreen', 0);")</f>
        <v>DJK_plot_scatterColor(p, schnitzData, 'noise_muP15_fitNew', 'noise_C6_mean', 'C_time', 'xlim', [-250 250], 'ylim', [-0.7 0.7], 'selectionName', name_rm_fitTime, 'plotRegression', 1, 'onScreen', 0);</v>
      </c>
      <c r="B130" s="4"/>
    </row>
    <row r="131" spans="1:2">
      <c r="A131" s="1" t="str">
        <f>CONCATENATE("DJK_plot_time_hist(p, schnitzData, 'C6_mean', ",0,", 'selectionName', name_rm_fitTime, 'onScreen', 0,'timeField','C_time','binCenters',[0:2:500]);")</f>
        <v>DJK_plot_time_hist(p, schnitzData, 'C6_mean', 0, 'selectionName', name_rm_fitTime, 'onScreen', 0,'timeField','C_time','binCenters',[0:2:500]);</v>
      </c>
      <c r="B131" s="4"/>
    </row>
    <row r="132" spans="1:2">
      <c r="B132" s="4"/>
    </row>
    <row r="133" spans="1:2">
      <c r="A133" s="4" t="str">
        <f>CONCATENATE("schnitzData = DJK_get_schnitzData(p, s_rm_fitTime,'C_time', 'dataFields', {'Y6_mean', 'C6_mean'}, 'fitTime', fitTime);")</f>
        <v>schnitzData = DJK_get_schnitzData(p, s_rm_fitTime,'C_time', 'dataFields', {'Y6_mean', 'C6_mean'}, 'fitTime', fitTime);</v>
      </c>
      <c r="B133" s="4"/>
    </row>
    <row r="134" spans="1:2">
      <c r="A134" s="4" t="str">
        <f>CONCATENATE("DJK_plot_scatterColor(p, schnitzData, 'Y6_mean', 'C6_mean', 'C_time', 'xlim', [0 500], 'ylim', [0 2000], 'selectionName', name_rm_fitTime, 'plotRegression', 1, 'onScreen', 0);")</f>
        <v>DJK_plot_scatterColor(p, schnitzData, 'Y6_mean', 'C6_mean', 'C_time', 'xlim', [0 500], 'ylim', [0 2000], 'selectionName', name_rm_fitTime, 'plotRegression', 1, 'onScreen', 0);</v>
      </c>
      <c r="B134" s="4"/>
    </row>
    <row r="135" spans="1:2">
      <c r="A135" s="4" t="str">
        <f>CONCATENATE("DJK_plot_scatterColor(p, schnitzData, 'noise_Y6_mean', 'noise_C6_mean', 'C_time', 'xlim', [-250 250], 'ylim', [-1000 1000], 'selectionName', name_rm_fitTime, 'plotRegression', 1, 'onScreen', 0);")</f>
        <v>DJK_plot_scatterColor(p, schnitzData, 'noise_Y6_mean', 'noise_C6_mean', 'C_time', 'xlim', [-250 250], 'ylim', [-1000 1000], 'selectionName', name_rm_fitTime, 'plotRegression', 1, 'onScreen', 0);</v>
      </c>
      <c r="B135" s="4"/>
    </row>
    <row r="136" spans="1:2">
      <c r="B136" s="4"/>
    </row>
    <row r="137" spans="1:2">
      <c r="B137" s="4"/>
    </row>
    <row r="138" spans="1:2">
      <c r="A138" s="16" t="s">
        <v>89</v>
      </c>
      <c r="B138" s="29" t="s">
        <v>167</v>
      </c>
    </row>
    <row r="139" spans="1:2">
      <c r="A139" s="3" t="str">
        <f>CONCATENATE("fitTime = ", B$23, "; fitTime = fitTime + [2 -2];")</f>
        <v>fitTime = [157 857]; fitTime = fitTime + [2 -2];</v>
      </c>
      <c r="B139" s="8" t="s">
        <v>74</v>
      </c>
    </row>
    <row r="140" spans="1:2">
      <c r="A140" s="28" t="str">
        <f>CONCATENATE("branchData = DJK_getBranches(p,s_rm,'dataFields',{'C_time' 'C6_mean' 'Y_time','Y6_mean' 'muP", $B$27,"_fitNew' 'dC5_sum_dt'  'dY5_sum_dt' 'dY5_sum_dt_ph' 'dY5_sum_dt_vol'   'dC5_sum_dt_ph' 'dC5_sum_dt_vol' }, 'fitTime', fitTime); name_rm_branch = [name_rm '_' num2str(fitTime(1)) '_' num2str(fitTime(2))];")</f>
        <v>branchData = DJK_getBranches(p,s_rm,'dataFields',{'C_time' 'C6_mean' 'Y_time','Y6_mean' 'muP15_fitNew' 'dC5_sum_dt'  'dY5_sum_dt' 'dY5_sum_dt_ph' 'dY5_sum_dt_vol'   'dC5_sum_dt_ph' 'dC5_sum_dt_vol' }, 'fitTime', fitTime); name_rm_branch = [name_rm '_' num2str(fitTime(1)) '_' num2str(fitTime(2))];</v>
      </c>
      <c r="B140" s="4"/>
    </row>
    <row r="141" spans="1:2">
      <c r="A141" s="1" t="str">
        <f>CONCATENATE("branches = DJK_addToBranches_noise(p, branchData,'dataFields',{'C_time' 'C6_mean' 'Y_time' 'Y6_mean' 'muP", $B$27,"_fitNew' 'dC5_sum_dt'  'dY5_sum_dt' 'dY5_sum_dt_ph' 'dY5_sum_dt_vol'   'dC5_sum_dt_ph' 'dC5_sum_dt_vol' });")</f>
        <v>branches = DJK_addToBranches_noise(p, branchData,'dataFields',{'C_time' 'C6_mean' 'Y_time' 'Y6_mean' 'muP15_fitNew' 'dC5_sum_dt'  'dY5_sum_dt' 'dY5_sum_dt_ph' 'dY5_sum_dt_vol'   'dC5_sum_dt_ph' 'dC5_sum_dt_vol' });</v>
      </c>
      <c r="B141" s="4"/>
    </row>
    <row r="142" spans="1:2">
      <c r="A142" s="4" t="s">
        <v>80</v>
      </c>
      <c r="B142" s="4"/>
    </row>
    <row r="143" spans="1:2">
      <c r="A143" s="4" t="s">
        <v>81</v>
      </c>
      <c r="B143" s="4"/>
    </row>
    <row r="145" spans="1:3">
      <c r="A145" s="4" t="str">
        <f>+CONCATENATE("DJK_plot_crosscorrelation_standard_error_store(p, branch_groups, 'noise_Y6_mean', 'noise_muP", $B$27,"_fitNew','selectionName',name_rm_branch);")</f>
        <v>DJK_plot_crosscorrelation_standard_error_store(p, branch_groups, 'noise_Y6_mean', 'noise_muP15_fitNew','selectionName',name_rm_branch);</v>
      </c>
      <c r="C145" s="1" t="s">
        <v>168</v>
      </c>
    </row>
    <row r="146" spans="1:3">
      <c r="A146" s="4" t="str">
        <f>+CONCATENATE("DJK_plot_crosscorrelation_standard_error_store(p, branch_groups, 'noise_C6_mean', 'noise_muP", $B$27,"_fitNew','selectionName',name_rm_branch);")</f>
        <v>DJK_plot_crosscorrelation_standard_error_store(p, branch_groups, 'noise_C6_mean', 'noise_muP15_fitNew','selectionName',name_rm_branch);</v>
      </c>
    </row>
    <row r="147" spans="1:3">
      <c r="A147" s="4" t="str">
        <f>+CONCATENATE("DJK_plot_crosscorrelation_standard_error_store(p, branch_groups, 'noise_Y6_mean',  'noise_C6_mean','selectionName',name_rm_branch);")</f>
        <v>DJK_plot_crosscorrelation_standard_error_store(p, branch_groups, 'noise_Y6_mean',  'noise_C6_mean','selectionName',name_rm_branch);</v>
      </c>
    </row>
    <row r="148" spans="1:3">
      <c r="A148" s="4" t="str">
        <f>+CONCATENATE("DJK_plot_crosscorrelation_standard_error_store(p, branch_groups, 'noise_Y6_mean',  'noise_Y6_mean','selectionName',name_rm_branch);")</f>
        <v>DJK_plot_crosscorrelation_standard_error_store(p, branch_groups, 'noise_Y6_mean',  'noise_Y6_mean','selectionName',name_rm_branch);</v>
      </c>
    </row>
    <row r="149" spans="1:3">
      <c r="A149" s="4" t="str">
        <f>+CONCATENATE("DJK_plot_crosscorrelation_standard_error_store(p, branch_groups,'noise_muP", $B$27,"_fitNew', 'noise_muP", $B$27,"_fitNew','selectionName',name_rm_branch);")</f>
        <v>DJK_plot_crosscorrelation_standard_error_store(p, branch_groups,'noise_muP15_fitNew', 'noise_muP15_fitNew','selectionName',name_rm_branch);</v>
      </c>
    </row>
    <row r="150" spans="1:3">
      <c r="A150" s="4" t="str">
        <f>+CONCATENATE("DJK_plot_crosscorrelation_standard_error_store(p, branch_groups, 'noise_C6_mean',  'noise_C6_mean','selectionName',name_rm_branch);")</f>
        <v>DJK_plot_crosscorrelation_standard_error_store(p, branch_groups, 'noise_C6_mean',  'noise_C6_mean','selectionName',name_rm_branch);</v>
      </c>
    </row>
    <row r="151" spans="1:3">
      <c r="A151" s="4"/>
    </row>
    <row r="152" spans="1:3">
      <c r="A152" s="4" t="str">
        <f>+CONCATENATE("DJK_plot_crosscorrelation_standard_error_store(p, branch_groups, 'noise_dY5_sum_dt', 'noise_muP", $B$27,"_fitNew','selectionName',name_rm_branch);")</f>
        <v>DJK_plot_crosscorrelation_standard_error_store(p, branch_groups, 'noise_dY5_sum_dt', 'noise_muP15_fitNew','selectionName',name_rm_branch);</v>
      </c>
      <c r="C152" s="1" t="s">
        <v>169</v>
      </c>
    </row>
    <row r="153" spans="1:3">
      <c r="A153" s="4" t="str">
        <f>+CONCATENATE("DJK_plot_crosscorrelation_standard_error_store(p, branch_groups, 'noise_dC5_sum_dt', 'noise_muP", $B$27,"_fitNew','selectionName',name_rm_branch);")</f>
        <v>DJK_plot_crosscorrelation_standard_error_store(p, branch_groups, 'noise_dC5_sum_dt', 'noise_muP15_fitNew','selectionName',name_rm_branch);</v>
      </c>
      <c r="C153" s="4"/>
    </row>
    <row r="154" spans="1:3">
      <c r="A154" s="4" t="str">
        <f>+CONCATENATE("DJK_plot_crosscorrelation_standard_error_store(p, branch_groups, 'noise_dY5_sum_dt',  'noise_dC5_sum_dt','selectionName',name_rm_branch);")</f>
        <v>DJK_plot_crosscorrelation_standard_error_store(p, branch_groups, 'noise_dY5_sum_dt',  'noise_dC5_sum_dt','selectionName',name_rm_branch);</v>
      </c>
    </row>
    <row r="155" spans="1:3">
      <c r="A155" s="4" t="str">
        <f>+CONCATENATE("DJK_plot_crosscorrelation_standard_error_store(p, branch_groups, 'noise_dY5_sum_dt',  'noise_dY5_sum_dt','selectionName',name_rm_branch);")</f>
        <v>DJK_plot_crosscorrelation_standard_error_store(p, branch_groups, 'noise_dY5_sum_dt',  'noise_dY5_sum_dt','selectionName',name_rm_branch);</v>
      </c>
      <c r="C155" s="4"/>
    </row>
    <row r="156" spans="1:3">
      <c r="A156" s="4" t="str">
        <f>+CONCATENATE("DJK_plot_crosscorrelation_standard_error_store(p, branch_groups,'noise_muP", $B$27,"_fitNew', 'noise_muP", $B$27,"_fitNew','selectionName',name_rm_branch);")</f>
        <v>DJK_plot_crosscorrelation_standard_error_store(p, branch_groups,'noise_muP15_fitNew', 'noise_muP15_fitNew','selectionName',name_rm_branch);</v>
      </c>
    </row>
    <row r="157" spans="1:3">
      <c r="A157" s="4" t="str">
        <f>+CONCATENATE("DJK_plot_crosscorrelation_standard_error_store(p, branch_groups, 'noise_dC5_sum_dt',  'noise_dC5_sum_dt','selectionName',name_rm_branch);")</f>
        <v>DJK_plot_crosscorrelation_standard_error_store(p, branch_groups, 'noise_dC5_sum_dt',  'noise_dC5_sum_dt','selectionName',name_rm_branch);</v>
      </c>
    </row>
    <row r="159" spans="1:3">
      <c r="A159" s="4" t="str">
        <f>+CONCATENATE("DJK_plot_crosscorrelation_standard_error_store(p, branch_groups, 'noise_dY5_sum_dt_ph', 'noise_muP", $B$27,"_fitNew','selectionName',name_rm_branch);")</f>
        <v>DJK_plot_crosscorrelation_standard_error_store(p, branch_groups, 'noise_dY5_sum_dt_ph', 'noise_muP15_fitNew','selectionName',name_rm_branch);</v>
      </c>
      <c r="C159" s="1" t="s">
        <v>170</v>
      </c>
    </row>
    <row r="160" spans="1:3">
      <c r="A160" s="4" t="str">
        <f>+CONCATENATE("DJK_plot_crosscorrelation_standard_error_store(p, branch_groups, 'noise_dC5_sum_dt_ph', 'noise_muP", $B$27,"_fitNew','selectionName',name_rm_branch);")</f>
        <v>DJK_plot_crosscorrelation_standard_error_store(p, branch_groups, 'noise_dC5_sum_dt_ph', 'noise_muP15_fitNew','selectionName',name_rm_branch);</v>
      </c>
    </row>
    <row r="161" spans="1:3">
      <c r="A161" s="4" t="str">
        <f>+CONCATENATE("DJK_plot_crosscorrelation_standard_error_store(p, branch_groups, 'noise_dY5_sum_dt_ph',  'noise_dC5_sum_dt_ph','selectionName',name_rm_branch);")</f>
        <v>DJK_plot_crosscorrelation_standard_error_store(p, branch_groups, 'noise_dY5_sum_dt_ph',  'noise_dC5_sum_dt_ph','selectionName',name_rm_branch);</v>
      </c>
    </row>
    <row r="162" spans="1:3">
      <c r="A162" s="4" t="str">
        <f>+CONCATENATE("DJK_plot_crosscorrelation_standard_error_store(p, branch_groups, 'noise_dY5_sum_dt_ph',  'noise_dY5_sum_dt_ph','selectionName',name_rm_branch);")</f>
        <v>DJK_plot_crosscorrelation_standard_error_store(p, branch_groups, 'noise_dY5_sum_dt_ph',  'noise_dY5_sum_dt_ph','selectionName',name_rm_branch);</v>
      </c>
    </row>
    <row r="163" spans="1:3">
      <c r="A163" s="4" t="str">
        <f>+CONCATENATE("DJK_plot_crosscorrelation_standard_error_store(p, branch_groups,'noise_muP", $B$27,"_fitNew', 'noise_muP", $B$27,"_fitNew','selectionName',name_rm_branch);")</f>
        <v>DJK_plot_crosscorrelation_standard_error_store(p, branch_groups,'noise_muP15_fitNew', 'noise_muP15_fitNew','selectionName',name_rm_branch);</v>
      </c>
    </row>
    <row r="164" spans="1:3">
      <c r="A164" s="4" t="str">
        <f>+CONCATENATE("DJK_plot_crosscorrelation_standard_error_store(p, branch_groups, 'noise_dC5_sum_dt_ph',  'noise_dC5_sum_dt_ph','selectionName',name_rm_branch);")</f>
        <v>DJK_plot_crosscorrelation_standard_error_store(p, branch_groups, 'noise_dC5_sum_dt_ph',  'noise_dC5_sum_dt_ph','selectionName',name_rm_branch);</v>
      </c>
    </row>
    <row r="166" spans="1:3">
      <c r="A166" s="4" t="str">
        <f>+CONCATENATE("DJK_plot_crosscorrelation_standard_error_store(p, branch_groups, 'noise_dY5_sum_dt_vol', 'noise_muP", $B$27,"_fitNew','selectionName',name_rm_branch);")</f>
        <v>DJK_plot_crosscorrelation_standard_error_store(p, branch_groups, 'noise_dY5_sum_dt_vol', 'noise_muP15_fitNew','selectionName',name_rm_branch);</v>
      </c>
      <c r="C166" s="1" t="s">
        <v>171</v>
      </c>
    </row>
    <row r="167" spans="1:3">
      <c r="A167" s="4" t="str">
        <f>+CONCATENATE("DJK_plot_crosscorrelation_standard_error_store(p, branch_groups, 'noise_dC5_sum_dt_vol', 'noise_muP", $B$27,"_fitNew','selectionName',name_rm_branch);")</f>
        <v>DJK_plot_crosscorrelation_standard_error_store(p, branch_groups, 'noise_dC5_sum_dt_vol', 'noise_muP15_fitNew','selectionName',name_rm_branch);</v>
      </c>
    </row>
    <row r="168" spans="1:3">
      <c r="A168" s="4" t="str">
        <f>+CONCATENATE("DJK_plot_crosscorrelation_standard_error_store(p, branch_groups, 'noise_dY5_sum_dt_vol',  'noise_dC5_sum_dt_vol','selectionName',name_rm_branch);")</f>
        <v>DJK_plot_crosscorrelation_standard_error_store(p, branch_groups, 'noise_dY5_sum_dt_vol',  'noise_dC5_sum_dt_vol','selectionName',name_rm_branch);</v>
      </c>
    </row>
    <row r="169" spans="1:3">
      <c r="A169" s="4" t="str">
        <f>+CONCATENATE("DJK_plot_crosscorrelation_standard_error_store(p, branch_groups, 'noise_dY5_sum_dt_vol',  'noise_dY5_sum_dt_vol','selectionName',name_rm_branch);")</f>
        <v>DJK_plot_crosscorrelation_standard_error_store(p, branch_groups, 'noise_dY5_sum_dt_vol',  'noise_dY5_sum_dt_vol','selectionName',name_rm_branch);</v>
      </c>
    </row>
    <row r="170" spans="1:3">
      <c r="A170" s="4" t="str">
        <f>+CONCATENATE("DJK_plot_crosscorrelation_standard_error_store(p, branch_groups,'noise_muP", $B$27,"_fitNew', 'noise_muP", $B$27,"_fitNew','selectionName',name_rm_branch);")</f>
        <v>DJK_plot_crosscorrelation_standard_error_store(p, branch_groups,'noise_muP15_fitNew', 'noise_muP15_fitNew','selectionName',name_rm_branch);</v>
      </c>
    </row>
    <row r="171" spans="1:3">
      <c r="A171" s="4" t="str">
        <f>+CONCATENATE("DJK_plot_crosscorrelation_standard_error_store(p, branch_groups, 'noise_dC5_sum_dt_vol',  'noise_dC5_sum_dt_vol','selectionName',name_rm_branch);")</f>
        <v>DJK_plot_crosscorrelation_standard_error_store(p, branch_groups, 'noise_dC5_sum_dt_vol',  'noise_dC5_sum_dt_vol','selectionName',name_rm_branch);</v>
      </c>
    </row>
    <row r="177" spans="1:3">
      <c r="A177" s="16" t="s">
        <v>90</v>
      </c>
      <c r="B177" s="29" t="s">
        <v>167</v>
      </c>
    </row>
    <row r="178" spans="1:3">
      <c r="A178" s="3" t="str">
        <f>CONCATENATE("fitTime = ", B$23, "; fitTime = fitTime + [2 -2];")</f>
        <v>fitTime = [157 857]; fitTime = fitTime + [2 -2];</v>
      </c>
    </row>
    <row r="179" spans="1:3">
      <c r="A179" s="4" t="str">
        <f>CONCATENATE("branchData = DJK_get_branches(p,s_rm,'dataFields',{'C_time' 'C6_mean' 'Y_time','Y6_mean' 'muP", $B$27,"_fitNew' 'dC5_sum_dt'  'dY5_sum_dt' 'dY5_sum_dt_ph' 'dY5_sum_dt_vol'   'dC5_sum_dt_ph' 'dC5_sum_dt_vol' }, 'fitTime', fitTime); name_rm_branch = [name_rm '_' num2str(fitTime(1)) '_' num2str(fitTime(2))];")</f>
        <v>branchData = DJK_get_branches(p,s_rm,'dataFields',{'C_time' 'C6_mean' 'Y_time','Y6_mean' 'muP15_fitNew' 'dC5_sum_dt'  'dY5_sum_dt' 'dY5_sum_dt_ph' 'dY5_sum_dt_vol'   'dC5_sum_dt_ph' 'dC5_sum_dt_vol' }, 'fitTime', fitTime); name_rm_branch = [name_rm '_' num2str(fitTime(1)) '_' num2str(fitTime(2))];</v>
      </c>
    </row>
    <row r="181" spans="1:3">
      <c r="A181" s="4" t="str">
        <f>CONCATENATE("DJK_xcorr_branches(p, branchData, 'noise_C6_mean', 'noise_C6_mean', 'correct', 1, 'xlim', ", $B$22,", 'selectionName', name_rm_branch, 'onScreen', 0);")</f>
        <v>DJK_xcorr_branches(p, branchData, 'noise_C6_mean', 'noise_C6_mean', 'correct', 1, 'xlim', [0 450], 'selectionName', name_rm_branch, 'onScreen', 0);</v>
      </c>
      <c r="C181" s="1" t="s">
        <v>172</v>
      </c>
    </row>
    <row r="182" spans="1:3">
      <c r="A182" s="4" t="str">
        <f>CONCATENATE("DJK_xcorr_branches(p, branchData, 'noise_Y6_mean', 'noise_Y6_mean', 'correct', 1, 'xlim', ", $B$22,", 'selectionName', name_rm_branch, 'onScreen', 0);")</f>
        <v>DJK_xcorr_branches(p, branchData, 'noise_Y6_mean', 'noise_Y6_mean', 'correct', 1, 'xlim', [0 450], 'selectionName', name_rm_branch, 'onScreen', 0);</v>
      </c>
    </row>
    <row r="183" spans="1:3">
      <c r="A183" s="4" t="str">
        <f>CONCATENATE("DJK_xcorr_branches(p, branchData, 'noise_muP", $B$27,"_fitNew', 'noise_muP", $B$27,"_fitNew', 'correct', 1, 'xlim',", $B$22, ", 'selectionName', name_rm_branch, 'onScreen', 0);")</f>
        <v>DJK_xcorr_branches(p, branchData, 'noise_muP15_fitNew', 'noise_muP15_fitNew', 'correct', 1, 'xlim',[0 450], 'selectionName', name_rm_branch, 'onScreen', 0);</v>
      </c>
    </row>
    <row r="184" spans="1:3">
      <c r="A184" s="4" t="str">
        <f>CONCATENATE("DJK_xcorr_branches(p, branchData, 'noise_Y6_mean', 'noise_muP", $B$27,"_fitNew', 'correct', 1, 'xlim', [-250 250], 'selectionName', name_rm_branch, 'onScreen', 0);")</f>
        <v>DJK_xcorr_branches(p, branchData, 'noise_Y6_mean', 'noise_muP15_fitNew', 'correct', 1, 'xlim', [-250 250], 'selectionName', name_rm_branch, 'onScreen', 0);</v>
      </c>
    </row>
    <row r="185" spans="1:3">
      <c r="A185" s="4" t="str">
        <f>CONCATENATE("DJK_xcorr_branches(p, branchData, 'noise_C6_mean', 'noise_muP", $B$27,"_fitNew', 'correct', 1, 'xlim', [-250 250], 'selectionName', name_rm_branch, 'onScreen', 0);")</f>
        <v>DJK_xcorr_branches(p, branchData, 'noise_C6_mean', 'noise_muP15_fitNew', 'correct', 1, 'xlim', [-250 250], 'selectionName', name_rm_branch, 'onScreen', 0);</v>
      </c>
    </row>
    <row r="186" spans="1:3">
      <c r="A186" s="4" t="str">
        <f>CONCATENATE("DJK_xcorr_branches(p, branchData, 'noise_Y6_mean', 'noise_C6_mean', 'correct', 1, 'xlim', [-250 250], 'selectionName', name_rm_branch, 'onScreen', 0);")</f>
        <v>DJK_xcorr_branches(p, branchData, 'noise_Y6_mean', 'noise_C6_mean', 'correct', 1, 'xlim', [-250 250], 'selectionName', name_rm_branch, 'onScreen', 0);</v>
      </c>
    </row>
    <row r="188" spans="1:3">
      <c r="A188" s="4" t="str">
        <f>CONCATENATE("DJK_xcorr_branches(p, branchData, 'noise_dC5_sum_dt', 'noise_dC5_sum_dt', 'correct', 1, 'xlim', ", $B$22,", 'selectionName', name_rm_branch, 'onScreen', 0);")</f>
        <v>DJK_xcorr_branches(p, branchData, 'noise_dC5_sum_dt', 'noise_dC5_sum_dt', 'correct', 1, 'xlim', [0 450], 'selectionName', name_rm_branch, 'onScreen', 0);</v>
      </c>
      <c r="C188" s="1" t="s">
        <v>169</v>
      </c>
    </row>
    <row r="189" spans="1:3">
      <c r="A189" s="4" t="str">
        <f>CONCATENATE("DJK_xcorr_branches(p, branchData, 'noise_dY5_sum_dt', 'noise_dY5_sum_dt', 'correct', 1, 'xlim', ", $B$22,", 'selectionName', name_rm_branch, 'onScreen', 0);")</f>
        <v>DJK_xcorr_branches(p, branchData, 'noise_dY5_sum_dt', 'noise_dY5_sum_dt', 'correct', 1, 'xlim', [0 450], 'selectionName', name_rm_branch, 'onScreen', 0);</v>
      </c>
    </row>
    <row r="190" spans="1:3">
      <c r="A190" s="4" t="str">
        <f>CONCATENATE("DJK_xcorr_branches(p, branchData, 'noise_muP", $B$27,"_fitNew', 'noise_muP", $B$27,"_fitNew', 'correct', 1, 'xlim',", $B$22, ", 'selectionName', name_rm_branch, 'onScreen', 0);")</f>
        <v>DJK_xcorr_branches(p, branchData, 'noise_muP15_fitNew', 'noise_muP15_fitNew', 'correct', 1, 'xlim',[0 450], 'selectionName', name_rm_branch, 'onScreen', 0);</v>
      </c>
    </row>
    <row r="191" spans="1:3">
      <c r="A191" s="4" t="str">
        <f>CONCATENATE("DJK_xcorr_branches(p, branchData, 'noise_dY5_sum_dt', 'noise_muP", $B$27,"_fitNew', 'correct', 1, 'xlim', [-250 250], 'selectionName', name_rm_branch, 'onScreen', 0);")</f>
        <v>DJK_xcorr_branches(p, branchData, 'noise_dY5_sum_dt', 'noise_muP15_fitNew', 'correct', 1, 'xlim', [-250 250], 'selectionName', name_rm_branch, 'onScreen', 0);</v>
      </c>
    </row>
    <row r="192" spans="1:3">
      <c r="A192" s="4" t="str">
        <f>CONCATENATE("DJK_xcorr_branches(p, branchData, 'noise_dC5_sum_dt', 'noise_muP", $B$27,"_fitNew', 'correct', 1, 'xlim', [-250 250], 'selectionName', name_rm_branch, 'onScreen', 0);")</f>
        <v>DJK_xcorr_branches(p, branchData, 'noise_dC5_sum_dt', 'noise_muP15_fitNew', 'correct', 1, 'xlim', [-250 250], 'selectionName', name_rm_branch, 'onScreen', 0);</v>
      </c>
    </row>
    <row r="193" spans="1:7">
      <c r="A193" s="4" t="str">
        <f>CONCATENATE("DJK_xcorr_branches(p, branchData, 'noise_dY5_sum_dt', 'noise_dC5_sum_dt', 'correct', 1, 'xlim',[-250 250], 'selectionName', name_rm_branch, 'onScreen', 0);")</f>
        <v>DJK_xcorr_branches(p, branchData, 'noise_dY5_sum_dt', 'noise_dC5_sum_dt', 'correct', 1, 'xlim',[-250 250], 'selectionName', name_rm_branch, 'onScreen', 0);</v>
      </c>
    </row>
    <row r="196" spans="1:7">
      <c r="A196" s="22" t="s">
        <v>173</v>
      </c>
    </row>
    <row r="200" spans="1:7">
      <c r="A200" s="35" t="s">
        <v>174</v>
      </c>
      <c r="B200" s="35"/>
    </row>
    <row r="201" spans="1:7">
      <c r="A201" s="2" t="s">
        <v>126</v>
      </c>
      <c r="B201" s="1" t="s">
        <v>176</v>
      </c>
      <c r="C201" s="1" t="str">
        <f>CONCATENATE("{'time','muP",$B$27, "_fitNew_all','mu",$B$27,"_fitNew_all'}")</f>
        <v>{'time','muP15_fitNew_all','mu15_fitNew_all'}</v>
      </c>
      <c r="G201" s="1" t="s">
        <v>177</v>
      </c>
    </row>
    <row r="202" spans="1:7">
      <c r="A202" s="2" t="s">
        <v>127</v>
      </c>
      <c r="B202" s="1" t="s">
        <v>178</v>
      </c>
      <c r="G202" s="1" t="s">
        <v>179</v>
      </c>
    </row>
    <row r="203" spans="1:7">
      <c r="A203" s="2" t="s">
        <v>131</v>
      </c>
      <c r="B203" s="1" t="s">
        <v>130</v>
      </c>
      <c r="C203" s="1" t="s">
        <v>128</v>
      </c>
    </row>
    <row r="204" spans="1:7">
      <c r="A204" s="2" t="s">
        <v>129</v>
      </c>
      <c r="B204" s="1" t="s">
        <v>180</v>
      </c>
    </row>
    <row r="205" spans="1:7">
      <c r="A205" s="2" t="s">
        <v>133</v>
      </c>
      <c r="B205" s="5">
        <v>8</v>
      </c>
    </row>
    <row r="206" spans="1:7">
      <c r="A206" s="2" t="s">
        <v>189</v>
      </c>
      <c r="B206" s="5">
        <v>6</v>
      </c>
    </row>
    <row r="207" spans="1:7">
      <c r="A207" s="2" t="s">
        <v>190</v>
      </c>
      <c r="B207" s="5">
        <v>6</v>
      </c>
    </row>
    <row r="208" spans="1:7">
      <c r="A208" s="2" t="s">
        <v>191</v>
      </c>
      <c r="B208" s="5">
        <v>6</v>
      </c>
    </row>
    <row r="209" spans="1:3">
      <c r="A209" s="2" t="s">
        <v>192</v>
      </c>
      <c r="B209" s="5">
        <v>6</v>
      </c>
    </row>
    <row r="210" spans="1:3">
      <c r="A210" s="2"/>
    </row>
    <row r="211" spans="1:3">
      <c r="A211" s="2"/>
    </row>
    <row r="213" spans="1:3">
      <c r="A213" s="3" t="str">
        <f>CONCATENATE("p = DJK_initschnitz('",B$3,"crop','",B$2,"','e.coli.AMOLF','rootDir','",B$4,"\', 'cropLeftTop', ", B$10,", 'cropRightBottom', ", B$11,",'fluor1','",B$6,"','fluor2','",B$7,"','fluor3','",B$8,"');")</f>
        <v>p = DJK_initschnitz('pos5crop','2012-04-24','e.coli.AMOLF','rootDir','D:\ExperimentalDataTodo\', 'cropLeftTop', [1,1], 'cropRightBottom', [1392,1040],'fluor1','y','fluor2','c','fluor3','none');</v>
      </c>
      <c r="C213" s="1" t="s">
        <v>181</v>
      </c>
    </row>
    <row r="214" spans="1:3">
      <c r="A214" s="3" t="s">
        <v>99</v>
      </c>
    </row>
    <row r="215" spans="1:3">
      <c r="A215" s="3" t="str">
        <f>CONCATENATE("fitTime = ", B$25, ";")</f>
        <v>fitTime = [0 1000];</v>
      </c>
    </row>
    <row r="216" spans="1:3">
      <c r="A216" s="4"/>
    </row>
    <row r="217" spans="1:3">
      <c r="A217" s="8" t="s">
        <v>62</v>
      </c>
    </row>
    <row r="218" spans="1:3">
      <c r="A218" s="4" t="s">
        <v>63</v>
      </c>
    </row>
    <row r="219" spans="1:3">
      <c r="A219" s="4" t="s">
        <v>65</v>
      </c>
    </row>
    <row r="220" spans="1:3">
      <c r="A220" s="4" t="s">
        <v>67</v>
      </c>
    </row>
    <row r="221" spans="1:3">
      <c r="A221" s="4"/>
    </row>
    <row r="222" spans="1:3">
      <c r="A222" s="4" t="s">
        <v>69</v>
      </c>
    </row>
    <row r="223" spans="1:3">
      <c r="A223" s="4" t="str">
        <f>CONCATENATE("for i=", B$28,", s_rm(i).useForPlot=0; end;")</f>
        <v>for i=[22 494 653 757 775 706 701 397 257 265 862 865], s_rm(i).useForPlot=0; end;</v>
      </c>
    </row>
    <row r="224" spans="1:3">
      <c r="A224" s="4" t="s">
        <v>70</v>
      </c>
    </row>
    <row r="225" spans="1:3">
      <c r="A225" s="4" t="s">
        <v>71</v>
      </c>
    </row>
    <row r="228" spans="1:3">
      <c r="A228" s="21" t="s">
        <v>125</v>
      </c>
    </row>
    <row r="229" spans="1:3">
      <c r="A229" s="1" t="s">
        <v>184</v>
      </c>
      <c r="B229" s="2" t="s">
        <v>185</v>
      </c>
      <c r="C229" s="1" t="s">
        <v>187</v>
      </c>
    </row>
    <row r="230" spans="1:3">
      <c r="A230" s="1" t="str">
        <f>CONCATENATE("s_rmNoise=NW_addToSchnitzcells_noise(p,s_rmNoise,'dataFields',",$B$201,");")</f>
        <v>s_rmNoise=NW_addToSchnitzcells_noise(p,s_rmNoise,'dataFields',{});</v>
      </c>
      <c r="B230" s="3"/>
      <c r="C230" s="1" t="s">
        <v>182</v>
      </c>
    </row>
    <row r="231" spans="1:3">
      <c r="A231" s="1" t="str">
        <f>CONCATENATE("s_rmNoise=NW_addToSchnitzcells_noise(p,s_rmNoise,'dataFields',",$B$202,");")</f>
        <v>s_rmNoise=NW_addToSchnitzcells_noise(p,s_rmNoise,'dataFields',{'Y_time','Y6_mean','C6_mean'});</v>
      </c>
      <c r="C231" s="1" t="s">
        <v>183</v>
      </c>
    </row>
    <row r="233" spans="1:3">
      <c r="A233" s="30" t="s">
        <v>186</v>
      </c>
    </row>
    <row r="234" spans="1:3">
      <c r="A234" s="1" t="str">
        <f>CONCATENATE("NW_testBinningCellCycle(p,s_rmNoise,'muP",$B$27,"_fitNew_all',",$B$203,",'selectionName',name_rm)")</f>
        <v>NW_testBinningCellCycle(p,s_rmNoise,'muP15_fitNew_all',[5 6 7 8 9 10],'selectionName',name_rm)</v>
      </c>
      <c r="B234" s="1" t="s">
        <v>188</v>
      </c>
    </row>
    <row r="235" spans="1:3">
      <c r="A235" s="1" t="str">
        <f>CONCATENATE("NW_testBinningCellCycle(p,s_rmNoise,'noise_Y6_mean',",$B$204,",'selectionName',name_rm)")</f>
        <v>NW_testBinningCellCycle(p,s_rmNoise,'noise_Y6_mean',[5 6 7 8],'selectionName',name_rm)</v>
      </c>
      <c r="B235" s="1" t="s">
        <v>132</v>
      </c>
    </row>
    <row r="236" spans="1:3">
      <c r="A236" s="1" t="str">
        <f>CONCATENATE("NW_testBinningCellCycle(p,s_rmNoise,'noise_C6_mean',",$B$204,",'selectionName',name_rm)")</f>
        <v>NW_testBinningCellCycle(p,s_rmNoise,'noise_C6_mean',[5 6 7 8],'selectionName',name_rm)</v>
      </c>
    </row>
    <row r="237" spans="1:3">
      <c r="A237" s="1" t="str">
        <f>CONCATENATE("NW_testBinningCellCycle(p,s_rmNoise,'dY5_sum_dt',",$B$204,",'selectionName',name_rm)")</f>
        <v>NW_testBinningCellCycle(p,s_rmNoise,'dY5_sum_dt',[5 6 7 8],'selectionName',name_rm)</v>
      </c>
      <c r="B237" s="1" t="s">
        <v>132</v>
      </c>
    </row>
    <row r="238" spans="1:3">
      <c r="A238" s="1" t="str">
        <f>CONCATENATE("NW_testBinningCellCycle(p,s_rmNoise,'dC5_sum_dt',",$B$204,",'selectionName',name_rm)")</f>
        <v>NW_testBinningCellCycle(p,s_rmNoise,'dC5_sum_dt',[5 6 7 8],'selectionName',name_rm)</v>
      </c>
    </row>
    <row r="240" spans="1:3">
      <c r="A240" s="22" t="s">
        <v>137</v>
      </c>
    </row>
    <row r="242" spans="1:2">
      <c r="A242" s="30" t="s">
        <v>193</v>
      </c>
    </row>
    <row r="243" spans="1:2">
      <c r="A243" s="1" t="str">
        <f>CONCATENATE("[ppMu,~,~]=NW_plot_cellCycleDependence(p,s_rmNoise,'muP",$B$27,"_fitNew_all',",$B$205,",'selectionName',name_rm, 'onScreen',0);")</f>
        <v>[ppMu,~,~]=NW_plot_cellCycleDependence(p,s_rmNoise,'muP15_fitNew_all',8,'selectionName',name_rm, 'onScreen',0);</v>
      </c>
    </row>
    <row r="244" spans="1:2">
      <c r="A244" s="1" t="str">
        <f>CONCATENATE("[ppYFP,~,~]=NW_plot_cellCycleDependence(p,s_rmNoise,'noise_Y6_mean',",$B$206,",'selectionName',name_rm, 'onScreen',0);")</f>
        <v>[ppYFP,~,~]=NW_plot_cellCycleDependence(p,s_rmNoise,'noise_Y6_mean',6,'selectionName',name_rm, 'onScreen',0);</v>
      </c>
    </row>
    <row r="245" spans="1:2">
      <c r="A245" s="1" t="str">
        <f>CONCATENATE("[ppCFP,~,~]=NW_plot_cellCycleDependence(p,s_rmNoise,'noise_C6_mean',",$B$207,",'selectionName',name_rm, 'onScreen',0);")</f>
        <v>[ppCFP,~,~]=NW_plot_cellCycleDependence(p,s_rmNoise,'noise_C6_mean',6,'selectionName',name_rm, 'onScreen',0);</v>
      </c>
    </row>
    <row r="246" spans="1:2">
      <c r="A246" s="1" t="str">
        <f>CONCATENATE("[ppYFPrate,~,~]=NW_plot_cellCycleDependence(p,s_rmNoise,'dY5_sum_dt',",$B$208,",'selectionName',name_rm, 'onScreen',0);")</f>
        <v>[ppYFPrate,~,~]=NW_plot_cellCycleDependence(p,s_rmNoise,'dY5_sum_dt',6,'selectionName',name_rm, 'onScreen',0);</v>
      </c>
    </row>
    <row r="247" spans="1:2">
      <c r="A247" s="1" t="str">
        <f>CONCATENATE("[ppCFPrate,~,~]=NW_plot_cellCycleDependence(p,s_rmNoise,'dC5_sum_dt',",$B$209,",'selectionName',name_rm, 'onScreen',0);")</f>
        <v>[ppCFPrate,~,~]=NW_plot_cellCycleDependence(p,s_rmNoise,'dC5_sum_dt',6,'selectionName',name_rm, 'onScreen',0);</v>
      </c>
    </row>
    <row r="249" spans="1:2">
      <c r="A249" s="30" t="s">
        <v>194</v>
      </c>
    </row>
    <row r="250" spans="1:2">
      <c r="A250" s="1" t="str">
        <f>CONCATENATE("dummyschnitzcells=NW_correctCellCycle(p,s_all,ppMu,'muP",$B$27,"_fitNew','restrictToCompleteCycle',0);")</f>
        <v>dummyschnitzcells=NW_correctCellCycle(p,s_all,ppMu,'muP15_fitNew','restrictToCompleteCycle',0);</v>
      </c>
      <c r="B250" s="1" t="s">
        <v>195</v>
      </c>
    </row>
    <row r="251" spans="1:2">
      <c r="A251" s="1" t="str">
        <f>CONCATENATE("dummyschnitzcells=NW_correctCellCycle(p,dummyschnitzcells,ppYFP,'Y6_mean','restrictToCompleteCycle',0);")</f>
        <v>dummyschnitzcells=NW_correctCellCycle(p,dummyschnitzcells,ppYFP,'Y6_mean','restrictToCompleteCycle',0);</v>
      </c>
      <c r="B251" s="2" t="s">
        <v>207</v>
      </c>
    </row>
    <row r="252" spans="1:2">
      <c r="A252" s="1" t="str">
        <f>CONCATENATE("dummyschnitzcells=NW_correctCellCycle(p,dummyschnitzcells,ppCFP,'C6_mean','restrictToCompleteCycle',0);")</f>
        <v>dummyschnitzcells=NW_correctCellCycle(p,dummyschnitzcells,ppCFP,'C6_mean','restrictToCompleteCycle',0);</v>
      </c>
    </row>
    <row r="253" spans="1:2">
      <c r="A253" s="1" t="str">
        <f>CONCATENATE("dummyschnitzcells=NW_correctCellCycle(p,dummyschnitzcells,ppYFPrate,'dY5_sum_dt','restrictToCompleteCycle',0);")</f>
        <v>dummyschnitzcells=NW_correctCellCycle(p,dummyschnitzcells,ppYFPrate,'dY5_sum_dt','restrictToCompleteCycle',0);</v>
      </c>
    </row>
    <row r="254" spans="1:2">
      <c r="A254" s="1" t="str">
        <f>CONCATENATE("dummyschnitzcells=NW_correctCellCycle(p,dummyschnitzcells,ppCFPrate,'dC5_sum_dt','restrictToCompleteCycle',0);")</f>
        <v>dummyschnitzcells=NW_correctCellCycle(p,dummyschnitzcells,ppCFPrate,'dC5_sum_dt','restrictToCompleteCycle',0);</v>
      </c>
    </row>
    <row r="257" spans="1:3">
      <c r="A257" s="32" t="s">
        <v>196</v>
      </c>
    </row>
    <row r="258" spans="1:3">
      <c r="A258" s="1" t="s">
        <v>197</v>
      </c>
    </row>
    <row r="260" spans="1:3">
      <c r="A260" s="31" t="s">
        <v>208</v>
      </c>
    </row>
    <row r="264" spans="1:3">
      <c r="A264" s="3" t="str">
        <f>CONCATENATE("fitTime = ", B$23, "; fitTime = fitTime + [2 -2];")</f>
        <v>fitTime = [157 857]; fitTime = fitTime + [2 -2];</v>
      </c>
    </row>
    <row r="265" spans="1:3">
      <c r="A265" s="4" t="str">
        <f>CONCATENATE("branchDataCycCor = DJK_getBranches(p,s_rm,'dataFields',{'C_time' 'C6_mean'  'C6_mean_subtr' 'Y_time','Y6_mean'  'Y6_mean_subtr' 'muP", $B$27,"_fitNew' 'muP", $B$27,"_fitNew_subtr'  'muP", $B$27,"_fitNew_div'  'dY5_sum_dt_subtr' 'dY5_sum_dt_div' 'dC5_sum_dt_subtr' 'dC5_sum_dt_div' 'dY5_sum_dt_vol' 'dC5_sum_dt_vol'}, 'fitTime', fitTime); name_rm_branch = [name_rm '_' num2str(fitTime(1)) '_' num2str(fitTime(2))];")</f>
        <v>branchDataCycCor = DJK_getBranches(p,s_rm,'dataFields',{'C_time' 'C6_mean'  'C6_mean_subtr' 'Y_time','Y6_mean'  'Y6_mean_subtr' 'muP15_fitNew' 'muP15_fitNew_subtr'  'muP15_fitNew_div'  'dY5_sum_dt_subtr' 'dY5_sum_dt_div' 'dC5_sum_dt_subtr' 'dC5_sum_dt_div' 'dY5_sum_dt_vol' 'dC5_sum_dt_vol'}, 'fitTime', fitTime); name_rm_branch = [name_rm '_' num2str(fitTime(1)) '_' num2str(fitTime(2))];</v>
      </c>
    </row>
    <row r="266" spans="1:3">
      <c r="A266" s="1" t="str">
        <f>CONCATENATE("branchesCycCor = DJK_addToBranches_noise(p, branchDataCycCor,'dataFields',{'C_time' 'C6_mean'  'C6_mean_subtr' 'Y_time','Y6_mean'  'Y6_mean_subtr' 'muP", $B$27,"_fitNew' 'muP", $B$27,"_fitNew_subtr'  'muP", $B$27,"_fitNew_div'  'dY5_sum_dt_subtr' 'dY5_sum_dt_div' 'dC5_sum_dt_subtr' 'dC5_sum_dt_div' 'dY5_sum_dt_vol' 'dC5_sum_dt_vol'});")</f>
        <v>branchesCycCor = DJK_addToBranches_noise(p, branchDataCycCor,'dataFields',{'C_time' 'C6_mean'  'C6_mean_subtr' 'Y_time','Y6_mean'  'Y6_mean_subtr' 'muP15_fitNew' 'muP15_fitNew_subtr'  'muP15_fitNew_div'  'dY5_sum_dt_subtr' 'dY5_sum_dt_div' 'dC5_sum_dt_subtr' 'dC5_sum_dt_div' 'dY5_sum_dt_vol' 'dC5_sum_dt_vol'});</v>
      </c>
    </row>
    <row r="267" spans="1:3">
      <c r="A267" s="4" t="s">
        <v>134</v>
      </c>
    </row>
    <row r="268" spans="1:3">
      <c r="A268" s="4" t="s">
        <v>135</v>
      </c>
    </row>
    <row r="269" spans="1:3">
      <c r="A269" s="4"/>
    </row>
    <row r="270" spans="1:3">
      <c r="A270" s="4" t="str">
        <f>+CONCATENATE("DJK_plot_crosscorrelation_standard_error_store(p, branch_groupsCycCor, 'noise_Y6_mean_subtr', 'noise_muP", $B$27,"_fitNew_subtr','selectionName',name_rm_branch);")</f>
        <v>DJK_plot_crosscorrelation_standard_error_store(p, branch_groupsCycCor, 'noise_Y6_mean_subtr', 'noise_muP15_fitNew_subtr','selectionName',name_rm_branch);</v>
      </c>
      <c r="C270" s="1" t="s">
        <v>199</v>
      </c>
    </row>
    <row r="271" spans="1:3">
      <c r="A271" s="4" t="str">
        <f>+CONCATENATE("DJK_plot_crosscorrelation_standard_error_store(p, branch_groupsCycCor, 'noise_C6_mean_subtr', 'noise_muP", $B$27,"_fitNew_subtr','selectionName',name_rm_branch);")</f>
        <v>DJK_plot_crosscorrelation_standard_error_store(p, branch_groupsCycCor, 'noise_C6_mean_subtr', 'noise_muP15_fitNew_subtr','selectionName',name_rm_branch);</v>
      </c>
    </row>
    <row r="272" spans="1:3">
      <c r="A272" s="4" t="str">
        <f>+CONCATENATE("DJK_plot_crosscorrelation_standard_error_store(p, branch_groupsCycCor, 'noise_Y6_mean_subtr',  'noise_C6_mean_subtr','selectionName',name_rm_branch);")</f>
        <v>DJK_plot_crosscorrelation_standard_error_store(p, branch_groupsCycCor, 'noise_Y6_mean_subtr',  'noise_C6_mean_subtr','selectionName',name_rm_branch);</v>
      </c>
    </row>
    <row r="273" spans="1:3">
      <c r="A273" s="4" t="str">
        <f>+CONCATENATE("DJK_plot_crosscorrelation_standard_error_store(p, branch_groupsCycCor, 'noise_Y6_mean_subtr',  'noise_Y6_mean_subtr','selectionName',name_rm_branch);")</f>
        <v>DJK_plot_crosscorrelation_standard_error_store(p, branch_groupsCycCor, 'noise_Y6_mean_subtr',  'noise_Y6_mean_subtr','selectionName',name_rm_branch);</v>
      </c>
    </row>
    <row r="274" spans="1:3">
      <c r="A274" s="4" t="str">
        <f>+CONCATENATE("DJK_plot_crosscorrelation_standard_error_store(p, branch_groupsCycCor,'noise_muP", $B$27,"_fitNew_subtr', 'noise_muP", $B$27,"_fitNew_subtr','selectionName',name_rm_branch);")</f>
        <v>DJK_plot_crosscorrelation_standard_error_store(p, branch_groupsCycCor,'noise_muP15_fitNew_subtr', 'noise_muP15_fitNew_subtr','selectionName',name_rm_branch);</v>
      </c>
    </row>
    <row r="275" spans="1:3">
      <c r="A275" s="4" t="str">
        <f>+CONCATENATE("DJK_plot_crosscorrelation_standard_error_store(p, branch_groupsCycCor, 'noise_C6_mean_subtr',  'noise_C6_mean_subtr','selectionName',name_rm_branch);")</f>
        <v>DJK_plot_crosscorrelation_standard_error_store(p, branch_groupsCycCor, 'noise_C6_mean_subtr',  'noise_C6_mean_subtr','selectionName',name_rm_branch);</v>
      </c>
    </row>
    <row r="277" spans="1:3">
      <c r="A277" s="4" t="str">
        <f>+CONCATENATE("DJK_plot_crosscorrelation_standard_error_store(p, branch_groupsCycCor, 'noise_dY5_sum_dt_subtr', 'noise_muP", $B$27,"_fitNew_subtr','selectionName',name_rm_branch);")</f>
        <v>DJK_plot_crosscorrelation_standard_error_store(p, branch_groupsCycCor, 'noise_dY5_sum_dt_subtr', 'noise_muP15_fitNew_subtr','selectionName',name_rm_branch);</v>
      </c>
      <c r="C277" s="1" t="s">
        <v>198</v>
      </c>
    </row>
    <row r="278" spans="1:3">
      <c r="A278" s="4" t="str">
        <f>+CONCATENATE("DJK_plot_crosscorrelation_standard_error_store(p, branch_groupsCycCor, 'noise_dC5_sum_dt_subtr', 'noise_muP", $B$27,"_fitNew_subtr','selectionName',name_rm_branch);")</f>
        <v>DJK_plot_crosscorrelation_standard_error_store(p, branch_groupsCycCor, 'noise_dC5_sum_dt_subtr', 'noise_muP15_fitNew_subtr','selectionName',name_rm_branch);</v>
      </c>
    </row>
    <row r="279" spans="1:3">
      <c r="A279" s="4" t="str">
        <f>+CONCATENATE("DJK_plot_crosscorrelation_standard_error_store(p, branch_groupsCycCor, 'noise_dY5_sum_dt_subtr',  'noise_dC5_sum_dt_subtr','selectionName',name_rm_branch);")</f>
        <v>DJK_plot_crosscorrelation_standard_error_store(p, branch_groupsCycCor, 'noise_dY5_sum_dt_subtr',  'noise_dC5_sum_dt_subtr','selectionName',name_rm_branch);</v>
      </c>
    </row>
    <row r="280" spans="1:3">
      <c r="A280" s="4" t="str">
        <f>+CONCATENATE("DJK_plot_crosscorrelation_standard_error_store(p, branch_groupsCycCor, 'noise_dY5_sum_dt_subtr',  'noise_dY5_sum_dt_subtr','selectionName',name_rm_branch);")</f>
        <v>DJK_plot_crosscorrelation_standard_error_store(p, branch_groupsCycCor, 'noise_dY5_sum_dt_subtr',  'noise_dY5_sum_dt_subtr','selectionName',name_rm_branch);</v>
      </c>
    </row>
    <row r="281" spans="1:3">
      <c r="A281" s="4" t="str">
        <f>+CONCATENATE("DJK_plot_crosscorrelation_standard_error_store(p, branch_groupsCycCor,'noise_muP", $B$27,"_fitNew_subtr', 'noise_muP", $B$27,"_fitNew_subtr','selectionName',name_rm_branch);")</f>
        <v>DJK_plot_crosscorrelation_standard_error_store(p, branch_groupsCycCor,'noise_muP15_fitNew_subtr', 'noise_muP15_fitNew_subtr','selectionName',name_rm_branch);</v>
      </c>
    </row>
    <row r="282" spans="1:3">
      <c r="A282" s="4" t="str">
        <f>+CONCATENATE("DJK_plot_crosscorrelation_standard_error_store(p, branch_groupsCycCor, 'noise_dC5_sum_dt_subtr',  'noise_dC5_sum_dt_subtr','selectionName',name_rm_branch);")</f>
        <v>DJK_plot_crosscorrelation_standard_error_store(p, branch_groupsCycCor, 'noise_dC5_sum_dt_subtr',  'noise_dC5_sum_dt_subtr','selectionName',name_rm_branch);</v>
      </c>
    </row>
    <row r="284" spans="1:3">
      <c r="A284" s="4" t="str">
        <f>+CONCATENATE("DJK_plot_crosscorrelation_standard_error_store(p, branch_groupsCycCor, 'noise_dY5_sum_dt_div', 'noise_muP", $B$27,"_fitNew_div','selectionName',name_rm_branch);")</f>
        <v>DJK_plot_crosscorrelation_standard_error_store(p, branch_groupsCycCor, 'noise_dY5_sum_dt_div', 'noise_muP15_fitNew_div','selectionName',name_rm_branch);</v>
      </c>
      <c r="C284" s="1" t="s">
        <v>200</v>
      </c>
    </row>
    <row r="285" spans="1:3">
      <c r="A285" s="4" t="str">
        <f>+CONCATENATE("DJK_plot_crosscorrelation_standard_error_store(p, branch_groupsCycCor, 'noise_dC5_sum_dt_div', 'noise_muP", $B$27,"_fitNew_div','selectionName',name_rm_branch);")</f>
        <v>DJK_plot_crosscorrelation_standard_error_store(p, branch_groupsCycCor, 'noise_dC5_sum_dt_div', 'noise_muP15_fitNew_div','selectionName',name_rm_branch);</v>
      </c>
    </row>
    <row r="286" spans="1:3">
      <c r="A286" s="4" t="str">
        <f>+CONCATENATE("DJK_plot_crosscorrelation_standard_error_store(p, branch_groupsCycCor, 'noise_dY5_sum_dt_div',  'noise_dC5_sum_dt_div','selectionName',name_rm_branch);")</f>
        <v>DJK_plot_crosscorrelation_standard_error_store(p, branch_groupsCycCor, 'noise_dY5_sum_dt_div',  'noise_dC5_sum_dt_div','selectionName',name_rm_branch);</v>
      </c>
    </row>
    <row r="287" spans="1:3">
      <c r="A287" s="4" t="str">
        <f>+CONCATENATE("DJK_plot_crosscorrelation_standard_error_store(p, branch_groupsCycCor, 'noise_dY5_sum_dt_div',  'noise_dY5_sum_dt_div','selectionName',name_rm_branch);")</f>
        <v>DJK_plot_crosscorrelation_standard_error_store(p, branch_groupsCycCor, 'noise_dY5_sum_dt_div',  'noise_dY5_sum_dt_div','selectionName',name_rm_branch);</v>
      </c>
    </row>
    <row r="288" spans="1:3">
      <c r="A288" s="4" t="str">
        <f>+CONCATENATE("DJK_plot_crosscorrelation_standard_error_store(p, branch_groupsCycCor,'noise_muP", $B$27,"_fitNew_div', 'noise_muP", $B$27,"_fitNew_div','selectionName',name_rm_branch);")</f>
        <v>DJK_plot_crosscorrelation_standard_error_store(p, branch_groupsCycCor,'noise_muP15_fitNew_div', 'noise_muP15_fitNew_div','selectionName',name_rm_branch);</v>
      </c>
    </row>
    <row r="289" spans="1:3">
      <c r="A289" s="4" t="str">
        <f>+CONCATENATE("DJK_plot_crosscorrelation_standard_error_store(p, branch_groupsCycCor, 'noise_dC5_sum_dt_div',  'noise_dC5_sum_dt_div','selectionName',name_rm_branch);")</f>
        <v>DJK_plot_crosscorrelation_standard_error_store(p, branch_groupsCycCor, 'noise_dC5_sum_dt_div',  'noise_dC5_sum_dt_div','selectionName',name_rm_branch);</v>
      </c>
    </row>
    <row r="291" spans="1:3">
      <c r="A291" s="4" t="str">
        <f>+CONCATENATE("DJK_plot_crosscorrelation_standard_error_store(p, branch_groupsCycCor, 'noise_dY5_sum_dt_vol', 'noise_muP", $B$27,"_fitNew_subtr','selectionName',name_rm_branch);")</f>
        <v>DJK_plot_crosscorrelation_standard_error_store(p, branch_groupsCycCor, 'noise_dY5_sum_dt_vol', 'noise_muP15_fitNew_subtr','selectionName',name_rm_branch);</v>
      </c>
      <c r="C291" s="1" t="s">
        <v>211</v>
      </c>
    </row>
    <row r="292" spans="1:3">
      <c r="A292" s="4" t="str">
        <f>+CONCATENATE("DJK_plot_crosscorrelation_standard_error_store(p, branch_groupsCycCor, 'noise_dC5_sum_dt_vol', 'noise_muP", $B$27,"_fitNew_subtr','selectionName',name_rm_branch);")</f>
        <v>DJK_plot_crosscorrelation_standard_error_store(p, branch_groupsCycCor, 'noise_dC5_sum_dt_vol', 'noise_muP15_fitNew_subtr','selectionName',name_rm_branch);</v>
      </c>
    </row>
    <row r="294" spans="1:3">
      <c r="A294" s="32" t="s">
        <v>201</v>
      </c>
    </row>
    <row r="295" spans="1:3">
      <c r="A295" s="3" t="str">
        <f>CONCATENATE("fitTime = ", B$23, "; fitTime = fitTime + [2 -2];")</f>
        <v>fitTime = [157 857]; fitTime = fitTime + [2 -2];</v>
      </c>
    </row>
    <row r="296" spans="1:3">
      <c r="A296" s="4" t="str">
        <f>CONCATENATE("branchDataCycCor = DJK_get_branches(p,s_rm,'dataFields',{'C_time' 'C6_mean'  'C6_mean_subtr' 'Y_time','Y6_mean'  'Y6_mean_subtr' 'muP", $B$27,"_fitNew' 'muP", $B$27,"_fitNew_subtr'  'muP", $B$27,"_fitNew_div'  'dY5_sum_dt_subtr' 'dY5_sum_dt_div' 'dC5_sum_dt_subtr' 'dC5_sum_dt_div'}, 'fitTime', fitTime); name_rm_branch = [name_rm '_' num2str(fitTime(1)) '_' num2str(fitTime(2))];")</f>
        <v>branchDataCycCor = DJK_get_branches(p,s_rm,'dataFields',{'C_time' 'C6_mean'  'C6_mean_subtr' 'Y_time','Y6_mean'  'Y6_mean_subtr' 'muP15_fitNew' 'muP15_fitNew_subtr'  'muP15_fitNew_div'  'dY5_sum_dt_subtr' 'dY5_sum_dt_div' 'dC5_sum_dt_subtr' 'dC5_sum_dt_div'}, 'fitTime', fitTime); name_rm_branch = [name_rm '_' num2str(fitTime(1)) '_' num2str(fitTime(2))];</v>
      </c>
    </row>
    <row r="298" spans="1:3">
      <c r="A298" s="4" t="str">
        <f>CONCATENATE("DJK_xcorr_branches(p, branchDataCycCor, 'noise_C6_mean_subtr', 'noise_C6_mean_subtr', 'correct', 1, 'xlim', ", $B$22,", 'selectionName', name_rm_branch, 'onScreen', 0);")</f>
        <v>DJK_xcorr_branches(p, branchDataCycCor, 'noise_C6_mean_subtr', 'noise_C6_mean_subtr', 'correct', 1, 'xlim', [0 450], 'selectionName', name_rm_branch, 'onScreen', 0);</v>
      </c>
      <c r="C298" s="1" t="s">
        <v>199</v>
      </c>
    </row>
    <row r="299" spans="1:3">
      <c r="A299" s="4" t="str">
        <f>CONCATENATE("DJK_xcorr_branches(p, branchDataCycCor, 'noise_Y6_mean_subtr', 'noise_Y6_mean_subtr', 'correct', 1, 'xlim', ", $B$22,", 'selectionName', name_rm_branch, 'onScreen', 0);")</f>
        <v>DJK_xcorr_branches(p, branchDataCycCor, 'noise_Y6_mean_subtr', 'noise_Y6_mean_subtr', 'correct', 1, 'xlim', [0 450], 'selectionName', name_rm_branch, 'onScreen', 0);</v>
      </c>
    </row>
    <row r="300" spans="1:3">
      <c r="A300" s="4" t="str">
        <f>CONCATENATE("DJK_xcorr_branches(p, branchDataCycCor, 'noise_muP", $B$27,"_fitNew_subtr', 'noise_muP", $B$27,"_fitNew_subtr', 'correct', 1, 'xlim',", $B$22, ", 'selectionName', name_rm_branch, 'onScreen', 0);")</f>
        <v>DJK_xcorr_branches(p, branchDataCycCor, 'noise_muP15_fitNew_subtr', 'noise_muP15_fitNew_subtr', 'correct', 1, 'xlim',[0 450], 'selectionName', name_rm_branch, 'onScreen', 0);</v>
      </c>
    </row>
    <row r="301" spans="1:3">
      <c r="A301" s="4" t="str">
        <f>CONCATENATE("DJK_xcorr_branches(p, branchDataCycCor, 'noise_Y6_mean_subtr', 'noise_muP", $B$27,"_fitNew_subtr', 'correct', 1, 'xlim', [-250 250], 'selectionName', name_rm_branch, 'onScreen', 0);")</f>
        <v>DJK_xcorr_branches(p, branchDataCycCor, 'noise_Y6_mean_subtr', 'noise_muP15_fitNew_subtr', 'correct', 1, 'xlim', [-250 250], 'selectionName', name_rm_branch, 'onScreen', 0);</v>
      </c>
    </row>
    <row r="302" spans="1:3">
      <c r="A302" s="4" t="str">
        <f>CONCATENATE("DJK_xcorr_branches(p, branchDataCycCor, 'noise_C6_mean_subtr', 'noise_muP", $B$27,"_fitNew_subtr', 'correct', 1, 'xlim', [-250 250], 'selectionName', name_rm_branch, 'onScreen', 0);")</f>
        <v>DJK_xcorr_branches(p, branchDataCycCor, 'noise_C6_mean_subtr', 'noise_muP15_fitNew_subtr', 'correct', 1, 'xlim', [-250 250], 'selectionName', name_rm_branch, 'onScreen', 0);</v>
      </c>
    </row>
    <row r="303" spans="1:3">
      <c r="A303" s="4" t="str">
        <f>CONCATENATE("DJK_xcorr_branches(p, branchDataCycCor, 'noise_Y6_mean_subtr', 'noise_C6_mean_subtr', 'correct', 1, 'xlim',[-250 250], 'selectionName', name_rm_branch, 'onScreen', 0);")</f>
        <v>DJK_xcorr_branches(p, branchDataCycCor, 'noise_Y6_mean_subtr', 'noise_C6_mean_subtr', 'correct', 1, 'xlim',[-250 250], 'selectionName', name_rm_branch, 'onScreen', 0);</v>
      </c>
    </row>
    <row r="305" spans="1:13">
      <c r="A305" s="4" t="str">
        <f>CONCATENATE("DJK_xcorr_branches(p, branchDataCycCor, 'noise_dC5_sum_dt_subtr', 'noise_dC5_sum_dt_subtr', 'correct', 1, 'xlim', ", $B$22,", 'selectionName', name_rm_branch, 'onScreen', 0);")</f>
        <v>DJK_xcorr_branches(p, branchDataCycCor, 'noise_dC5_sum_dt_subtr', 'noise_dC5_sum_dt_subtr', 'correct', 1, 'xlim', [0 450], 'selectionName', name_rm_branch, 'onScreen', 0);</v>
      </c>
      <c r="C305" s="1" t="s">
        <v>198</v>
      </c>
    </row>
    <row r="306" spans="1:13">
      <c r="A306" s="4" t="str">
        <f>CONCATENATE("DJK_xcorr_branches(p, branchDataCycCor, 'noise_dY5_sum_dt_subtr', 'noise_dY5_sum_dt_subtr', 'correct', 1, 'xlim', ", $B$22,", 'selectionName', name_rm_branch, 'onScreen', 0);")</f>
        <v>DJK_xcorr_branches(p, branchDataCycCor, 'noise_dY5_sum_dt_subtr', 'noise_dY5_sum_dt_subtr', 'correct', 1, 'xlim', [0 450], 'selectionName', name_rm_branch, 'onScreen', 0);</v>
      </c>
    </row>
    <row r="307" spans="1:13">
      <c r="A307" s="4" t="str">
        <f>CONCATENATE("DJK_xcorr_branches(p, branchDataCycCor, 'noise_muP", $B$27,"_fitNew_subtr', 'noise_muP", $B$27,"_fitNew_subtr', 'correct', 1, 'xlim',", $B$22, ", 'selectionName', name_rm_branch, 'onScreen', 0);")</f>
        <v>DJK_xcorr_branches(p, branchDataCycCor, 'noise_muP15_fitNew_subtr', 'noise_muP15_fitNew_subtr', 'correct', 1, 'xlim',[0 450], 'selectionName', name_rm_branch, 'onScreen', 0);</v>
      </c>
    </row>
    <row r="308" spans="1:13">
      <c r="A308" s="4" t="str">
        <f>CONCATENATE("DJK_xcorr_branches(p, branchDataCycCor, 'noise_dY5_sum_dt_subtr', 'noise_muP", $B$27,"_fitNew_subtr', 'correct', 1, 'xlim', [-250 250], 'selectionName', name_rm_branch, 'onScreen', 0);")</f>
        <v>DJK_xcorr_branches(p, branchDataCycCor, 'noise_dY5_sum_dt_subtr', 'noise_muP15_fitNew_subtr', 'correct', 1, 'xlim', [-250 250], 'selectionName', name_rm_branch, 'onScreen', 0);</v>
      </c>
    </row>
    <row r="309" spans="1:13">
      <c r="A309" s="4" t="str">
        <f>CONCATENATE("DJK_xcorr_branches(p, branchDataCycCor, 'noise_dC5_sum_dt_subtr', 'noise_muP", $B$27,"_fitNew_subtr', 'correct', 1, 'xlim', [-250 250], 'selectionName', name_rm_branch, 'onScreen', 0);")</f>
        <v>DJK_xcorr_branches(p, branchDataCycCor, 'noise_dC5_sum_dt_subtr', 'noise_muP15_fitNew_subtr', 'correct', 1, 'xlim', [-250 250], 'selectionName', name_rm_branch, 'onScreen', 0);</v>
      </c>
    </row>
    <row r="310" spans="1:13">
      <c r="A310" s="4" t="str">
        <f>CONCATENATE("DJK_xcorr_branches(p, branchDataCycCor, 'noise_dY5_sum_dt_subtr', 'noise_dC5_sum_dt_subtr', 'correct', 1, 'xlim', [-250 250], 'selectionName', name_rm_branch, 'onScreen', 0);")</f>
        <v>DJK_xcorr_branches(p, branchDataCycCor, 'noise_dY5_sum_dt_subtr', 'noise_dC5_sum_dt_subtr', 'correct', 1, 'xlim', [-250 250], 'selectionName', name_rm_branch, 'onScreen', 0);</v>
      </c>
    </row>
    <row r="313" spans="1:13">
      <c r="A313" s="22" t="s">
        <v>202</v>
      </c>
    </row>
    <row r="315" spans="1:13">
      <c r="A315" s="33" t="s">
        <v>203</v>
      </c>
    </row>
    <row r="316" spans="1:13">
      <c r="A316" s="4" t="str">
        <f>+CONCATENATE("DJK_plot_crosscorrelation_standard_error_store(p, branch_groupsCycCor, 'noise_Y6_mean', 'noise_muP", $B$27,"_fitNew','selectionName',name_rm_branch);")</f>
        <v>DJK_plot_crosscorrelation_standard_error_store(p, branch_groupsCycCor, 'noise_Y6_mean', 'noise_muP15_fitNew','selectionName',name_rm_branch);</v>
      </c>
      <c r="C316" s="1" t="s">
        <v>204</v>
      </c>
      <c r="M316" s="1" t="s">
        <v>136</v>
      </c>
    </row>
    <row r="317" spans="1:13">
      <c r="A317" s="4" t="str">
        <f>+CONCATENATE("DJK_plot_crosscorrelation_standard_error_store(p, branch_groupsCycCor, 'noise_C6_mean', 'noise_muP", $B$27,"_fitNew','selectionName',name_rm_branch);")</f>
        <v>DJK_plot_crosscorrelation_standard_error_store(p, branch_groupsCycCor, 'noise_C6_mean', 'noise_muP15_fitNew','selectionName',name_rm_branch);</v>
      </c>
    </row>
    <row r="318" spans="1:13">
      <c r="A318" s="4" t="str">
        <f>+CONCATENATE("DJK_plot_crosscorrelation_standard_error_store(p, branch_groupsCycCor, 'noise_Y6_mean',  'noise_C6_mean','selectionName',name_rm_branch);")</f>
        <v>DJK_plot_crosscorrelation_standard_error_store(p, branch_groupsCycCor, 'noise_Y6_mean',  'noise_C6_mean','selectionName',name_rm_branch);</v>
      </c>
    </row>
    <row r="319" spans="1:13">
      <c r="A319" s="4" t="str">
        <f>+CONCATENATE("DJK_plot_crosscorrelation_standard_error_store(p, branch_groupsCycCor, 'noise_Y6_mean',  'noise_Y6_mean','selectionName',name_rm_branch);")</f>
        <v>DJK_plot_crosscorrelation_standard_error_store(p, branch_groupsCycCor, 'noise_Y6_mean',  'noise_Y6_mean','selectionName',name_rm_branch);</v>
      </c>
    </row>
    <row r="320" spans="1:13">
      <c r="A320" s="4" t="str">
        <f>+CONCATENATE("DJK_plot_crosscorrelation_standard_error_store(p, branch_groupsCycCor,'noise_muP", $B$27,"_fitNew', 'noise_muP", $B$27,"_fitNew','selectionName',name_rm_branch);")</f>
        <v>DJK_plot_crosscorrelation_standard_error_store(p, branch_groupsCycCor,'noise_muP15_fitNew', 'noise_muP15_fitNew','selectionName',name_rm_branch);</v>
      </c>
    </row>
    <row r="321" spans="1:3">
      <c r="A321" s="4" t="str">
        <f>+CONCATENATE("DJK_plot_crosscorrelation_standard_error_store(p, branch_groupsCycCor, 'noise_C6_mean',  'noise_C6_mean','selectionName',name_rm_branch);")</f>
        <v>DJK_plot_crosscorrelation_standard_error_store(p, branch_groupsCycCor, 'noise_C6_mean',  'noise_C6_mean','selectionName',name_rm_branch);</v>
      </c>
    </row>
    <row r="324" spans="1:3">
      <c r="A324" s="22" t="s">
        <v>205</v>
      </c>
    </row>
    <row r="325" spans="1:3">
      <c r="A325" s="1" t="str">
        <f>CONCATENATE("s_rmCorrectedNoise=NW_addToSchnitzcells_noise(p,s_rm,'dataFields',",$C$325,");")</f>
        <v>s_rmCorrectedNoise=NW_addToSchnitzcells_noise(p,s_rm,'dataFields',{});</v>
      </c>
      <c r="C325" s="1" t="s">
        <v>176</v>
      </c>
    </row>
    <row r="326" spans="1:3">
      <c r="A326" s="1" t="str">
        <f>CONCATENATE("s_rmCorrectedNoise=NW_addToSchnitzcells_noise(p,s_rmCorrectedNoise,'dataFields',",$C$326,");")</f>
        <v>s_rmCorrectedNoise=NW_addToSchnitzcells_noise(p,s_rmCorrectedNoise,'dataFields',{'Y_time' 'Y6_mean_subtr' 'C6_mean_subtr'});</v>
      </c>
      <c r="C326" s="1" t="s">
        <v>209</v>
      </c>
    </row>
    <row r="328" spans="1:3">
      <c r="A328" s="1" t="str">
        <f>CONCATENATE("NW_testBinningCellCycle(p,s_rmCorrectedNoise,'muP",$B$27,"_fitNew_all_subtr',",$B$203,",'selectionName',name_rm)")</f>
        <v>NW_testBinningCellCycle(p,s_rmCorrectedNoise,'muP15_fitNew_all_subtr',[5 6 7 8 9 10],'selectionName',name_rm)</v>
      </c>
    </row>
    <row r="329" spans="1:3">
      <c r="A329" s="1" t="str">
        <f>CONCATENATE("NW_testBinningCellCycle(p,s_rmCorrectedNoise,'muP",$B$27,"_fitNew_all_div',",$B$203,",'selectionName',name_rm)")</f>
        <v>NW_testBinningCellCycle(p,s_rmCorrectedNoise,'muP15_fitNew_all_div',[5 6 7 8 9 10],'selectionName',name_rm)</v>
      </c>
    </row>
    <row r="330" spans="1:3">
      <c r="A330" s="1" t="str">
        <f>CONCATENATE("NW_testBinningCellCycle(p,s_rmCorrectedNoise,'noise_Y6_mean_subtr',",$B$204,",'selectionName',name_rm)")</f>
        <v>NW_testBinningCellCycle(p,s_rmCorrectedNoise,'noise_Y6_mean_subtr',[5 6 7 8],'selectionName',name_rm)</v>
      </c>
    </row>
    <row r="331" spans="1:3">
      <c r="A331" s="1" t="str">
        <f>CONCATENATE("NW_testBinningCellCycle(p,s_rmCorrectedNoise,'noise_C6_mean_subtr',",$B$204,",'selectionName',name_rm)")</f>
        <v>NW_testBinningCellCycle(p,s_rmCorrectedNoise,'noise_C6_mean_subtr',[5 6 7 8],'selectionName',name_rm)</v>
      </c>
    </row>
    <row r="332" spans="1:3">
      <c r="A332" s="1" t="str">
        <f>CONCATENATE("NW_testBinningCellCycle(p,s_rmCorrectedNoise,'dY5_sum_dt_subtr',",$B$204,",'selectionName',name_rm)")</f>
        <v>NW_testBinningCellCycle(p,s_rmCorrectedNoise,'dY5_sum_dt_subtr',[5 6 7 8],'selectionName',name_rm)</v>
      </c>
    </row>
    <row r="333" spans="1:3">
      <c r="A333" s="1" t="str">
        <f>CONCATENATE("NW_testBinningCellCycle(p,s_rmCorrectedNoise,'dC5_sum_dt_subtr',",$B$204,",'selectionName',name_rm)")</f>
        <v>NW_testBinningCellCycle(p,s_rmCorrectedNoise,'dC5_sum_dt_subtr',[5 6 7 8],'selectionName',name_rm)</v>
      </c>
    </row>
    <row r="334" spans="1:3">
      <c r="A334" s="1" t="str">
        <f>CONCATENATE("NW_testBinningCellCycle(p,s_rmCorrectedNoise,'dY5_sum_dt_div',",$B$204,",'selectionName',name_rm)")</f>
        <v>NW_testBinningCellCycle(p,s_rmCorrectedNoise,'dY5_sum_dt_div',[5 6 7 8],'selectionName',name_rm)</v>
      </c>
    </row>
    <row r="335" spans="1:3">
      <c r="A335" s="1" t="str">
        <f>CONCATENATE("NW_testBinningCellCycle(p,s_rmCorrectedNoise,'dC5_sum_dt_div',",$B$204,",'selectionName',name_rm)")</f>
        <v>NW_testBinningCellCycle(p,s_rmCorrectedNoise,'dC5_sum_dt_div',[5 6 7 8],'selectionName',name_rm)</v>
      </c>
    </row>
    <row r="342" spans="1:3">
      <c r="A342" s="35" t="s">
        <v>175</v>
      </c>
      <c r="B342" s="35"/>
    </row>
    <row r="343" spans="1:3">
      <c r="A343" s="2" t="s">
        <v>116</v>
      </c>
      <c r="B343" s="1" t="s">
        <v>164</v>
      </c>
      <c r="C343" s="1" t="s">
        <v>117</v>
      </c>
    </row>
    <row r="344" spans="1:3">
      <c r="A344" s="2" t="s">
        <v>124</v>
      </c>
      <c r="B344" s="1" t="s">
        <v>163</v>
      </c>
    </row>
    <row r="347" spans="1:3">
      <c r="A347" s="17" t="s">
        <v>115</v>
      </c>
    </row>
    <row r="348" spans="1:3">
      <c r="A348" s="1" t="s">
        <v>152</v>
      </c>
    </row>
    <row r="351" spans="1:3">
      <c r="A351" s="18" t="s">
        <v>114</v>
      </c>
    </row>
    <row r="352" spans="1:3">
      <c r="A352" s="1" t="s">
        <v>143</v>
      </c>
    </row>
    <row r="354" spans="1:3">
      <c r="A354" s="1" t="str">
        <f>CONCATENATE("NW_plot_dependence_on_position(p,'muP19_fitNew_all', 'myColorMap',whiteredgreenColormap,'frameRange',",$B$343,",'rm_SchnitzNrs',",$B$28,",'colorRange',[0.4 0.8]) ")</f>
        <v xml:space="preserve">NW_plot_dependence_on_position(p,'muP19_fitNew_all', 'myColorMap',whiteredgreenColormap,'frameRange',[450 500 550 570],'rm_SchnitzNrs',[22 494 653 757 775 706 701 397 257 265 862 865],'colorRange',[0.4 0.8]) </v>
      </c>
    </row>
    <row r="355" spans="1:3">
      <c r="A355" s="1" t="str">
        <f>CONCATENATE("NW_plot_dependence_on_position(p,'fitted_Y6_mean', 'myColorMap',whiteredgreenColormap,'frameRange',",$B$343,",'rm_SchnitzNrs',",$B$28,",'colorRange',[550 800]) ")</f>
        <v xml:space="preserve">NW_plot_dependence_on_position(p,'fitted_Y6_mean', 'myColorMap',whiteredgreenColormap,'frameRange',[450 500 550 570],'rm_SchnitzNrs',[22 494 653 757 775 706 701 397 257 265 862 865],'colorRange',[550 800]) </v>
      </c>
    </row>
    <row r="356" spans="1:3">
      <c r="A356" s="1" t="str">
        <f>CONCATENATE("NW_plot_dependence_on_position(p,'fitted_C6_mean', 'myColorMap',whiteredgreenColormap,'frameRange',",$B$343,",'rm_SchnitzNrs',",$B$28,",'colorRange',[200 300]) ")</f>
        <v xml:space="preserve">NW_plot_dependence_on_position(p,'fitted_C6_mean', 'myColorMap',whiteredgreenColormap,'frameRange',[450 500 550 570],'rm_SchnitzNrs',[22 494 653 757 775 706 701 397 257 265 862 865],'colorRange',[200 300]) </v>
      </c>
    </row>
    <row r="359" spans="1:3">
      <c r="A359" s="19" t="s">
        <v>122</v>
      </c>
      <c r="C359" s="1" t="s">
        <v>118</v>
      </c>
    </row>
    <row r="360" spans="1:3">
      <c r="A360" s="3" t="str">
        <f>CONCATENATE("fitTime = ", B$23, "; fitTime = fitTime + [2 -2];")</f>
        <v>fitTime = [157 857]; fitTime = fitTime + [2 -2];</v>
      </c>
    </row>
    <row r="361" spans="1:3">
      <c r="A361" s="4" t="str">
        <f>CONCATENATE("branchData2 = DJK_getBranches(p,s_rm,'dataFields',{'C_time' 'C6_mean' 'Y_time','Y6_mean' 'muP", $B$27,"_fitNew'}, 'fitTime', fitTime); name_rm_branch = [name_rm '_' num2str(fitTime(1)) '_' num2str(fitTime(2))];")</f>
        <v>branchData2 = DJK_getBranches(p,s_rm,'dataFields',{'C_time' 'C6_mean' 'Y_time','Y6_mean' 'muP15_fitNew'}, 'fitTime', fitTime); name_rm_branch = [name_rm '_' num2str(fitTime(1)) '_' num2str(fitTime(2))];</v>
      </c>
    </row>
    <row r="362" spans="1:3">
      <c r="A362" s="4" t="s">
        <v>119</v>
      </c>
    </row>
    <row r="363" spans="1:3">
      <c r="A363" s="4" t="s">
        <v>120</v>
      </c>
    </row>
    <row r="364" spans="1:3">
      <c r="A364" s="1" t="str">
        <f>CONCATENATE("branch_groups2_noise = NW_addToBranchGroups_noise(p, branch_groups2,'dataFields',{'C_time' 'C6_mean' 'Y_time' 'Y6_mean' 'muP", $B$27,"_fitNew'});")</f>
        <v>branch_groups2_noise = NW_addToBranchGroups_noise(p, branch_groups2,'dataFields',{'C_time' 'C6_mean' 'Y_time' 'Y6_mean' 'muP15_fitNew'});</v>
      </c>
    </row>
    <row r="365" spans="1:3">
      <c r="A365" s="1" t="s">
        <v>121</v>
      </c>
    </row>
    <row r="367" spans="1:3">
      <c r="A367" s="22" t="s">
        <v>206</v>
      </c>
    </row>
    <row r="371" spans="1:2">
      <c r="A371" s="20" t="s">
        <v>123</v>
      </c>
    </row>
    <row r="372" spans="1:2">
      <c r="A372" s="1" t="str">
        <f>CONCATENATE("NW_makeMovie_branchGroups(p,branch_groups,'manualRange',",$B$344,");")</f>
        <v>NW_makeMovie_branchGroups(p,branch_groups,'manualRange',[100:4:580]);</v>
      </c>
    </row>
    <row r="376" spans="1:2">
      <c r="A376" s="23" t="s">
        <v>138</v>
      </c>
    </row>
    <row r="377" spans="1:2">
      <c r="A377" s="2" t="s">
        <v>140</v>
      </c>
      <c r="B377" s="24" t="s">
        <v>139</v>
      </c>
    </row>
    <row r="378" spans="1:2">
      <c r="A378" s="8" t="s">
        <v>91</v>
      </c>
    </row>
    <row r="379" spans="1:2">
      <c r="A379" s="4" t="str">
        <f>CONCATENATE("optimalShift2 = DJK_getFluorShift_anycolor(p,'manualRange', ", B$5, ",'fluorcolor','fluor2','maxShift',20,'rescaleCorrection', ", B$377, ");")</f>
        <v>optimalShift2 = DJK_getFluorShift_anycolor(p,'manualRange', [1:580],'fluorcolor','fluor2','maxShift',20,'rescaleCorrection', [1.015, 1.004]);</v>
      </c>
    </row>
    <row r="380" spans="1:2">
      <c r="A380" s="4" t="s">
        <v>109</v>
      </c>
    </row>
    <row r="381" spans="1:2">
      <c r="A381" s="4" t="s">
        <v>110</v>
      </c>
    </row>
    <row r="382" spans="1:2">
      <c r="A382" s="4" t="str">
        <f>CONCATENATE("DJK_correctFluorImage_anycolor(p, flatfield, shading, replace,'manualRange', ", B$5, ",  'fluorShift', optimalShift2, 'deconv_func', @(im) deconvlucy(im, PSF),'fluorcolor','fluor2','rescaleCorrection', ", B$377, ");")</f>
        <v>DJK_correctFluorImage_anycolor(p, flatfield, shading, replace,'manualRange', [1:580],  'fluorShift', optimalShift2, 'deconv_func', @(im) deconvlucy(im, PSF),'fluorcolor','fluor2','rescaleCorrection', [1.015, 1.004]);</v>
      </c>
    </row>
    <row r="383" spans="1:2">
      <c r="A383" s="4" t="str">
        <f>CONCATENATE("DJK_analyzeFluorBackground_anycolor(p,'manualRange', ", B$5, ",'fluorcolor','fluor2','rescaleCorrection', ", B$377, ");")</f>
        <v>DJK_analyzeFluorBackground_anycolor(p,'manualRange', [1:580],'fluorcolor','fluor2','rescaleCorrection', [1.015, 1.004]);</v>
      </c>
    </row>
    <row r="385" spans="1:8">
      <c r="A385" s="4"/>
      <c r="B385" s="4"/>
      <c r="C385" s="4"/>
      <c r="D385" s="4"/>
      <c r="E385" s="4"/>
      <c r="F385" s="4"/>
      <c r="G385" s="4"/>
      <c r="H385" s="4"/>
    </row>
    <row r="386" spans="1:8">
      <c r="A386" s="4"/>
      <c r="B386" s="4"/>
      <c r="C386" s="4"/>
      <c r="D386" s="4"/>
      <c r="E386" s="4"/>
      <c r="F386" s="4"/>
      <c r="G386" s="4"/>
      <c r="H386" s="4"/>
    </row>
    <row r="387" spans="1:8">
      <c r="A387" s="4"/>
      <c r="B387" s="4"/>
      <c r="C387" s="4"/>
      <c r="D387" s="4"/>
      <c r="E387" s="4"/>
      <c r="F387" s="4"/>
      <c r="G387" s="4"/>
      <c r="H387" s="4"/>
    </row>
    <row r="388" spans="1:8">
      <c r="A388" s="4"/>
      <c r="B388" s="4"/>
      <c r="C388" s="4"/>
      <c r="D388" s="4"/>
      <c r="E388" s="4"/>
      <c r="F388" s="4"/>
      <c r="G388" s="4"/>
      <c r="H388" s="4"/>
    </row>
    <row r="389" spans="1:8">
      <c r="A389" s="4"/>
      <c r="B389" s="4"/>
      <c r="C389" s="4"/>
      <c r="D389" s="4"/>
      <c r="E389" s="4"/>
      <c r="F389" s="4"/>
      <c r="G389" s="4"/>
      <c r="H389" s="4"/>
    </row>
    <row r="390" spans="1:8">
      <c r="A390" s="4"/>
      <c r="B390" s="4"/>
      <c r="C390" s="4"/>
      <c r="D390" s="4"/>
      <c r="E390" s="4"/>
      <c r="F390" s="4"/>
      <c r="G390" s="4"/>
      <c r="H390" s="4"/>
    </row>
    <row r="391" spans="1:8">
      <c r="A391" s="4"/>
      <c r="B391" s="4"/>
      <c r="C391" s="4"/>
      <c r="D391" s="4"/>
      <c r="E391" s="4"/>
      <c r="F391" s="4"/>
      <c r="G391" s="4"/>
      <c r="H391" s="4"/>
    </row>
    <row r="392" spans="1:8">
      <c r="A392" s="4"/>
      <c r="B392" s="4"/>
      <c r="C392" s="4"/>
      <c r="D392" s="4"/>
      <c r="E392" s="4"/>
      <c r="F392" s="4"/>
      <c r="G392" s="4"/>
      <c r="H392" s="4"/>
    </row>
    <row r="393" spans="1:8">
      <c r="A393" s="4"/>
      <c r="B393" s="4"/>
      <c r="C393" s="4"/>
      <c r="D393" s="4"/>
      <c r="E393" s="4"/>
      <c r="F393" s="4"/>
      <c r="G393" s="4"/>
      <c r="H393" s="4"/>
    </row>
    <row r="394" spans="1:8">
      <c r="A394" s="4"/>
      <c r="B394" s="4"/>
      <c r="C394" s="4"/>
      <c r="D394" s="4"/>
      <c r="E394" s="4"/>
      <c r="F394" s="4"/>
      <c r="G394" s="4"/>
      <c r="H394" s="4"/>
    </row>
    <row r="395" spans="1:8">
      <c r="A395" s="4"/>
      <c r="B395" s="4"/>
      <c r="C395" s="4"/>
      <c r="D395" s="4"/>
      <c r="E395" s="4"/>
      <c r="F395" s="4"/>
      <c r="G395" s="4"/>
      <c r="H395" s="4"/>
    </row>
    <row r="396" spans="1:8">
      <c r="A396" s="4"/>
      <c r="B396" s="4"/>
      <c r="C396" s="4"/>
      <c r="D396" s="4"/>
      <c r="E396" s="4"/>
      <c r="F396" s="4"/>
      <c r="G396" s="4"/>
      <c r="H396" s="4"/>
    </row>
    <row r="397" spans="1:8">
      <c r="A397" s="4"/>
      <c r="B397" s="4"/>
      <c r="C397" s="4"/>
      <c r="D397" s="4"/>
      <c r="E397" s="4"/>
      <c r="F397" s="4"/>
      <c r="G397" s="4"/>
      <c r="H397" s="4"/>
    </row>
    <row r="398" spans="1:8">
      <c r="A398" s="4"/>
      <c r="B398" s="4"/>
      <c r="C398" s="4"/>
      <c r="D398" s="4"/>
      <c r="E398" s="4"/>
      <c r="F398" s="4"/>
      <c r="G398" s="4"/>
      <c r="H398" s="4"/>
    </row>
    <row r="399" spans="1:8">
      <c r="A399" s="4"/>
      <c r="B399" s="4"/>
      <c r="C399" s="4"/>
      <c r="D399" s="4"/>
      <c r="E399" s="4"/>
      <c r="F399" s="4"/>
      <c r="G399" s="4"/>
      <c r="H399" s="4"/>
    </row>
    <row r="400" spans="1:8">
      <c r="A400" s="4"/>
      <c r="B400" s="4"/>
      <c r="C400" s="4"/>
      <c r="D400" s="4"/>
      <c r="E400" s="4"/>
      <c r="F400" s="4"/>
      <c r="G400" s="4"/>
      <c r="H400" s="4"/>
    </row>
    <row r="401" spans="1:8">
      <c r="A401" s="4"/>
      <c r="B401" s="4"/>
      <c r="C401" s="4"/>
      <c r="D401" s="4"/>
      <c r="E401" s="4"/>
      <c r="F401" s="4"/>
      <c r="G401" s="4"/>
      <c r="H401" s="4"/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>
      <c r="A403" s="4"/>
      <c r="B403" s="4"/>
      <c r="C403" s="4"/>
      <c r="D403" s="4"/>
      <c r="E403" s="4"/>
      <c r="F403" s="4"/>
      <c r="G403" s="4"/>
      <c r="H403" s="4"/>
    </row>
    <row r="404" spans="1:8">
      <c r="A404" s="4"/>
      <c r="B404" s="4"/>
      <c r="C404" s="4"/>
      <c r="D404" s="4"/>
      <c r="E404" s="4"/>
      <c r="F404" s="4"/>
      <c r="G404" s="4"/>
      <c r="H404" s="4"/>
    </row>
    <row r="405" spans="1:8">
      <c r="A405" s="4"/>
      <c r="B405" s="4"/>
      <c r="C405" s="4"/>
      <c r="D405" s="4"/>
      <c r="E405" s="4"/>
      <c r="F405" s="4"/>
      <c r="G405" s="4"/>
      <c r="H405" s="4"/>
    </row>
    <row r="406" spans="1:8">
      <c r="A406" s="4"/>
      <c r="B406" s="4"/>
      <c r="C406" s="4"/>
      <c r="D406" s="4"/>
      <c r="E406" s="4"/>
      <c r="F406" s="4"/>
      <c r="G406" s="4"/>
      <c r="H406" s="4"/>
    </row>
    <row r="407" spans="1:8">
      <c r="A407" s="4"/>
      <c r="B407" s="4"/>
      <c r="C407" s="4"/>
      <c r="D407" s="4"/>
      <c r="E407" s="4"/>
      <c r="F407" s="4"/>
      <c r="G407" s="4"/>
      <c r="H407" s="4"/>
    </row>
    <row r="408" spans="1:8">
      <c r="A408" s="4"/>
      <c r="B408" s="4"/>
      <c r="C408" s="4"/>
      <c r="D408" s="4"/>
      <c r="E408" s="4"/>
      <c r="F408" s="4"/>
      <c r="G408" s="4"/>
      <c r="H408" s="4"/>
    </row>
    <row r="409" spans="1:8">
      <c r="A409" s="4"/>
      <c r="B409" s="4"/>
      <c r="C409" s="4"/>
      <c r="D409" s="4"/>
      <c r="E409" s="4"/>
      <c r="F409" s="4"/>
      <c r="G409" s="4"/>
      <c r="H409" s="4"/>
    </row>
    <row r="410" spans="1:8">
      <c r="A410" s="4"/>
      <c r="B410" s="4"/>
      <c r="C410" s="4"/>
      <c r="D410" s="4"/>
      <c r="E410" s="4"/>
      <c r="F410" s="4"/>
      <c r="G410" s="4"/>
      <c r="H410" s="4"/>
    </row>
    <row r="411" spans="1:8">
      <c r="A411" s="4"/>
      <c r="B411" s="4"/>
      <c r="C411" s="4"/>
      <c r="D411" s="4"/>
      <c r="E411" s="4"/>
      <c r="F411" s="4"/>
      <c r="G411" s="4"/>
      <c r="H411" s="4"/>
    </row>
    <row r="412" spans="1:8">
      <c r="A412" s="4"/>
      <c r="B412" s="4"/>
      <c r="C412" s="4"/>
      <c r="D412" s="4"/>
      <c r="E412" s="4"/>
      <c r="F412" s="4"/>
      <c r="G412" s="4"/>
      <c r="H412" s="4"/>
    </row>
    <row r="413" spans="1:8">
      <c r="A413" s="4"/>
      <c r="B413" s="4"/>
      <c r="C413" s="4"/>
      <c r="D413" s="4"/>
      <c r="E413" s="4"/>
      <c r="F413" s="4"/>
      <c r="G413" s="4"/>
      <c r="H413" s="4"/>
    </row>
    <row r="414" spans="1:8">
      <c r="A414" s="4"/>
      <c r="B414" s="4"/>
      <c r="C414" s="4"/>
      <c r="D414" s="4"/>
      <c r="E414" s="4"/>
      <c r="F414" s="4"/>
      <c r="G414" s="4"/>
      <c r="H414" s="4"/>
    </row>
    <row r="415" spans="1:8">
      <c r="A415" s="4"/>
      <c r="B415" s="4"/>
      <c r="C415" s="4"/>
      <c r="D415" s="4"/>
      <c r="E415" s="4"/>
      <c r="F415" s="4"/>
      <c r="G415" s="4"/>
      <c r="H415" s="4"/>
    </row>
    <row r="416" spans="1:8">
      <c r="A416" s="4"/>
      <c r="B416" s="4"/>
      <c r="C416" s="4"/>
      <c r="D416" s="4"/>
      <c r="E416" s="4"/>
      <c r="F416" s="4"/>
      <c r="G416" s="4"/>
      <c r="H416" s="4"/>
    </row>
    <row r="417" spans="1:8">
      <c r="A417" s="4"/>
      <c r="B417" s="4"/>
      <c r="C417" s="4"/>
      <c r="D417" s="4"/>
      <c r="E417" s="4"/>
      <c r="F417" s="4"/>
      <c r="G417" s="4"/>
      <c r="H417" s="4"/>
    </row>
    <row r="418" spans="1:8">
      <c r="A418" s="8"/>
      <c r="B418" s="4"/>
      <c r="C418" s="4"/>
      <c r="D418" s="4"/>
      <c r="E418" s="4"/>
      <c r="F418" s="4"/>
      <c r="G418" s="4"/>
      <c r="H418" s="4"/>
    </row>
    <row r="419" spans="1:8">
      <c r="A419" s="3"/>
      <c r="B419" s="8"/>
      <c r="C419" s="4"/>
      <c r="D419" s="4"/>
      <c r="E419" s="4"/>
      <c r="F419" s="4"/>
      <c r="G419" s="4"/>
      <c r="H419" s="4"/>
    </row>
    <row r="420" spans="1:8">
      <c r="A420" s="4"/>
      <c r="B420" s="4"/>
      <c r="C420" s="4"/>
      <c r="D420" s="4"/>
      <c r="E420" s="4"/>
      <c r="F420" s="4"/>
      <c r="G420" s="4"/>
      <c r="H420" s="4"/>
    </row>
    <row r="421" spans="1:8">
      <c r="A421" s="4"/>
      <c r="B421" s="4"/>
      <c r="C421" s="4"/>
      <c r="D421" s="4"/>
      <c r="E421" s="4"/>
      <c r="F421" s="4"/>
      <c r="G421" s="4"/>
      <c r="H421" s="4"/>
    </row>
    <row r="422" spans="1:8">
      <c r="A422" s="4"/>
      <c r="B422" s="4"/>
      <c r="C422" s="4"/>
      <c r="D422" s="4"/>
      <c r="E422" s="4"/>
      <c r="F422" s="4"/>
      <c r="G422" s="4"/>
      <c r="H422" s="4"/>
    </row>
    <row r="423" spans="1:8">
      <c r="A423" s="4"/>
      <c r="B423" s="4"/>
      <c r="C423" s="4"/>
      <c r="D423" s="4"/>
      <c r="E423" s="4"/>
      <c r="F423" s="4"/>
      <c r="G423" s="4"/>
      <c r="H423" s="4"/>
    </row>
    <row r="424" spans="1:8">
      <c r="A424" s="4"/>
      <c r="B424" s="4"/>
      <c r="C424" s="4"/>
      <c r="D424" s="4"/>
      <c r="E424" s="4"/>
      <c r="F424" s="4"/>
      <c r="G424" s="4"/>
      <c r="H424" s="4"/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>
      <c r="A426" s="4"/>
      <c r="B426" s="4"/>
      <c r="C426" s="4"/>
      <c r="D426" s="4"/>
      <c r="E426" s="4"/>
      <c r="F426" s="4"/>
      <c r="G426" s="4"/>
      <c r="H426" s="4"/>
    </row>
    <row r="427" spans="1:8">
      <c r="A427" s="4"/>
      <c r="B427" s="4"/>
      <c r="C427" s="4"/>
      <c r="D427" s="4"/>
      <c r="E427" s="4"/>
      <c r="F427" s="4"/>
      <c r="G427" s="4"/>
      <c r="H427" s="4"/>
    </row>
    <row r="428" spans="1:8">
      <c r="A428" s="4"/>
      <c r="B428" s="4"/>
      <c r="C428" s="4"/>
      <c r="D428" s="4"/>
      <c r="E428" s="4"/>
      <c r="F428" s="4"/>
      <c r="G428" s="4"/>
      <c r="H428" s="4"/>
    </row>
    <row r="429" spans="1:8">
      <c r="A429" s="4"/>
      <c r="B429" s="4"/>
      <c r="C429" s="4"/>
      <c r="D429" s="4"/>
      <c r="E429" s="4"/>
      <c r="F429" s="4"/>
      <c r="G429" s="4"/>
      <c r="H429" s="4"/>
    </row>
    <row r="430" spans="1:8">
      <c r="A430" s="4"/>
      <c r="B430" s="4"/>
      <c r="C430" s="4"/>
      <c r="D430" s="4"/>
      <c r="E430" s="4"/>
      <c r="F430" s="4"/>
      <c r="G430" s="4"/>
      <c r="H430" s="4"/>
    </row>
    <row r="431" spans="1:8">
      <c r="A431" s="4"/>
      <c r="B431" s="4"/>
      <c r="C431" s="4"/>
      <c r="D431" s="4"/>
      <c r="E431" s="4"/>
      <c r="F431" s="4"/>
      <c r="G431" s="4"/>
      <c r="H431" s="4"/>
    </row>
    <row r="432" spans="1:8">
      <c r="A432" s="4"/>
      <c r="B432" s="4"/>
      <c r="C432" s="4"/>
      <c r="D432" s="4"/>
      <c r="E432" s="4"/>
      <c r="F432" s="4"/>
      <c r="G432" s="4"/>
      <c r="H432" s="4"/>
    </row>
    <row r="433" spans="1:8">
      <c r="A433" s="4"/>
      <c r="B433" s="4"/>
      <c r="C433" s="4"/>
      <c r="D433" s="4"/>
      <c r="E433" s="4"/>
      <c r="F433" s="4"/>
      <c r="G433" s="4"/>
      <c r="H433" s="4"/>
    </row>
    <row r="434" spans="1:8">
      <c r="A434" s="4"/>
      <c r="B434" s="4"/>
      <c r="C434" s="4"/>
      <c r="D434" s="4"/>
      <c r="E434" s="4"/>
      <c r="F434" s="4"/>
      <c r="G434" s="4"/>
      <c r="H434" s="4"/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>
      <c r="A436" s="4"/>
      <c r="B436" s="4"/>
      <c r="C436" s="4"/>
      <c r="D436" s="4"/>
      <c r="E436" s="4"/>
      <c r="F436" s="4"/>
      <c r="G436" s="4"/>
      <c r="H436" s="4"/>
    </row>
    <row r="437" spans="1:8">
      <c r="A437" s="4"/>
      <c r="B437" s="4"/>
      <c r="C437" s="4"/>
      <c r="D437" s="4"/>
      <c r="E437" s="4"/>
      <c r="F437" s="4"/>
      <c r="G437" s="4"/>
      <c r="H437" s="4"/>
    </row>
    <row r="438" spans="1:8">
      <c r="A438" s="4"/>
      <c r="B438" s="4"/>
      <c r="C438" s="4"/>
      <c r="D438" s="4"/>
      <c r="E438" s="4"/>
      <c r="F438" s="4"/>
      <c r="G438" s="4"/>
      <c r="H438" s="4"/>
    </row>
    <row r="439" spans="1:8">
      <c r="A439" s="4"/>
      <c r="B439" s="4"/>
      <c r="C439" s="4"/>
      <c r="D439" s="4"/>
      <c r="E439" s="4"/>
      <c r="F439" s="4"/>
      <c r="G439" s="4"/>
      <c r="H439" s="4"/>
    </row>
    <row r="440" spans="1:8">
      <c r="A440" s="4"/>
      <c r="B440" s="4"/>
      <c r="C440" s="4"/>
      <c r="D440" s="4"/>
      <c r="E440" s="4"/>
      <c r="F440" s="4"/>
      <c r="G440" s="4"/>
      <c r="H440" s="4"/>
    </row>
    <row r="441" spans="1:8">
      <c r="A441" s="4"/>
      <c r="B441" s="4"/>
      <c r="C441" s="4"/>
      <c r="D441" s="4"/>
      <c r="E441" s="4"/>
      <c r="F441" s="4"/>
      <c r="G441" s="4"/>
      <c r="H441" s="4"/>
    </row>
    <row r="442" spans="1:8">
      <c r="A442" s="4"/>
      <c r="B442" s="4"/>
      <c r="C442" s="4"/>
      <c r="D442" s="4"/>
      <c r="E442" s="4"/>
      <c r="F442" s="4"/>
      <c r="G442" s="4"/>
      <c r="H442" s="4"/>
    </row>
    <row r="443" spans="1:8">
      <c r="A443" s="4"/>
      <c r="B443" s="4"/>
      <c r="C443" s="4"/>
      <c r="D443" s="4"/>
      <c r="E443" s="4"/>
      <c r="F443" s="4"/>
      <c r="G443" s="4"/>
      <c r="H443" s="4"/>
    </row>
    <row r="444" spans="1:8">
      <c r="A444" s="4"/>
      <c r="B444" s="4"/>
      <c r="C444" s="4"/>
      <c r="D444" s="4"/>
      <c r="E444" s="4"/>
      <c r="F444" s="4"/>
      <c r="G444" s="4"/>
      <c r="H444" s="4"/>
    </row>
    <row r="445" spans="1:8">
      <c r="A445" s="4"/>
      <c r="B445" s="4"/>
      <c r="C445" s="4"/>
      <c r="D445" s="4"/>
      <c r="E445" s="4"/>
      <c r="F445" s="4"/>
      <c r="G445" s="4"/>
      <c r="H445" s="4"/>
    </row>
    <row r="446" spans="1:8">
      <c r="A446" s="4"/>
      <c r="B446" s="4"/>
      <c r="C446" s="4"/>
      <c r="D446" s="4"/>
      <c r="E446" s="4"/>
      <c r="F446" s="4"/>
      <c r="G446" s="4"/>
      <c r="H446" s="4"/>
    </row>
    <row r="447" spans="1:8">
      <c r="A447" s="4"/>
      <c r="B447" s="4"/>
      <c r="C447" s="4"/>
      <c r="D447" s="4"/>
      <c r="E447" s="4"/>
      <c r="F447" s="4"/>
      <c r="G447" s="4"/>
      <c r="H447" s="4"/>
    </row>
    <row r="448" spans="1:8">
      <c r="A448" s="4"/>
      <c r="B448" s="4"/>
      <c r="C448" s="4"/>
      <c r="D448" s="4"/>
      <c r="E448" s="4"/>
      <c r="F448" s="4"/>
      <c r="G448" s="4"/>
      <c r="H448" s="4"/>
    </row>
    <row r="449" spans="1:8">
      <c r="A449" s="4"/>
      <c r="B449" s="4"/>
      <c r="C449" s="4"/>
      <c r="D449" s="4"/>
      <c r="E449" s="4"/>
      <c r="F449" s="4"/>
      <c r="G449" s="4"/>
      <c r="H449" s="4"/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>
      <c r="A451" s="4"/>
      <c r="B451" s="4"/>
      <c r="C451" s="4"/>
      <c r="D451" s="4"/>
      <c r="E451" s="4"/>
      <c r="F451" s="4"/>
      <c r="G451" s="4"/>
      <c r="H451" s="4"/>
    </row>
    <row r="452" spans="1:8">
      <c r="A452" s="4"/>
      <c r="B452" s="4"/>
      <c r="C452" s="4"/>
      <c r="D452" s="4"/>
      <c r="E452" s="4"/>
      <c r="F452" s="4"/>
      <c r="G452" s="4"/>
      <c r="H452" s="4"/>
    </row>
    <row r="453" spans="1:8">
      <c r="A453" s="4"/>
      <c r="B453" s="4"/>
      <c r="C453" s="4"/>
      <c r="D453" s="4"/>
      <c r="E453" s="4"/>
      <c r="F453" s="4"/>
      <c r="G453" s="4"/>
      <c r="H453" s="4"/>
    </row>
    <row r="454" spans="1:8">
      <c r="A454" s="4"/>
      <c r="B454" s="4"/>
      <c r="C454" s="4"/>
      <c r="D454" s="4"/>
      <c r="E454" s="4"/>
      <c r="F454" s="4"/>
      <c r="G454" s="4"/>
      <c r="H454" s="4"/>
    </row>
    <row r="455" spans="1:8">
      <c r="A455" s="4"/>
      <c r="B455" s="4"/>
      <c r="C455" s="4"/>
      <c r="D455" s="4"/>
      <c r="E455" s="4"/>
      <c r="F455" s="4"/>
      <c r="G455" s="4"/>
      <c r="H455" s="4"/>
    </row>
    <row r="456" spans="1:8">
      <c r="A456" s="4"/>
      <c r="B456" s="4"/>
      <c r="C456" s="4"/>
      <c r="D456" s="4"/>
      <c r="E456" s="4"/>
      <c r="F456" s="4"/>
      <c r="G456" s="4"/>
      <c r="H456" s="4"/>
    </row>
    <row r="457" spans="1:8">
      <c r="A457" s="4"/>
      <c r="B457" s="4"/>
      <c r="C457" s="4"/>
      <c r="D457" s="4"/>
      <c r="E457" s="4"/>
      <c r="F457" s="4"/>
      <c r="G457" s="4"/>
      <c r="H457" s="4"/>
    </row>
    <row r="458" spans="1:8">
      <c r="A458" s="4"/>
      <c r="B458" s="4"/>
      <c r="C458" s="4"/>
      <c r="D458" s="4"/>
      <c r="E458" s="4"/>
      <c r="F458" s="4"/>
      <c r="G458" s="4"/>
      <c r="H458" s="4"/>
    </row>
    <row r="459" spans="1:8">
      <c r="A459" s="4"/>
      <c r="B459" s="4"/>
      <c r="C459" s="4"/>
      <c r="D459" s="4"/>
      <c r="E459" s="4"/>
      <c r="F459" s="4"/>
      <c r="G459" s="4"/>
      <c r="H459" s="4"/>
    </row>
    <row r="460" spans="1:8">
      <c r="A460" s="4"/>
      <c r="B460" s="4"/>
      <c r="C460" s="4"/>
      <c r="D460" s="4"/>
      <c r="E460" s="4"/>
      <c r="F460" s="4"/>
      <c r="G460" s="4"/>
      <c r="H460" s="4"/>
    </row>
    <row r="461" spans="1:8">
      <c r="A461" s="4"/>
      <c r="B461" s="4"/>
      <c r="C461" s="4"/>
      <c r="D461" s="4"/>
      <c r="E461" s="4"/>
      <c r="F461" s="4"/>
      <c r="G461" s="4"/>
      <c r="H461" s="4"/>
    </row>
    <row r="462" spans="1:8">
      <c r="A462" s="4"/>
      <c r="B462" s="4"/>
      <c r="C462" s="4"/>
      <c r="D462" s="4"/>
      <c r="E462" s="4"/>
      <c r="F462" s="4"/>
      <c r="G462" s="4"/>
      <c r="H462" s="4"/>
    </row>
    <row r="463" spans="1:8">
      <c r="A463" s="4"/>
      <c r="B463" s="4"/>
      <c r="C463" s="4"/>
      <c r="D463" s="4"/>
      <c r="E463" s="4"/>
      <c r="F463" s="4"/>
      <c r="G463" s="4"/>
      <c r="H463" s="4"/>
    </row>
    <row r="464" spans="1:8">
      <c r="A464" s="4"/>
      <c r="B464" s="4"/>
      <c r="C464" s="4"/>
      <c r="D464" s="4"/>
      <c r="E464" s="4"/>
      <c r="F464" s="4"/>
      <c r="G464" s="4"/>
      <c r="H464" s="4"/>
    </row>
    <row r="465" spans="1:8">
      <c r="A465" s="4"/>
      <c r="B465" s="4"/>
      <c r="C465" s="4"/>
      <c r="D465" s="4"/>
      <c r="E465" s="4"/>
      <c r="F465" s="4"/>
      <c r="G465" s="4"/>
      <c r="H465" s="4"/>
    </row>
    <row r="466" spans="1:8">
      <c r="A466" s="4"/>
      <c r="B466" s="4"/>
      <c r="C466" s="4"/>
      <c r="D466" s="4"/>
      <c r="E466" s="4"/>
      <c r="F466" s="4"/>
      <c r="G466" s="4"/>
      <c r="H466" s="4"/>
    </row>
    <row r="467" spans="1:8">
      <c r="A467" s="4"/>
      <c r="B467" s="4"/>
      <c r="C467" s="4"/>
      <c r="D467" s="4"/>
      <c r="E467" s="4"/>
      <c r="F467" s="4"/>
      <c r="G467" s="4"/>
      <c r="H467" s="4"/>
    </row>
    <row r="468" spans="1:8">
      <c r="A468" s="4"/>
      <c r="B468" s="4"/>
      <c r="C468" s="4"/>
      <c r="D468" s="4"/>
      <c r="E468" s="4"/>
      <c r="F468" s="4"/>
      <c r="G468" s="4"/>
      <c r="H468" s="4"/>
    </row>
    <row r="469" spans="1:8">
      <c r="A469" s="4"/>
      <c r="B469" s="4"/>
      <c r="C469" s="4"/>
      <c r="D469" s="4"/>
      <c r="E469" s="4"/>
      <c r="F469" s="4"/>
      <c r="G469" s="4"/>
      <c r="H469" s="4"/>
    </row>
    <row r="485" spans="1:1">
      <c r="A485" s="3"/>
    </row>
    <row r="486" spans="1:1">
      <c r="A486" s="27"/>
    </row>
    <row r="487" spans="1:1">
      <c r="A487" s="28"/>
    </row>
    <row r="489" spans="1:1">
      <c r="A489" s="4"/>
    </row>
    <row r="490" spans="1:1">
      <c r="A490" s="4"/>
    </row>
    <row r="492" spans="1:1">
      <c r="A492" s="4"/>
    </row>
    <row r="493" spans="1:1">
      <c r="A493" s="4"/>
    </row>
    <row r="494" spans="1:1">
      <c r="A494" s="4"/>
    </row>
    <row r="496" spans="1:1">
      <c r="A496" s="4"/>
    </row>
    <row r="497" spans="1:1">
      <c r="A497" s="4"/>
    </row>
    <row r="498" spans="1:1">
      <c r="A498" s="4"/>
    </row>
    <row r="502" spans="1:1">
      <c r="A502" s="3"/>
    </row>
    <row r="503" spans="1:1">
      <c r="A503" s="27"/>
    </row>
    <row r="504" spans="1:1">
      <c r="A504" s="28"/>
    </row>
    <row r="506" spans="1:1">
      <c r="A506" s="4"/>
    </row>
    <row r="507" spans="1:1">
      <c r="A507" s="4"/>
    </row>
    <row r="509" spans="1:1">
      <c r="A509" s="4"/>
    </row>
    <row r="510" spans="1:1">
      <c r="A510" s="4"/>
    </row>
    <row r="511" spans="1:1">
      <c r="A511" s="4"/>
    </row>
    <row r="513" spans="1:1">
      <c r="A513" s="4"/>
    </row>
    <row r="514" spans="1:1">
      <c r="A514" s="4"/>
    </row>
    <row r="515" spans="1:1">
      <c r="A515" s="4"/>
    </row>
    <row r="520" spans="1:1">
      <c r="A520" s="4"/>
    </row>
  </sheetData>
  <mergeCells count="5">
    <mergeCell ref="A1:B1"/>
    <mergeCell ref="A31:B31"/>
    <mergeCell ref="A94:B94"/>
    <mergeCell ref="A200:B200"/>
    <mergeCell ref="A342:B342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34" t="s">
        <v>10</v>
      </c>
      <c r="B1" s="34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34" t="s">
        <v>11</v>
      </c>
      <c r="B22" s="34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34" t="s">
        <v>55</v>
      </c>
      <c r="B56" s="34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34" t="s">
        <v>21</v>
      </c>
      <c r="D1" s="34"/>
      <c r="E1" s="34"/>
      <c r="F1" s="34"/>
      <c r="G1" s="34"/>
      <c r="H1" s="34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2012-04-27T14:52:46Z</dcterms:modified>
</cp:coreProperties>
</file>