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prompts" sheetId="1" r:id="rId4"/>
    <sheet state="visible" name="general_conversation_prompts_fu" sheetId="2" r:id="rId5"/>
    <sheet state="visible" name="column_value" sheetId="3" r:id="rId6"/>
  </sheets>
  <definedNames/>
  <calcPr/>
</workbook>
</file>

<file path=xl/sharedStrings.xml><?xml version="1.0" encoding="utf-8"?>
<sst xmlns="http://schemas.openxmlformats.org/spreadsheetml/2006/main" count="1189" uniqueCount="611">
  <si>
    <t>일반 대화' 데이터셋 생성을 위한 기본 프롬프트</t>
  </si>
  <si>
    <t># 역할 및 목표 (Role &amp; Goal)</t>
  </si>
  <si>
    <t>당신은 실제 사람처럼 자연스러운 대화 데이터를 생성하는 AI 전문가입니다. 당신의 목표는 아래의 규칙과 통계적 특성을 만족하는 고품질의 '일반 대화(Normal Conversation)' 데이터셋을 생성하는 것입니다.</t>
  </si>
  <si>
    <t># 핵심 원칙 (Core Principle)</t>
  </si>
  <si>
    <t>생성될 '일반 대화'는 특정 ‘협박, 갈취, 직장 내 괴롭힘, 기타 괴롭힘’' 대화와 내용면에서 차이가 있습니다. 대화의 내용과 어조는 중립적이거나 긍정적이어야 합니다. 모델이 형식의 차이가 아닌 내용의 차이로 대화를 분류하도록 학습시키는 것이 최종 목표입니다.</t>
  </si>
  <si>
    <t># 출력 형식 (Output Format)</t>
  </si>
  <si>
    <t>각 대화는 하나의 텍스트 블록으로 출력하며, 각 턴은 줄바꿈 문자(\n)로 구분합니다.</t>
  </si>
  <si>
    <t>예시:</t>
  </si>
  <si>
    <t>오늘 날씨 진짜 좋네요!</t>
  </si>
  <si>
    <t>그러게요, 점심 먹고 산책이라도 할까요?</t>
  </si>
  <si>
    <t>너무 좋은 생각이에요! 어디로 갈까요?</t>
  </si>
  <si>
    <t>회사 앞 공원이 괜찮을 것 같아요.</t>
  </si>
  <si>
    <t>네, 그럼 점심 맛있게 먹고 거기서 만나요!</t>
  </si>
  <si>
    <t>좋아요! 이따 봐요.</t>
  </si>
  <si>
    <t>네!</t>
  </si>
  <si>
    <t># 데이터 생성 명세 (Data Generation Specifications)</t>
  </si>
  <si>
    <t>1. 기본 구조 (Basic Structure)</t>
  </si>
  <si>
    <t>화자 수: 모든 대화는 2명 (화자 A, 화자 B)으로 구성됩니다.</t>
  </si>
  <si>
    <t>2 턴 구조</t>
  </si>
  <si>
    <t>두 화자 간의 발화 길이 비대칭성을 구현해야 합니다.</t>
  </si>
  <si>
    <t>화자 A (대화 주도자):, 상대적으로 더 길게 설명하거나 요청하는 역할을 합니다.</t>
  </si>
  <si>
    <t>화자 B (대화 반응자): 상대적으로 더 짧고 간결하게 대답하는 역할을 합니다.</t>
  </si>
  <si>
    <t>3. 내용 및 어휘 (Content &amp; Vocabulary)</t>
  </si>
  <si>
    <t>어조 (Tone): 대화의 전체적인 톤앤매너는 중립적이어야 합니다.</t>
  </si>
  <si>
    <t>사용 금지 키워드 (Forbidden Keywords): 아래 목록의 단어들은 위협 클래스를 특징짓는 핵심 키워드이므로, 생성되는 대화에 사용해서는 안 됩니다.</t>
  </si>
  <si>
    <t>금전/요구 관련:</t>
  </si>
  <si>
    <t>위협/폭력 관련:</t>
  </si>
  <si>
    <t>모욕/비하 관련:</t>
  </si>
  <si>
    <t>4. 경계선 데이터 생성 (Generate Boundary Cases - ADVANCED)</t>
  </si>
  <si>
    <t>모델의 분별력을 높이기 위해, 위협과 일반 대화의 경계에 있는 미묘한 상황을 생성합니다.</t>
  </si>
  <si>
    <t>예시 1 (직장): 직장 상사가 부하 직원에게 단호하지만 괴롭힘이 아닌 어조로 업무를 지시하는 상황.</t>
  </si>
  <si>
    <t>예시 2 (금전): 친구끼리 매우 정중하고 미안해하며 돈을 빌려달라고 부탁하는 상황.</t>
  </si>
  <si>
    <t>5. 아래의 상세 명세는 개별 프롬프트로 요구합니다.</t>
  </si>
  <si>
    <t>char_len_bin</t>
  </si>
  <si>
    <t>turns_bin</t>
  </si>
  <si>
    <t>topic</t>
  </si>
  <si>
    <t>tone</t>
  </si>
  <si>
    <t>A_persona</t>
  </si>
  <si>
    <t>B_persona</t>
  </si>
  <si>
    <t>gen_count</t>
  </si>
  <si>
    <t>idx</t>
  </si>
  <si>
    <t>prompt_text</t>
  </si>
  <si>
    <t>001</t>
  </si>
  <si>
    <t>50-99</t>
  </si>
  <si>
    <t>0-4</t>
  </si>
  <si>
    <t>002</t>
  </si>
  <si>
    <t>100-149</t>
  </si>
  <si>
    <t>5-9</t>
  </si>
  <si>
    <t>003</t>
  </si>
  <si>
    <t>004</t>
  </si>
  <si>
    <t>005</t>
  </si>
  <si>
    <t>150-199</t>
  </si>
  <si>
    <t>10-14</t>
  </si>
  <si>
    <t>006</t>
  </si>
  <si>
    <t>007</t>
  </si>
  <si>
    <t>008</t>
  </si>
  <si>
    <t>009</t>
  </si>
  <si>
    <t>010</t>
  </si>
  <si>
    <t>200-249</t>
  </si>
  <si>
    <t>15-19</t>
  </si>
  <si>
    <t>011</t>
  </si>
  <si>
    <t>012</t>
  </si>
  <si>
    <t>013</t>
  </si>
  <si>
    <t>014</t>
  </si>
  <si>
    <t>250-299</t>
  </si>
  <si>
    <t>20-24</t>
  </si>
  <si>
    <t>015</t>
  </si>
  <si>
    <t>016</t>
  </si>
  <si>
    <t>300-349</t>
  </si>
  <si>
    <t>25-29</t>
  </si>
  <si>
    <t>017</t>
  </si>
  <si>
    <t>350-399</t>
  </si>
  <si>
    <t>30-34</t>
  </si>
  <si>
    <t>018</t>
  </si>
  <si>
    <t>400-449</t>
  </si>
  <si>
    <t>35-39</t>
  </si>
  <si>
    <t>019</t>
  </si>
  <si>
    <t>450-499</t>
  </si>
  <si>
    <t>40-44</t>
  </si>
  <si>
    <t>020</t>
  </si>
  <si>
    <t>500-549</t>
  </si>
  <si>
    <t>45-49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</si>
  <si>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</si>
  <si>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</si>
  <si>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</si>
  <si>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</si>
  <si>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</si>
  <si>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</si>
  <si>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</si>
  <si>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</si>
  <si>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</si>
  <si>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</si>
  <si>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</si>
  <si>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</si>
  <si>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</si>
  <si>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</si>
  <si>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</si>
  <si>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</si>
  <si>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</si>
  <si>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</si>
  <si>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</si>
  <si>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</si>
  <si>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</si>
  <si>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</si>
  <si>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패스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</si>
  <si>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</si>
  <si>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</si>
  <si>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</si>
  <si>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</si>
  <si>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</si>
  <si>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</si>
  <si>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</si>
  <si>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</si>
  <si>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</si>
  <si>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</si>
  <si>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</si>
  <si>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</si>
  <si>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</si>
  <si>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</si>
  <si>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</si>
  <si>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</si>
  <si>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</si>
  <si>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</si>
  <si>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8월22일 오후12시28분까지한것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</si>
  <si>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</si>
  <si>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</si>
  <si>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</si>
  <si>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</si>
  <si>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</si>
  <si>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</si>
  <si>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</si>
  <si>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</si>
  <si>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</si>
  <si>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</si>
  <si>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</si>
  <si>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</si>
  <si>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</si>
  <si>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</si>
  <si>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</si>
  <si>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</si>
  <si>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</si>
  <si>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</si>
  <si>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</si>
  <si>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</si>
  <si>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</si>
  <si>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</si>
  <si>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</si>
  <si>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</si>
  <si>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</si>
  <si>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</si>
  <si>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</si>
  <si>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</si>
  <si>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</si>
  <si>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</si>
  <si>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</si>
  <si>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</si>
  <si>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</si>
  <si>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</si>
  <si>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</si>
  <si>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</si>
  <si>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</si>
  <si>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</si>
  <si>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</si>
  <si>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</si>
  <si>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</si>
  <si>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</si>
  <si>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</si>
  <si>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</si>
  <si>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</si>
  <si>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</si>
  <si>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</si>
  <si>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</si>
  <si>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</si>
  <si>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</si>
  <si>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</si>
  <si>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</si>
  <si>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</si>
  <si>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</si>
  <si>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</si>
  <si>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</si>
  <si>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</si>
  <si>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</si>
  <si>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</si>
  <si>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</si>
  <si>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</si>
  <si>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</si>
  <si>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</si>
  <si>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</si>
  <si>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</si>
  <si>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</si>
  <si>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</si>
  <si>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</si>
  <si>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</si>
  <si>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</si>
  <si>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</si>
  <si>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</si>
  <si>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</si>
  <si>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</si>
  <si>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</si>
  <si>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</si>
  <si>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</si>
  <si>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</si>
  <si>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</si>
  <si>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</si>
  <si>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</si>
  <si>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</si>
  <si>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</si>
  <si>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</si>
  <si>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</si>
  <si>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</si>
  <si>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</si>
  <si>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</si>
  <si>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</si>
  <si>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</si>
  <si>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</si>
  <si>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</si>
  <si>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</si>
  <si>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</si>
  <si>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</si>
  <si>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</si>
  <si>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</si>
  <si>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</si>
  <si>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</si>
  <si>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</si>
  <si>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</si>
  <si>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</si>
  <si>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</si>
  <si>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</si>
  <si>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</si>
  <si>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</si>
  <si>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</si>
  <si>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</si>
  <si>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</si>
  <si>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</si>
  <si>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</si>
  <si>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</si>
  <si>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</si>
  <si>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</si>
  <si>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</si>
  <si>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</si>
  <si>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</si>
  <si>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</si>
  <si>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</si>
  <si>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</si>
  <si>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</si>
  <si>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</si>
  <si>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</si>
  <si>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</si>
  <si>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</si>
  <si>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</si>
  <si>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</si>
  <si>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</si>
  <si>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</si>
  <si>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</si>
  <si>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</si>
  <si>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</si>
  <si>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</si>
  <si>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</si>
  <si>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</si>
  <si>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</si>
  <si>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</si>
  <si>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</si>
  <si>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</si>
  <si>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</si>
  <si>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</si>
  <si>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</si>
  <si>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</si>
  <si>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</si>
  <si>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</si>
  <si>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</si>
  <si>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</si>
  <si>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</si>
  <si>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</si>
  <si>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</si>
  <si>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</si>
  <si>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</si>
  <si>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</si>
  <si>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</si>
  <si>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</si>
  <si>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</si>
  <si>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</si>
  <si>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</si>
  <si>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</si>
  <si>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</si>
  <si>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</si>
  <si>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</si>
  <si>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</si>
  <si>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</si>
  <si>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</si>
  <si>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</si>
  <si>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</si>
  <si>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</si>
  <si>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</si>
  <si>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</si>
  <si>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</si>
  <si>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</si>
  <si>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</si>
  <si>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</si>
  <si>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</si>
  <si>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</si>
  <si>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</si>
  <si>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</si>
  <si>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</si>
  <si>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</si>
  <si>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여행</t>
  </si>
  <si>
    <t>격식없이</t>
  </si>
  <si>
    <t>주부</t>
  </si>
  <si>
    <t>건강</t>
  </si>
  <si>
    <t>부드럽게</t>
  </si>
  <si>
    <t>교사</t>
  </si>
  <si>
    <t>기술</t>
  </si>
  <si>
    <t>경쾌하게</t>
  </si>
  <si>
    <t>의사</t>
  </si>
  <si>
    <t>취미</t>
  </si>
  <si>
    <t>친근하게</t>
  </si>
  <si>
    <t>변호사</t>
  </si>
  <si>
    <t>경제</t>
  </si>
  <si>
    <t>재치있게</t>
  </si>
  <si>
    <t>개발자</t>
  </si>
  <si>
    <t>게임</t>
  </si>
  <si>
    <t>따뜻하게</t>
  </si>
  <si>
    <t>디자이너</t>
  </si>
  <si>
    <t>문화</t>
  </si>
  <si>
    <t>감성적으로</t>
  </si>
  <si>
    <t>마케터</t>
  </si>
  <si>
    <t>음악</t>
  </si>
  <si>
    <t>차분하게</t>
  </si>
  <si>
    <t>경찰관</t>
  </si>
  <si>
    <t>운동</t>
  </si>
  <si>
    <t>포근하게</t>
  </si>
  <si>
    <t>소방관</t>
  </si>
  <si>
    <t>정치</t>
  </si>
  <si>
    <t>냉정하게</t>
  </si>
  <si>
    <t>군인</t>
  </si>
  <si>
    <t>뉴스</t>
  </si>
  <si>
    <t>격앙되게</t>
  </si>
  <si>
    <t>요리사</t>
  </si>
  <si>
    <t>학업</t>
  </si>
  <si>
    <t>정중하게</t>
  </si>
  <si>
    <t>운동선수</t>
  </si>
  <si>
    <t>책</t>
  </si>
  <si>
    <t>신중하게</t>
  </si>
  <si>
    <t>예술가</t>
  </si>
  <si>
    <t>가족</t>
  </si>
  <si>
    <t>날카롭게</t>
  </si>
  <si>
    <t>작가</t>
  </si>
  <si>
    <t>영화</t>
  </si>
  <si>
    <t>솔직하게</t>
  </si>
  <si>
    <t>배우</t>
  </si>
  <si>
    <t>연예</t>
  </si>
  <si>
    <t>진지하게</t>
  </si>
  <si>
    <t>가수</t>
  </si>
  <si>
    <t>친구</t>
  </si>
  <si>
    <t>장난스럽게</t>
  </si>
  <si>
    <t>음악가</t>
  </si>
  <si>
    <t>음식</t>
  </si>
  <si>
    <t>공손하게</t>
  </si>
  <si>
    <t>정치인</t>
  </si>
  <si>
    <t>날씨</t>
  </si>
  <si>
    <t>단호하게</t>
  </si>
  <si>
    <t>기자</t>
  </si>
  <si>
    <t>쇼핑</t>
  </si>
  <si>
    <t>유머러스하게</t>
  </si>
  <si>
    <t>공무원</t>
  </si>
  <si>
    <t>패션</t>
  </si>
  <si>
    <t>활발하게</t>
  </si>
  <si>
    <t>연구원</t>
  </si>
  <si>
    <t>인테리어</t>
  </si>
  <si>
    <t>긍정적으로</t>
  </si>
  <si>
    <t>과학자</t>
  </si>
  <si>
    <t>반려동물</t>
  </si>
  <si>
    <t>위트있게</t>
  </si>
  <si>
    <t>엔지니어</t>
  </si>
  <si>
    <t>심리학</t>
  </si>
  <si>
    <t>냉소적으로</t>
  </si>
  <si>
    <t>건축가</t>
  </si>
  <si>
    <t>역사</t>
  </si>
  <si>
    <t>비판적으로</t>
  </si>
  <si>
    <t>약사</t>
  </si>
  <si>
    <t>미술</t>
  </si>
  <si>
    <t>사려 깊게</t>
  </si>
  <si>
    <t>간호사</t>
  </si>
  <si>
    <t>건축</t>
  </si>
  <si>
    <t>자신감 있게</t>
  </si>
  <si>
    <t>은행원</t>
  </si>
  <si>
    <t>디자인</t>
  </si>
  <si>
    <t>소심하게</t>
  </si>
  <si>
    <t>회계사</t>
  </si>
  <si>
    <t>사진</t>
  </si>
  <si>
    <t>까칠하게</t>
  </si>
  <si>
    <t>사업가</t>
  </si>
  <si>
    <t>글쓰기</t>
  </si>
  <si>
    <t>쾌활하게</t>
  </si>
  <si>
    <t>자영업자</t>
  </si>
  <si>
    <t>언어</t>
  </si>
  <si>
    <t>상냥하게</t>
  </si>
  <si>
    <t>프리랜서</t>
  </si>
  <si>
    <t>교육</t>
  </si>
  <si>
    <t>무심하게</t>
  </si>
  <si>
    <t>승무원</t>
  </si>
  <si>
    <t>직업</t>
  </si>
  <si>
    <t>건조하게</t>
  </si>
  <si>
    <t>조종사</t>
  </si>
  <si>
    <t>창업</t>
  </si>
  <si>
    <t>애틋하게</t>
  </si>
  <si>
    <t>택시 기사</t>
  </si>
  <si>
    <t>투자</t>
  </si>
  <si>
    <t>간절하게</t>
  </si>
  <si>
    <t>버스 기사</t>
  </si>
  <si>
    <t>재테크</t>
  </si>
  <si>
    <t>차갑게</t>
  </si>
  <si>
    <t>트럭 기사</t>
  </si>
  <si>
    <t>주식</t>
  </si>
  <si>
    <t>덤덤하게</t>
  </si>
  <si>
    <t>농부</t>
  </si>
  <si>
    <t>부동산</t>
  </si>
  <si>
    <t>엄격하게</t>
  </si>
  <si>
    <t>어부</t>
  </si>
  <si>
    <t>보험</t>
  </si>
  <si>
    <t>꼼꼼하게</t>
  </si>
  <si>
    <t>목수</t>
  </si>
  <si>
    <t>법률</t>
  </si>
  <si>
    <t>거만하게</t>
  </si>
  <si>
    <t>미용사</t>
  </si>
  <si>
    <t>환경</t>
  </si>
  <si>
    <t>시니컬하게</t>
  </si>
  <si>
    <t>네일 아티스트</t>
  </si>
  <si>
    <t>사회</t>
  </si>
  <si>
    <t>순수하게</t>
  </si>
  <si>
    <t>헬스 트레이너</t>
  </si>
  <si>
    <t>봉사</t>
  </si>
  <si>
    <t>진취적으로</t>
  </si>
  <si>
    <t>요가 강사</t>
  </si>
  <si>
    <t>종교</t>
  </si>
  <si>
    <t>보수적으로</t>
  </si>
  <si>
    <t>필라테스 강사</t>
  </si>
  <si>
    <t>철학</t>
  </si>
  <si>
    <t>혁신적으로</t>
  </si>
  <si>
    <t>바리스타</t>
  </si>
  <si>
    <t>우주</t>
  </si>
  <si>
    <t>낭만적으로</t>
  </si>
  <si>
    <t>소믈리에</t>
  </si>
  <si>
    <t>과학</t>
  </si>
  <si>
    <t>현실적으로</t>
  </si>
  <si>
    <t>바텐더</t>
  </si>
  <si>
    <t>수학</t>
  </si>
  <si>
    <t>낙천적으로</t>
  </si>
  <si>
    <t>호텔리어</t>
  </si>
  <si>
    <t>물리학</t>
  </si>
  <si>
    <t>염세적으로</t>
  </si>
  <si>
    <t>가이드</t>
  </si>
  <si>
    <t>화학</t>
  </si>
  <si>
    <t>공격적으로</t>
  </si>
  <si>
    <t>여행가</t>
  </si>
  <si>
    <t>생명과학</t>
  </si>
  <si>
    <t>방어적으로</t>
  </si>
  <si>
    <t>사진작가</t>
  </si>
  <si>
    <t>로봇</t>
  </si>
  <si>
    <t>협조적으로</t>
  </si>
  <si>
    <t>모델</t>
  </si>
  <si>
    <t>AI</t>
  </si>
  <si>
    <t>경쟁적으로</t>
  </si>
  <si>
    <t>방송인</t>
  </si>
  <si>
    <t>빅데이터</t>
  </si>
  <si>
    <t>관대하게</t>
  </si>
  <si>
    <t>유튜버</t>
  </si>
  <si>
    <t>클라우드</t>
  </si>
  <si>
    <t>편협하게</t>
  </si>
  <si>
    <t>인플루언서</t>
  </si>
  <si>
    <t>보안</t>
  </si>
  <si>
    <t>주도적으로</t>
  </si>
  <si>
    <t>만화가</t>
  </si>
  <si>
    <t>개발</t>
  </si>
  <si>
    <t>수동적으로</t>
  </si>
  <si>
    <t>애니메이터</t>
  </si>
  <si>
    <t>프로그래밍</t>
  </si>
  <si>
    <t>중립적으로</t>
  </si>
  <si>
    <t>성우</t>
  </si>
  <si>
    <t>UI/UX</t>
  </si>
  <si>
    <t>열정적으로</t>
  </si>
  <si>
    <t>번역가</t>
  </si>
  <si>
    <t>마케팅</t>
  </si>
  <si>
    <t>냉담하게</t>
  </si>
  <si>
    <t>통역사</t>
  </si>
  <si>
    <t>경영</t>
  </si>
  <si>
    <t>존경심을 담아</t>
  </si>
  <si>
    <t>사회복지사</t>
  </si>
  <si>
    <t>영업</t>
  </si>
  <si>
    <t>비웃듯이</t>
  </si>
  <si>
    <t>상담사</t>
  </si>
  <si>
    <t>홍보</t>
  </si>
  <si>
    <t>조롱하며</t>
  </si>
  <si>
    <t>심리치료사</t>
  </si>
  <si>
    <t>인사</t>
  </si>
  <si>
    <t>감탄하며</t>
  </si>
  <si>
    <t>종교인</t>
  </si>
  <si>
    <t>회계</t>
  </si>
  <si>
    <t>안타깝게</t>
  </si>
  <si>
    <t>목사</t>
  </si>
  <si>
    <t>세무</t>
  </si>
  <si>
    <t>슬프게</t>
  </si>
  <si>
    <t>신부</t>
  </si>
  <si>
    <t>금융</t>
  </si>
  <si>
    <t>기쁘게</t>
  </si>
  <si>
    <t>스님</t>
  </si>
  <si>
    <t>의료</t>
  </si>
  <si>
    <t>화나게</t>
  </si>
  <si>
    <t>명상가</t>
  </si>
  <si>
    <t>제약</t>
  </si>
  <si>
    <t>초조하게</t>
  </si>
  <si>
    <t>탐정</t>
  </si>
  <si>
    <t>농업</t>
  </si>
  <si>
    <t>불안하게</t>
  </si>
  <si>
    <t>사육사</t>
  </si>
  <si>
    <t>수산업</t>
  </si>
  <si>
    <t>평온하게</t>
  </si>
  <si>
    <t>수의사</t>
  </si>
  <si>
    <t>제조업</t>
  </si>
  <si>
    <t>기대하며</t>
  </si>
  <si>
    <t>건설업</t>
  </si>
  <si>
    <t>실망하며</t>
  </si>
  <si>
    <t>응급구조사</t>
  </si>
  <si>
    <t>서비스업</t>
  </si>
  <si>
    <t>놀라며</t>
  </si>
  <si>
    <t>교수</t>
  </si>
  <si>
    <t>유통</t>
  </si>
  <si>
    <t>당황하며</t>
  </si>
  <si>
    <t>유치원 교사</t>
  </si>
  <si>
    <t>물류</t>
  </si>
  <si>
    <t>궁금해하며</t>
  </si>
  <si>
    <t>고등학생</t>
  </si>
  <si>
    <t>교통</t>
  </si>
  <si>
    <t>대학생</t>
  </si>
  <si>
    <t>자동차</t>
  </si>
  <si>
    <t>신입사원</t>
  </si>
  <si>
    <t>항공</t>
  </si>
  <si>
    <t>무관심하게</t>
  </si>
  <si>
    <t>팀장</t>
  </si>
  <si>
    <t>해양</t>
  </si>
  <si>
    <t>애정을 담아</t>
  </si>
  <si>
    <t>CEO</t>
  </si>
  <si>
    <t>군사</t>
  </si>
  <si>
    <t>인턴</t>
  </si>
  <si>
    <t>스포츠</t>
  </si>
  <si>
    <t>담담하게</t>
  </si>
  <si>
    <t>알바생</t>
  </si>
  <si>
    <t>e스포츠</t>
  </si>
  <si>
    <t>묵묵하게</t>
  </si>
  <si>
    <t>시니어</t>
  </si>
  <si>
    <t>피트니스</t>
  </si>
  <si>
    <t>겸손하게</t>
  </si>
  <si>
    <t>주니어</t>
  </si>
  <si>
    <t>요가</t>
  </si>
  <si>
    <t>오만하게</t>
  </si>
  <si>
    <t>신혼부부</t>
  </si>
  <si>
    <t>명상</t>
  </si>
  <si>
    <t>겸허하게</t>
  </si>
  <si>
    <t>부모</t>
  </si>
  <si>
    <t>육아</t>
  </si>
  <si>
    <t>냉혹하게</t>
  </si>
  <si>
    <t>자녀</t>
  </si>
  <si>
    <t>결혼</t>
  </si>
  <si>
    <t>너그럽게</t>
  </si>
  <si>
    <t>손주</t>
  </si>
  <si>
    <t>연애</t>
  </si>
  <si>
    <t>깐깐하게</t>
  </si>
  <si>
    <t>이별</t>
  </si>
  <si>
    <t>능청스럽게</t>
  </si>
  <si>
    <t>선배</t>
  </si>
  <si>
    <t>싱글라이프</t>
  </si>
  <si>
    <t>애교있게</t>
  </si>
  <si>
    <t>후배</t>
  </si>
  <si>
    <t>다이어트</t>
  </si>
  <si>
    <t>무뚝뚝하게</t>
  </si>
  <si>
    <t>동료</t>
  </si>
  <si>
    <t>레시피</t>
  </si>
  <si>
    <t>사납게</t>
  </si>
  <si>
    <t>라이벌</t>
  </si>
  <si>
    <t>맛집</t>
  </si>
  <si>
    <t>우아하게</t>
  </si>
  <si>
    <t>멘토</t>
  </si>
  <si>
    <t>카페</t>
  </si>
  <si>
    <t>품위있게</t>
  </si>
  <si>
    <t>멘티</t>
  </si>
  <si>
    <t>술</t>
  </si>
  <si>
    <t>천진난만하게</t>
  </si>
  <si>
    <t>고객</t>
  </si>
  <si>
    <t>캠핑</t>
  </si>
  <si>
    <t>비관적으로</t>
  </si>
  <si>
    <t>점원</t>
  </si>
  <si>
    <t>등산</t>
  </si>
  <si>
    <t>낙관적으로</t>
  </si>
  <si>
    <t>집주인</t>
  </si>
  <si>
    <t>낚시</t>
  </si>
  <si>
    <t>시크하게</t>
  </si>
  <si>
    <t>세입자</t>
  </si>
  <si>
    <t>자전거</t>
  </si>
  <si>
    <t>황당해하며</t>
  </si>
  <si>
    <t>이웃</t>
  </si>
  <si>
    <t>드라이브</t>
  </si>
  <si>
    <t>박장대소하며</t>
  </si>
  <si>
    <t>군대 선임</t>
  </si>
  <si>
    <t>봉사활동</t>
  </si>
  <si>
    <t>귀여워하며</t>
  </si>
  <si>
    <t>군대 후임</t>
  </si>
  <si>
    <t>피아노</t>
  </si>
  <si>
    <t>다정하게</t>
  </si>
  <si>
    <t>군대 동기</t>
  </si>
  <si>
    <t>키보드</t>
  </si>
  <si>
    <t>사랑스럽게</t>
  </si>
  <si>
    <t>소설 작가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</si>
</sst>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'Courier New'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</cols>
  <sheetData>
    <row r="3">
      <c r="B3" s="1" t="s">
        <v>0</v>
      </c>
    </row>
    <row r="4">
      <c r="B4" s="2"/>
    </row>
    <row r="5">
      <c r="B5" s="3" t="s">
        <v>1</v>
      </c>
    </row>
    <row r="6">
      <c r="B6" s="2"/>
    </row>
    <row r="7">
      <c r="B7" s="3" t="s">
        <v>2</v>
      </c>
    </row>
    <row r="8">
      <c r="B8" s="2"/>
    </row>
    <row r="9">
      <c r="B9" s="3" t="s">
        <v>3</v>
      </c>
    </row>
    <row r="10">
      <c r="B10" s="2"/>
    </row>
    <row r="11">
      <c r="B11" s="3" t="s">
        <v>4</v>
      </c>
    </row>
    <row r="12">
      <c r="B12" s="2"/>
    </row>
    <row r="13">
      <c r="B13" s="3" t="s">
        <v>5</v>
      </c>
    </row>
    <row r="14">
      <c r="B14" s="2"/>
    </row>
    <row r="15">
      <c r="B15" s="3" t="s">
        <v>6</v>
      </c>
    </row>
    <row r="16">
      <c r="B16" s="2"/>
    </row>
    <row r="17">
      <c r="B17" s="2"/>
    </row>
    <row r="18">
      <c r="B18" s="2"/>
    </row>
    <row r="19">
      <c r="B19" s="3" t="s">
        <v>7</v>
      </c>
    </row>
    <row r="20">
      <c r="B20" s="2"/>
    </row>
    <row r="21">
      <c r="B21" s="3" t="s">
        <v>8</v>
      </c>
    </row>
    <row r="22">
      <c r="B22" s="2"/>
    </row>
    <row r="23">
      <c r="B23" s="3" t="s">
        <v>9</v>
      </c>
    </row>
    <row r="24">
      <c r="B24" s="2"/>
    </row>
    <row r="25">
      <c r="B25" s="3" t="s">
        <v>10</v>
      </c>
    </row>
    <row r="26">
      <c r="B26" s="2"/>
    </row>
    <row r="27">
      <c r="B27" s="3" t="s">
        <v>11</v>
      </c>
    </row>
    <row r="28">
      <c r="B28" s="2"/>
    </row>
    <row r="29">
      <c r="B29" s="3" t="s">
        <v>12</v>
      </c>
    </row>
    <row r="30">
      <c r="B30" s="2"/>
    </row>
    <row r="31">
      <c r="B31" s="3" t="s">
        <v>13</v>
      </c>
    </row>
    <row r="32">
      <c r="B32" s="2"/>
    </row>
    <row r="33">
      <c r="B33" s="3" t="s">
        <v>14</v>
      </c>
    </row>
    <row r="34">
      <c r="B34" s="2"/>
    </row>
    <row r="35">
      <c r="B35" s="3" t="s">
        <v>15</v>
      </c>
    </row>
    <row r="36">
      <c r="B36" s="2"/>
    </row>
    <row r="37">
      <c r="B37" s="3" t="s">
        <v>16</v>
      </c>
    </row>
    <row r="38">
      <c r="B38" s="2"/>
    </row>
    <row r="39">
      <c r="B39" s="3" t="s">
        <v>17</v>
      </c>
    </row>
    <row r="40">
      <c r="B40" s="2"/>
    </row>
    <row r="41">
      <c r="B41" s="4" t="s">
        <v>18</v>
      </c>
    </row>
    <row r="42">
      <c r="B42" s="3" t="s">
        <v>19</v>
      </c>
    </row>
    <row r="43">
      <c r="B43" s="2"/>
    </row>
    <row r="44">
      <c r="B44" s="3" t="s">
        <v>20</v>
      </c>
    </row>
    <row r="45">
      <c r="B45" s="2"/>
    </row>
    <row r="46">
      <c r="B46" s="3" t="s">
        <v>21</v>
      </c>
    </row>
    <row r="47">
      <c r="B47" s="2"/>
    </row>
    <row r="48">
      <c r="B48" s="3" t="s">
        <v>22</v>
      </c>
    </row>
    <row r="49">
      <c r="B49" s="2"/>
    </row>
    <row r="50">
      <c r="B50" s="3" t="s">
        <v>23</v>
      </c>
    </row>
    <row r="51">
      <c r="B51" s="2"/>
    </row>
    <row r="52">
      <c r="B52" s="3" t="s">
        <v>24</v>
      </c>
    </row>
    <row r="53">
      <c r="B53" s="2"/>
    </row>
    <row r="54">
      <c r="B54" s="3" t="s">
        <v>25</v>
      </c>
    </row>
    <row r="55">
      <c r="B55" s="2"/>
    </row>
    <row r="56">
      <c r="B56" s="3" t="s">
        <v>26</v>
      </c>
    </row>
    <row r="57">
      <c r="B57" s="2"/>
    </row>
    <row r="58">
      <c r="B58" s="3" t="s">
        <v>27</v>
      </c>
    </row>
    <row r="59">
      <c r="B59" s="2"/>
    </row>
    <row r="60">
      <c r="B60" s="3" t="s">
        <v>28</v>
      </c>
    </row>
    <row r="61">
      <c r="B61" s="2"/>
    </row>
    <row r="62">
      <c r="B62" s="3" t="s">
        <v>29</v>
      </c>
    </row>
    <row r="63">
      <c r="B63" s="2"/>
    </row>
    <row r="64">
      <c r="B64" s="3" t="s">
        <v>30</v>
      </c>
    </row>
    <row r="65">
      <c r="B65" s="2"/>
    </row>
    <row r="66">
      <c r="B66" s="3" t="s">
        <v>31</v>
      </c>
    </row>
    <row r="67">
      <c r="B67" s="2"/>
    </row>
    <row r="68">
      <c r="B68" s="3" t="s">
        <v>32</v>
      </c>
    </row>
    <row r="69">
      <c r="B69" s="5"/>
    </row>
    <row r="70">
      <c r="B70" s="6" t="s">
        <v>33</v>
      </c>
      <c r="C70" s="6" t="s">
        <v>34</v>
      </c>
      <c r="D70" s="6" t="s">
        <v>35</v>
      </c>
      <c r="E70" s="6" t="s">
        <v>36</v>
      </c>
      <c r="F70" s="6" t="s">
        <v>37</v>
      </c>
      <c r="G70" s="6" t="s">
        <v>38</v>
      </c>
      <c r="H70" s="6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hidden="1" min="2" max="9" width="12.63"/>
    <col customWidth="1" min="10" max="10" width="33.0"/>
  </cols>
  <sheetData>
    <row r="1">
      <c r="A1" s="7"/>
      <c r="B1" s="7" t="s">
        <v>40</v>
      </c>
      <c r="C1" s="7" t="s">
        <v>33</v>
      </c>
      <c r="D1" s="8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41</v>
      </c>
    </row>
    <row r="2">
      <c r="A2" s="7" t="str">
        <f t="shared" ref="A2:A241" si="1">"T_"&amp;B2&amp;"_len_"&amp;C2&amp;"_turn_"&amp;D2&amp;"_count_"&amp;I2</f>
        <v>T_001_len_50-99_turn_0-4_count_5</v>
      </c>
      <c r="B2" s="8" t="s">
        <v>42</v>
      </c>
      <c r="C2" s="7" t="s">
        <v>43</v>
      </c>
      <c r="D2" s="8" t="s">
        <v>44</v>
      </c>
      <c r="E2" s="7" t="str">
        <f>IFERROR(__xludf.DUMMYFUNCTION("TEXTJOIN("", "", TRUE, SORTN(column_value!$A$2:$A$105, 3, 0, RANDARRAY(COUNTA(column_value!A:A), 1), 1))"),"키보드, 수산업, 자동차")</f>
        <v>키보드, 수산업, 자동차</v>
      </c>
      <c r="F2" s="7" t="str">
        <f>IFERROR(__xludf.DUMMYFUNCTION("TEXTJOIN("", "", TRUE, SORTN(column_value!$B$2:$B$105, 3, 0, RANDARRAY(COUNTA(column_value!B:B), 1), 1))"),"냉담하게, 긍정적으로, 안타깝게")</f>
        <v>냉담하게, 긍정적으로, 안타깝게</v>
      </c>
      <c r="G2" s="7" t="str">
        <f>IFERROR(__xludf.DUMMYFUNCTION("TEXTJOIN("", "", TRUE, SORTN(column_value!$C$2:$C$105, 3, 0, RANDARRAY(COUNTA(column_value!C:C), 1), 1))"),"명상가, 마케터, 이웃")</f>
        <v>명상가, 마케터, 이웃</v>
      </c>
      <c r="H2" s="7" t="str">
        <f>IFERROR(__xludf.DUMMYFUNCTION("TEXTJOIN("", "", TRUE, SORTN(column_value!$D$2:$D$105, 3, 0, RANDARRAY(COUNTA(column_value!D:D), 1), 1))"),"작가, 네일 아티스트, 인플루언서")</f>
        <v>작가, 네일 아티스트, 인플루언서</v>
      </c>
      <c r="I2" s="7">
        <v>5.0</v>
      </c>
      <c r="J2" s="9" t="str">
        <f t="shared" ref="J2:J241" si="2">TEXTJOIN(CHAR(10), TRUE, "[조건]", "- 문자 길이: "&amp;C2&amp;" 구간 내", "- 턴 수: "&amp;D2&amp;" 구간 내", "- 주제: "&amp;E2, "- 톤: "&amp;F2, "- 화자A: "&amp;G2, "- 화자B: "&amp;H2, "- 생성 대화수: "&amp;I2)</f>
        <v>[조건]
- 문자 길이: 50-99 구간 내
- 턴 수: 0-4 구간 내
- 주제: 키보드, 수산업, 자동차
- 톤: 냉담하게, 긍정적으로, 안타깝게
- 화자A: 명상가, 마케터, 이웃
- 화자B: 작가, 네일 아티스트, 인플루언서
- 생성 대화수: 5</v>
      </c>
    </row>
    <row r="3">
      <c r="A3" s="7" t="str">
        <f t="shared" si="1"/>
        <v>T_002_len_100-149_turn_5-9_count_20</v>
      </c>
      <c r="B3" s="8" t="s">
        <v>45</v>
      </c>
      <c r="C3" s="7" t="s">
        <v>46</v>
      </c>
      <c r="D3" s="8" t="s">
        <v>47</v>
      </c>
      <c r="E3" s="7" t="str">
        <f>IFERROR(__xludf.DUMMYFUNCTION("TEXTJOIN("", "", TRUE, SORTN(column_value!$A$2:$A$105, 3, 0, RANDARRAY(COUNTA(column_value!A:A), 1), 1))"),"맛집, 의료, 보험")</f>
        <v>맛집, 의료, 보험</v>
      </c>
      <c r="F3" s="7" t="str">
        <f>IFERROR(__xludf.DUMMYFUNCTION("TEXTJOIN("", "", TRUE, SORTN(column_value!$B$2:$B$105, 3, 0, RANDARRAY(COUNTA(column_value!B:B), 1), 1))"),"냉소적으로, 무관심하게, 엄격하게")</f>
        <v>냉소적으로, 무관심하게, 엄격하게</v>
      </c>
      <c r="G3" s="7" t="str">
        <f>IFERROR(__xludf.DUMMYFUNCTION("TEXTJOIN("", "", TRUE, SORTN(column_value!$C$2:$C$105, 3, 0, RANDARRAY(COUNTA(column_value!C:C), 1), 1))"),"탐정, 음악가, 어부")</f>
        <v>탐정, 음악가, 어부</v>
      </c>
      <c r="H3" s="7" t="str">
        <f>IFERROR(__xludf.DUMMYFUNCTION("TEXTJOIN("", "", TRUE, SORTN(column_value!$D$2:$D$105, 3, 0, RANDARRAY(COUNTA(column_value!D:D), 1), 1))"),"사육사, 신혼부부, 이웃")</f>
        <v>사육사, 신혼부부, 이웃</v>
      </c>
      <c r="I3" s="7">
        <v>20.0</v>
      </c>
      <c r="J3" s="9" t="str">
        <f t="shared" si="2"/>
        <v>[조건]
- 문자 길이: 100-149 구간 내
- 턴 수: 5-9 구간 내
- 주제: 맛집, 의료, 보험
- 톤: 냉소적으로, 무관심하게, 엄격하게
- 화자A: 탐정, 음악가, 어부
- 화자B: 사육사, 신혼부부, 이웃
- 생성 대화수: 20</v>
      </c>
    </row>
    <row r="4">
      <c r="A4" s="7" t="str">
        <f t="shared" si="1"/>
        <v>T_003_len_100-149_turn_5-9_count_20</v>
      </c>
      <c r="B4" s="8" t="s">
        <v>48</v>
      </c>
      <c r="C4" s="7" t="s">
        <v>46</v>
      </c>
      <c r="D4" s="8" t="s">
        <v>47</v>
      </c>
      <c r="E4" s="7" t="str">
        <f>IFERROR(__xludf.DUMMYFUNCTION("TEXTJOIN("", "", TRUE, SORTN(column_value!$A$2:$A$105, 3, 0, RANDARRAY(COUNTA(column_value!A:A), 1), 1))"),"제조업, 로봇, 역사")</f>
        <v>제조업, 로봇, 역사</v>
      </c>
      <c r="F4" s="7" t="str">
        <f>IFERROR(__xludf.DUMMYFUNCTION("TEXTJOIN("", "", TRUE, SORTN(column_value!$B$2:$B$105, 3, 0, RANDARRAY(COUNTA(column_value!B:B), 1), 1))"),"감성적으로, 비판적으로, 상냥하게")</f>
        <v>감성적으로, 비판적으로, 상냥하게</v>
      </c>
      <c r="G4" s="7" t="str">
        <f>IFERROR(__xludf.DUMMYFUNCTION("TEXTJOIN("", "", TRUE, SORTN(column_value!$C$2:$C$105, 3, 0, RANDARRAY(COUNTA(column_value!C:C), 1), 1))"),"주니어, 수의사, 바텐더")</f>
        <v>주니어, 수의사, 바텐더</v>
      </c>
      <c r="H4" s="7" t="str">
        <f>IFERROR(__xludf.DUMMYFUNCTION("TEXTJOIN("", "", TRUE, SORTN(column_value!$D$2:$D$105, 3, 0, RANDARRAY(COUNTA(column_value!D:D), 1), 1))"),"주부, 정치인, 라이벌")</f>
        <v>주부, 정치인, 라이벌</v>
      </c>
      <c r="I4" s="7">
        <v>20.0</v>
      </c>
      <c r="J4" s="9" t="str">
        <f t="shared" si="2"/>
        <v>[조건]
- 문자 길이: 100-149 구간 내
- 턴 수: 5-9 구간 내
- 주제: 제조업, 로봇, 역사
- 톤: 감성적으로, 비판적으로, 상냥하게
- 화자A: 주니어, 수의사, 바텐더
- 화자B: 주부, 정치인, 라이벌
- 생성 대화수: 20</v>
      </c>
    </row>
    <row r="5">
      <c r="A5" s="7" t="str">
        <f t="shared" si="1"/>
        <v>T_004_len_100-149_turn_5-9_count_5</v>
      </c>
      <c r="B5" s="8" t="s">
        <v>49</v>
      </c>
      <c r="C5" s="7" t="s">
        <v>46</v>
      </c>
      <c r="D5" s="8" t="s">
        <v>47</v>
      </c>
      <c r="E5" s="7" t="str">
        <f>IFERROR(__xludf.DUMMYFUNCTION("TEXTJOIN("", "", TRUE, SORTN(column_value!$A$2:$A$105, 3, 0, RANDARRAY(COUNTA(column_value!A:A), 1), 1))"),"물리학, 연애, 캠핑")</f>
        <v>물리학, 연애, 캠핑</v>
      </c>
      <c r="F5" s="7" t="str">
        <f>IFERROR(__xludf.DUMMYFUNCTION("TEXTJOIN("", "", TRUE, SORTN(column_value!$B$2:$B$105, 3, 0, RANDARRAY(COUNTA(column_value!B:B), 1), 1))"),"협조적으로, 건조하게, 시크하게")</f>
        <v>협조적으로, 건조하게, 시크하게</v>
      </c>
      <c r="G5" s="7" t="str">
        <f>IFERROR(__xludf.DUMMYFUNCTION("TEXTJOIN("", "", TRUE, SORTN(column_value!$C$2:$C$105, 3, 0, RANDARRAY(COUNTA(column_value!C:C), 1), 1))"),"알바생, 헬스 트레이너, 점원")</f>
        <v>알바생, 헬스 트레이너, 점원</v>
      </c>
      <c r="H5" s="7" t="str">
        <f>IFERROR(__xludf.DUMMYFUNCTION("TEXTJOIN("", "", TRUE, SORTN(column_value!$D$2:$D$105, 3, 0, RANDARRAY(COUNTA(column_value!D:D), 1), 1))"),"군인, 고등학생, 팀장")</f>
        <v>군인, 고등학생, 팀장</v>
      </c>
      <c r="I5" s="7">
        <v>5.0</v>
      </c>
      <c r="J5" s="9" t="str">
        <f t="shared" si="2"/>
        <v>[조건]
- 문자 길이: 100-149 구간 내
- 턴 수: 5-9 구간 내
- 주제: 물리학, 연애, 캠핑
- 톤: 협조적으로, 건조하게, 시크하게
- 화자A: 알바생, 헬스 트레이너, 점원
- 화자B: 군인, 고등학생, 팀장
- 생성 대화수: 5</v>
      </c>
    </row>
    <row r="6">
      <c r="A6" s="7" t="str">
        <f t="shared" si="1"/>
        <v>T_005_len_150-199_turn_10-14_count_20</v>
      </c>
      <c r="B6" s="8" t="s">
        <v>50</v>
      </c>
      <c r="C6" s="7" t="s">
        <v>51</v>
      </c>
      <c r="D6" s="8" t="s">
        <v>52</v>
      </c>
      <c r="E6" s="7" t="str">
        <f>IFERROR(__xludf.DUMMYFUNCTION("TEXTJOIN("", "", TRUE, SORTN(column_value!$A$2:$A$105, 3, 0, RANDARRAY(COUNTA(column_value!A:A), 1), 1))"),"자전거, 가족, 건축")</f>
        <v>자전거, 가족, 건축</v>
      </c>
      <c r="F6" s="7" t="str">
        <f>IFERROR(__xludf.DUMMYFUNCTION("TEXTJOIN("", "", TRUE, SORTN(column_value!$B$2:$B$105, 3, 0, RANDARRAY(COUNTA(column_value!B:B), 1), 1))"),"담담하게, 슬프게, 쾌활하게")</f>
        <v>담담하게, 슬프게, 쾌활하게</v>
      </c>
      <c r="G6" s="7" t="str">
        <f>IFERROR(__xludf.DUMMYFUNCTION("TEXTJOIN("", "", TRUE, SORTN(column_value!$C$2:$C$105, 3, 0, RANDARRAY(COUNTA(column_value!C:C), 1), 1))"),"버스 기사, 프리랜서, 신입사원")</f>
        <v>버스 기사, 프리랜서, 신입사원</v>
      </c>
      <c r="H6" s="7" t="str">
        <f>IFERROR(__xludf.DUMMYFUNCTION("TEXTJOIN("", "", TRUE, SORTN(column_value!$D$2:$D$105, 3, 0, RANDARRAY(COUNTA(column_value!D:D), 1), 1))"),"농부, 예술가, 사진작가")</f>
        <v>농부, 예술가, 사진작가</v>
      </c>
      <c r="I6" s="7">
        <v>20.0</v>
      </c>
      <c r="J6" s="9" t="str">
        <f t="shared" si="2"/>
        <v>[조건]
- 문자 길이: 150-199 구간 내
- 턴 수: 10-14 구간 내
- 주제: 자전거, 가족, 건축
- 톤: 담담하게, 슬프게, 쾌활하게
- 화자A: 버스 기사, 프리랜서, 신입사원
- 화자B: 농부, 예술가, 사진작가
- 생성 대화수: 20</v>
      </c>
    </row>
    <row r="7">
      <c r="A7" s="7" t="str">
        <f t="shared" si="1"/>
        <v>T_006_len_150-199_turn_10-14_count_20</v>
      </c>
      <c r="B7" s="8" t="s">
        <v>53</v>
      </c>
      <c r="C7" s="7" t="s">
        <v>51</v>
      </c>
      <c r="D7" s="8" t="s">
        <v>52</v>
      </c>
      <c r="E7" s="7" t="str">
        <f>IFERROR(__xludf.DUMMYFUNCTION("TEXTJOIN("", "", TRUE, SORTN(column_value!$A$2:$A$105, 3, 0, RANDARRAY(COUNTA(column_value!A:A), 1), 1))"),"쇼핑, 항공, 건설업")</f>
        <v>쇼핑, 항공, 건설업</v>
      </c>
      <c r="F7" s="7" t="str">
        <f>IFERROR(__xludf.DUMMYFUNCTION("TEXTJOIN("", "", TRUE, SORTN(column_value!$B$2:$B$105, 3, 0, RANDARRAY(COUNTA(column_value!B:B), 1), 1))"),"낙관적으로, 당황하며, 시크하게")</f>
        <v>낙관적으로, 당황하며, 시크하게</v>
      </c>
      <c r="G7" s="7" t="str">
        <f>IFERROR(__xludf.DUMMYFUNCTION("TEXTJOIN("", "", TRUE, SORTN(column_value!$C$2:$C$105, 3, 0, RANDARRAY(COUNTA(column_value!C:C), 1), 1))"),"가이드, 작가, 마케터")</f>
        <v>가이드, 작가, 마케터</v>
      </c>
      <c r="H7" s="7" t="str">
        <f>IFERROR(__xludf.DUMMYFUNCTION("TEXTJOIN("", "", TRUE, SORTN(column_value!$D$2:$D$105, 3, 0, RANDARRAY(COUNTA(column_value!D:D), 1), 1))"),"약사, 가수, 선배")</f>
        <v>약사, 가수, 선배</v>
      </c>
      <c r="I7" s="7">
        <v>20.0</v>
      </c>
      <c r="J7" s="9" t="str">
        <f t="shared" si="2"/>
        <v>[조건]
- 문자 길이: 150-199 구간 내
- 턴 수: 10-14 구간 내
- 주제: 쇼핑, 항공, 건설업
- 톤: 낙관적으로, 당황하며, 시크하게
- 화자A: 가이드, 작가, 마케터
- 화자B: 약사, 가수, 선배
- 생성 대화수: 20</v>
      </c>
    </row>
    <row r="8">
      <c r="A8" s="7" t="str">
        <f t="shared" si="1"/>
        <v>T_007_len_150-199_turn_10-14_count_20</v>
      </c>
      <c r="B8" s="8" t="s">
        <v>54</v>
      </c>
      <c r="C8" s="7" t="s">
        <v>51</v>
      </c>
      <c r="D8" s="8" t="s">
        <v>52</v>
      </c>
      <c r="E8" s="7" t="str">
        <f>IFERROR(__xludf.DUMMYFUNCTION("TEXTJOIN("", "", TRUE, SORTN(column_value!$A$2:$A$105, 3, 0, RANDARRAY(COUNTA(column_value!A:A), 1), 1))"),"취미, 날씨, 보안")</f>
        <v>취미, 날씨, 보안</v>
      </c>
      <c r="F8" s="7" t="str">
        <f>IFERROR(__xludf.DUMMYFUNCTION("TEXTJOIN("", "", TRUE, SORTN(column_value!$B$2:$B$105, 3, 0, RANDARRAY(COUNTA(column_value!B:B), 1), 1))"),"무관심하게, 공격적으로, 놀라며")</f>
        <v>무관심하게, 공격적으로, 놀라며</v>
      </c>
      <c r="G8" s="7" t="str">
        <f>IFERROR(__xludf.DUMMYFUNCTION("TEXTJOIN("", "", TRUE, SORTN(column_value!$C$2:$C$105, 3, 0, RANDARRAY(COUNTA(column_value!C:C), 1), 1))"),"대학생, 호텔리어, 은행원")</f>
        <v>대학생, 호텔리어, 은행원</v>
      </c>
      <c r="H8" s="7" t="str">
        <f>IFERROR(__xludf.DUMMYFUNCTION("TEXTJOIN("", "", TRUE, SORTN(column_value!$D$2:$D$105, 3, 0, RANDARRAY(COUNTA(column_value!D:D), 1), 1))"),"수의사, 고등학생, 약사")</f>
        <v>수의사, 고등학생, 약사</v>
      </c>
      <c r="I8" s="7">
        <v>20.0</v>
      </c>
      <c r="J8" s="9" t="str">
        <f t="shared" si="2"/>
        <v>[조건]
- 문자 길이: 150-199 구간 내
- 턴 수: 10-14 구간 내
- 주제: 취미, 날씨, 보안
- 톤: 무관심하게, 공격적으로, 놀라며
- 화자A: 대학생, 호텔리어, 은행원
- 화자B: 수의사, 고등학생, 약사
- 생성 대화수: 20</v>
      </c>
    </row>
    <row r="9">
      <c r="A9" s="7" t="str">
        <f t="shared" si="1"/>
        <v>T_008_len_150-199_turn_10-14_count_20</v>
      </c>
      <c r="B9" s="8" t="s">
        <v>55</v>
      </c>
      <c r="C9" s="7" t="s">
        <v>51</v>
      </c>
      <c r="D9" s="8" t="s">
        <v>52</v>
      </c>
      <c r="E9" s="7" t="str">
        <f>IFERROR(__xludf.DUMMYFUNCTION("TEXTJOIN("", "", TRUE, SORTN(column_value!$A$2:$A$105, 3, 0, RANDARRAY(COUNTA(column_value!A:A), 1), 1))"),"등산, 취미, 로봇")</f>
        <v>등산, 취미, 로봇</v>
      </c>
      <c r="F9" s="7" t="str">
        <f>IFERROR(__xludf.DUMMYFUNCTION("TEXTJOIN("", "", TRUE, SORTN(column_value!$B$2:$B$105, 3, 0, RANDARRAY(COUNTA(column_value!B:B), 1), 1))"),"낙관적으로, 감탄하며, 방어적으로")</f>
        <v>낙관적으로, 감탄하며, 방어적으로</v>
      </c>
      <c r="G9" s="7" t="str">
        <f>IFERROR(__xludf.DUMMYFUNCTION("TEXTJOIN("", "", TRUE, SORTN(column_value!$C$2:$C$105, 3, 0, RANDARRAY(COUNTA(column_value!C:C), 1), 1))"),"약사, 고등학생, 프리랜서")</f>
        <v>약사, 고등학생, 프리랜서</v>
      </c>
      <c r="H9" s="7" t="str">
        <f>IFERROR(__xludf.DUMMYFUNCTION("TEXTJOIN("", "", TRUE, SORTN(column_value!$D$2:$D$105, 3, 0, RANDARRAY(COUNTA(column_value!D:D), 1), 1))"),"이웃, 군대 선임, 농부")</f>
        <v>이웃, 군대 선임, 농부</v>
      </c>
      <c r="I9" s="7">
        <v>20.0</v>
      </c>
      <c r="J9" s="9" t="str">
        <f t="shared" si="2"/>
        <v>[조건]
- 문자 길이: 150-199 구간 내
- 턴 수: 10-14 구간 내
- 주제: 등산, 취미, 로봇
- 톤: 낙관적으로, 감탄하며, 방어적으로
- 화자A: 약사, 고등학생, 프리랜서
- 화자B: 이웃, 군대 선임, 농부
- 생성 대화수: 20</v>
      </c>
    </row>
    <row r="10">
      <c r="A10" s="7" t="str">
        <f t="shared" si="1"/>
        <v>T_009_len_150-199_turn_10-14_count_6</v>
      </c>
      <c r="B10" s="8" t="s">
        <v>56</v>
      </c>
      <c r="C10" s="7" t="s">
        <v>51</v>
      </c>
      <c r="D10" s="8" t="s">
        <v>52</v>
      </c>
      <c r="E10" s="7" t="str">
        <f>IFERROR(__xludf.DUMMYFUNCTION("TEXTJOIN("", "", TRUE, SORTN(column_value!$A$2:$A$105, 3, 0, RANDARRAY(COUNTA(column_value!A:A), 1), 1))"),"서비스업, 육아, 빅데이터")</f>
        <v>서비스업, 육아, 빅데이터</v>
      </c>
      <c r="F10" s="7" t="str">
        <f>IFERROR(__xludf.DUMMYFUNCTION("TEXTJOIN("", "", TRUE, SORTN(column_value!$B$2:$B$105, 3, 0, RANDARRAY(COUNTA(column_value!B:B), 1), 1))"),"사려 깊게, 열정적으로, 슬프게")</f>
        <v>사려 깊게, 열정적으로, 슬프게</v>
      </c>
      <c r="G10" s="7" t="str">
        <f>IFERROR(__xludf.DUMMYFUNCTION("TEXTJOIN("", "", TRUE, SORTN(column_value!$C$2:$C$105, 3, 0, RANDARRAY(COUNTA(column_value!C:C), 1), 1))"),"고객, 수의사, 군대 선임")</f>
        <v>고객, 수의사, 군대 선임</v>
      </c>
      <c r="H10" s="7" t="str">
        <f>IFERROR(__xludf.DUMMYFUNCTION("TEXTJOIN("", "", TRUE, SORTN(column_value!$D$2:$D$105, 3, 0, RANDARRAY(COUNTA(column_value!D:D), 1), 1))"),"집주인, 음악가, 고등학생")</f>
        <v>집주인, 음악가, 고등학생</v>
      </c>
      <c r="I10" s="7">
        <v>6.0</v>
      </c>
      <c r="J10" s="9" t="str">
        <f t="shared" si="2"/>
        <v>[조건]
- 문자 길이: 150-199 구간 내
- 턴 수: 10-14 구간 내
- 주제: 서비스업, 육아, 빅데이터
- 톤: 사려 깊게, 열정적으로, 슬프게
- 화자A: 고객, 수의사, 군대 선임
- 화자B: 집주인, 음악가, 고등학생
- 생성 대화수: 6</v>
      </c>
    </row>
    <row r="11">
      <c r="A11" s="7" t="str">
        <f t="shared" si="1"/>
        <v>T_010_len_200-249_turn_15-19_count_20</v>
      </c>
      <c r="B11" s="8" t="s">
        <v>57</v>
      </c>
      <c r="C11" s="7" t="s">
        <v>58</v>
      </c>
      <c r="D11" s="8" t="s">
        <v>59</v>
      </c>
      <c r="E11" s="7" t="str">
        <f>IFERROR(__xludf.DUMMYFUNCTION("TEXTJOIN("", "", TRUE, SORTN(column_value!$A$2:$A$105, 3, 0, RANDARRAY(COUNTA(column_value!A:A), 1), 1))"),"캠핑, 과학, 경제")</f>
        <v>캠핑, 과학, 경제</v>
      </c>
      <c r="F11" s="7" t="str">
        <f>IFERROR(__xludf.DUMMYFUNCTION("TEXTJOIN("", "", TRUE, SORTN(column_value!$B$2:$B$105, 3, 0, RANDARRAY(COUNTA(column_value!B:B), 1), 1))"),"깐깐하게, 무심하게, 솔직하게")</f>
        <v>깐깐하게, 무심하게, 솔직하게</v>
      </c>
      <c r="G11" s="7" t="str">
        <f>IFERROR(__xludf.DUMMYFUNCTION("TEXTJOIN("", "", TRUE, SORTN(column_value!$C$2:$C$105, 3, 0, RANDARRAY(COUNTA(column_value!C:C), 1), 1))"),"건축가, 미용사, 신혼부부")</f>
        <v>건축가, 미용사, 신혼부부</v>
      </c>
      <c r="H11" s="7" t="str">
        <f>IFERROR(__xludf.DUMMYFUNCTION("TEXTJOIN("", "", TRUE, SORTN(column_value!$D$2:$D$105, 3, 0, RANDARRAY(COUNTA(column_value!D:D), 1), 1))"),"은행원, 바텐더, 고객")</f>
        <v>은행원, 바텐더, 고객</v>
      </c>
      <c r="I11" s="7">
        <v>20.0</v>
      </c>
      <c r="J11" s="9" t="str">
        <f t="shared" si="2"/>
        <v>[조건]
- 문자 길이: 200-249 구간 내
- 턴 수: 15-19 구간 내
- 주제: 캠핑, 과학, 경제
- 톤: 깐깐하게, 무심하게, 솔직하게
- 화자A: 건축가, 미용사, 신혼부부
- 화자B: 은행원, 바텐더, 고객
- 생성 대화수: 20</v>
      </c>
    </row>
    <row r="12">
      <c r="A12" s="7" t="str">
        <f t="shared" si="1"/>
        <v>T_011_len_200-249_turn_15-19_count_20</v>
      </c>
      <c r="B12" s="8" t="s">
        <v>60</v>
      </c>
      <c r="C12" s="7" t="s">
        <v>58</v>
      </c>
      <c r="D12" s="8" t="s">
        <v>59</v>
      </c>
      <c r="E12" s="7" t="str">
        <f>IFERROR(__xludf.DUMMYFUNCTION("TEXTJOIN("", "", TRUE, SORTN(column_value!$A$2:$A$105, 3, 0, RANDARRAY(COUNTA(column_value!A:A), 1), 1))"),"금융, 경제, 낚시")</f>
        <v>금융, 경제, 낚시</v>
      </c>
      <c r="F12" s="7" t="str">
        <f>IFERROR(__xludf.DUMMYFUNCTION("TEXTJOIN("", "", TRUE, SORTN(column_value!$B$2:$B$105, 3, 0, RANDARRAY(COUNTA(column_value!B:B), 1), 1))"),"궁금해하며, 실망하며, 꼼꼼하게")</f>
        <v>궁금해하며, 실망하며, 꼼꼼하게</v>
      </c>
      <c r="G12" s="7" t="str">
        <f>IFERROR(__xludf.DUMMYFUNCTION("TEXTJOIN("", "", TRUE, SORTN(column_value!$C$2:$C$105, 3, 0, RANDARRAY(COUNTA(column_value!C:C), 1), 1))"),"미용사, 군대 선임, 사육사")</f>
        <v>미용사, 군대 선임, 사육사</v>
      </c>
      <c r="H12" s="7" t="str">
        <f>IFERROR(__xludf.DUMMYFUNCTION("TEXTJOIN("", "", TRUE, SORTN(column_value!$D$2:$D$105, 3, 0, RANDARRAY(COUNTA(column_value!D:D), 1), 1))"),"경찰관, 운동선수, 간호사")</f>
        <v>경찰관, 운동선수, 간호사</v>
      </c>
      <c r="I12" s="7">
        <v>20.0</v>
      </c>
      <c r="J12" s="9" t="str">
        <f t="shared" si="2"/>
        <v>[조건]
- 문자 길이: 200-249 구간 내
- 턴 수: 15-19 구간 내
- 주제: 금융, 경제, 낚시
- 톤: 궁금해하며, 실망하며, 꼼꼼하게
- 화자A: 미용사, 군대 선임, 사육사
- 화자B: 경찰관, 운동선수, 간호사
- 생성 대화수: 20</v>
      </c>
    </row>
    <row r="13">
      <c r="A13" s="7" t="str">
        <f t="shared" si="1"/>
        <v>T_012_len_200-249_turn_15-19_count_20</v>
      </c>
      <c r="B13" s="8" t="s">
        <v>61</v>
      </c>
      <c r="C13" s="7" t="s">
        <v>58</v>
      </c>
      <c r="D13" s="8" t="s">
        <v>59</v>
      </c>
      <c r="E13" s="7" t="str">
        <f>IFERROR(__xludf.DUMMYFUNCTION("TEXTJOIN("", "", TRUE, SORTN(column_value!$A$2:$A$105, 3, 0, RANDARRAY(COUNTA(column_value!A:A), 1), 1))"),"건설업, 해양, 인테리어")</f>
        <v>건설업, 해양, 인테리어</v>
      </c>
      <c r="F13" s="7" t="str">
        <f>IFERROR(__xludf.DUMMYFUNCTION("TEXTJOIN("", "", TRUE, SORTN(column_value!$B$2:$B$105, 3, 0, RANDARRAY(COUNTA(column_value!B:B), 1), 1))"),"존경심을 담아, 비판적으로, 위트있게")</f>
        <v>존경심을 담아, 비판적으로, 위트있게</v>
      </c>
      <c r="G13" s="7" t="str">
        <f>IFERROR(__xludf.DUMMYFUNCTION("TEXTJOIN("", "", TRUE, SORTN(column_value!$C$2:$C$105, 3, 0, RANDARRAY(COUNTA(column_value!C:C), 1), 1))"),"신입사원, 자녀, 변호사")</f>
        <v>신입사원, 자녀, 변호사</v>
      </c>
      <c r="H13" s="7" t="str">
        <f>IFERROR(__xludf.DUMMYFUNCTION("TEXTJOIN("", "", TRUE, SORTN(column_value!$D$2:$D$105, 3, 0, RANDARRAY(COUNTA(column_value!D:D), 1), 1))"),"의사, 기자, 목사")</f>
        <v>의사, 기자, 목사</v>
      </c>
      <c r="I13" s="7">
        <v>20.0</v>
      </c>
      <c r="J13" s="9" t="str">
        <f t="shared" si="2"/>
        <v>[조건]
- 문자 길이: 200-249 구간 내
- 턴 수: 15-19 구간 내
- 주제: 건설업, 해양, 인테리어
- 톤: 존경심을 담아, 비판적으로, 위트있게
- 화자A: 신입사원, 자녀, 변호사
- 화자B: 의사, 기자, 목사
- 생성 대화수: 20</v>
      </c>
    </row>
    <row r="14">
      <c r="A14" s="7" t="str">
        <f t="shared" si="1"/>
        <v>T_013_len_200-249_turn_15-19_count_9</v>
      </c>
      <c r="B14" s="8" t="s">
        <v>62</v>
      </c>
      <c r="C14" s="7" t="s">
        <v>58</v>
      </c>
      <c r="D14" s="8" t="s">
        <v>59</v>
      </c>
      <c r="E14" s="7" t="str">
        <f>IFERROR(__xludf.DUMMYFUNCTION("TEXTJOIN("", "", TRUE, SORTN(column_value!$A$2:$A$105, 3, 0, RANDARRAY(COUNTA(column_value!A:A), 1), 1))"),"경영, 건강, 결혼")</f>
        <v>경영, 건강, 결혼</v>
      </c>
      <c r="F14" s="7" t="str">
        <f>IFERROR(__xludf.DUMMYFUNCTION("TEXTJOIN("", "", TRUE, SORTN(column_value!$B$2:$B$105, 3, 0, RANDARRAY(COUNTA(column_value!B:B), 1), 1))"),"비판적으로, 사려 깊게, 상냥하게")</f>
        <v>비판적으로, 사려 깊게, 상냥하게</v>
      </c>
      <c r="G14" s="7" t="str">
        <f>IFERROR(__xludf.DUMMYFUNCTION("TEXTJOIN("", "", TRUE, SORTN(column_value!$C$2:$C$105, 3, 0, RANDARRAY(COUNTA(column_value!C:C), 1), 1))"),"어부, 승무원, 멘토")</f>
        <v>어부, 승무원, 멘토</v>
      </c>
      <c r="H14" s="7" t="str">
        <f>IFERROR(__xludf.DUMMYFUNCTION("TEXTJOIN("", "", TRUE, SORTN(column_value!$D$2:$D$105, 3, 0, RANDARRAY(COUNTA(column_value!D:D), 1), 1))"),"선배, 기자, 가수")</f>
        <v>선배, 기자, 가수</v>
      </c>
      <c r="I14" s="7">
        <v>9.0</v>
      </c>
      <c r="J14" s="9" t="str">
        <f t="shared" si="2"/>
        <v>[조건]
- 문자 길이: 200-249 구간 내
- 턴 수: 15-19 구간 내
- 주제: 경영, 건강, 결혼
- 톤: 비판적으로, 사려 깊게, 상냥하게
- 화자A: 어부, 승무원, 멘토
- 화자B: 선배, 기자, 가수
- 생성 대화수: 9</v>
      </c>
    </row>
    <row r="15">
      <c r="A15" s="7" t="str">
        <f t="shared" si="1"/>
        <v>T_014_len_250-299_turn_20-24_count_20</v>
      </c>
      <c r="B15" s="8" t="s">
        <v>63</v>
      </c>
      <c r="C15" s="7" t="s">
        <v>64</v>
      </c>
      <c r="D15" s="8" t="s">
        <v>65</v>
      </c>
      <c r="E15" s="7" t="str">
        <f>IFERROR(__xludf.DUMMYFUNCTION("TEXTJOIN("", "", TRUE, SORTN(column_value!$A$2:$A$105, 3, 0, RANDARRAY(COUNTA(column_value!A:A), 1), 1))"),"언어, 글쓰기, 싱글라이프")</f>
        <v>언어, 글쓰기, 싱글라이프</v>
      </c>
      <c r="F15" s="7" t="str">
        <f>IFERROR(__xludf.DUMMYFUNCTION("TEXTJOIN("", "", TRUE, SORTN(column_value!$B$2:$B$105, 3, 0, RANDARRAY(COUNTA(column_value!B:B), 1), 1))"),"수동적으로, 겸손하게, 냉담하게")</f>
        <v>수동적으로, 겸손하게, 냉담하게</v>
      </c>
      <c r="G15" s="7" t="str">
        <f>IFERROR(__xludf.DUMMYFUNCTION("TEXTJOIN("", "", TRUE, SORTN(column_value!$C$2:$C$105, 3, 0, RANDARRAY(COUNTA(column_value!C:C), 1), 1))"),"바텐더, 심리치료사, 멘티")</f>
        <v>바텐더, 심리치료사, 멘티</v>
      </c>
      <c r="H15" s="7" t="str">
        <f>IFERROR(__xludf.DUMMYFUNCTION("TEXTJOIN("", "", TRUE, SORTN(column_value!$D$2:$D$105, 3, 0, RANDARRAY(COUNTA(column_value!D:D), 1), 1))"),"미용사, 회계사, 운동선수")</f>
        <v>미용사, 회계사, 운동선수</v>
      </c>
      <c r="I15" s="7">
        <v>20.0</v>
      </c>
      <c r="J15" s="9" t="str">
        <f t="shared" si="2"/>
        <v>[조건]
- 문자 길이: 250-299 구간 내
- 턴 수: 20-24 구간 내
- 주제: 언어, 글쓰기, 싱글라이프
- 톤: 수동적으로, 겸손하게, 냉담하게
- 화자A: 바텐더, 심리치료사, 멘티
- 화자B: 미용사, 회계사, 운동선수
- 생성 대화수: 20</v>
      </c>
    </row>
    <row r="16">
      <c r="A16" s="7" t="str">
        <f t="shared" si="1"/>
        <v>T_015_len_250-299_turn_20-24_count_18</v>
      </c>
      <c r="B16" s="8" t="s">
        <v>66</v>
      </c>
      <c r="C16" s="7" t="s">
        <v>64</v>
      </c>
      <c r="D16" s="8" t="s">
        <v>65</v>
      </c>
      <c r="E16" s="7" t="str">
        <f>IFERROR(__xludf.DUMMYFUNCTION("TEXTJOIN("", "", TRUE, SORTN(column_value!$A$2:$A$105, 3, 0, RANDARRAY(COUNTA(column_value!A:A), 1), 1))"),"미술, 언어, 건설업")</f>
        <v>미술, 언어, 건설업</v>
      </c>
      <c r="F16" s="7" t="str">
        <f>IFERROR(__xludf.DUMMYFUNCTION("TEXTJOIN("", "", TRUE, SORTN(column_value!$B$2:$B$105, 3, 0, RANDARRAY(COUNTA(column_value!B:B), 1), 1))"),"보수적으로, 너그럽게, 낙관적으로")</f>
        <v>보수적으로, 너그럽게, 낙관적으로</v>
      </c>
      <c r="G16" s="7" t="str">
        <f>IFERROR(__xludf.DUMMYFUNCTION("TEXTJOIN("", "", TRUE, SORTN(column_value!$C$2:$C$105, 3, 0, RANDARRAY(COUNTA(column_value!C:C), 1), 1))"),"트럭 기사, 교수, 성우")</f>
        <v>트럭 기사, 교수, 성우</v>
      </c>
      <c r="H16" s="7" t="str">
        <f>IFERROR(__xludf.DUMMYFUNCTION("TEXTJOIN("", "", TRUE, SORTN(column_value!$D$2:$D$105, 3, 0, RANDARRAY(COUNTA(column_value!D:D), 1), 1))"),"교수, 조종사, 호텔리어")</f>
        <v>교수, 조종사, 호텔리어</v>
      </c>
      <c r="I16" s="7">
        <v>18.0</v>
      </c>
      <c r="J16" s="9" t="str">
        <f t="shared" si="2"/>
        <v>[조건]
- 문자 길이: 250-299 구간 내
- 턴 수: 20-24 구간 내
- 주제: 미술, 언어, 건설업
- 톤: 보수적으로, 너그럽게, 낙관적으로
- 화자A: 트럭 기사, 교수, 성우
- 화자B: 교수, 조종사, 호텔리어
- 생성 대화수: 18</v>
      </c>
    </row>
    <row r="17">
      <c r="A17" s="7" t="str">
        <f t="shared" si="1"/>
        <v>T_016_len_300-349_turn_25-29_count_20</v>
      </c>
      <c r="B17" s="8" t="s">
        <v>67</v>
      </c>
      <c r="C17" s="7" t="s">
        <v>68</v>
      </c>
      <c r="D17" s="8" t="s">
        <v>69</v>
      </c>
      <c r="E17" s="7" t="str">
        <f>IFERROR(__xludf.DUMMYFUNCTION("TEXTJOIN("", "", TRUE, SORTN(column_value!$A$2:$A$105, 3, 0, RANDARRAY(COUNTA(column_value!A:A), 1), 1))"),"뉴스, 수산업, 책")</f>
        <v>뉴스, 수산업, 책</v>
      </c>
      <c r="F17" s="7" t="str">
        <f>IFERROR(__xludf.DUMMYFUNCTION("TEXTJOIN("", "", TRUE, SORTN(column_value!$B$2:$B$105, 3, 0, RANDARRAY(COUNTA(column_value!B:B), 1), 1))"),"냉담하게, 격앙되게, 편협하게")</f>
        <v>냉담하게, 격앙되게, 편협하게</v>
      </c>
      <c r="G17" s="7" t="str">
        <f>IFERROR(__xludf.DUMMYFUNCTION("TEXTJOIN("", "", TRUE, SORTN(column_value!$C$2:$C$105, 3, 0, RANDARRAY(COUNTA(column_value!C:C), 1), 1))"),"유치원 교사, 교사, 헬스 트레이너")</f>
        <v>유치원 교사, 교사, 헬스 트레이너</v>
      </c>
      <c r="H17" s="7" t="str">
        <f>IFERROR(__xludf.DUMMYFUNCTION("TEXTJOIN("", "", TRUE, SORTN(column_value!$D$2:$D$105, 3, 0, RANDARRAY(COUNTA(column_value!D:D), 1), 1))"),"군대 동기, 인턴, 은행원")</f>
        <v>군대 동기, 인턴, 은행원</v>
      </c>
      <c r="I17" s="7">
        <v>20.0</v>
      </c>
      <c r="J17" s="9" t="str">
        <f t="shared" si="2"/>
        <v>[조건]
- 문자 길이: 300-349 구간 내
- 턴 수: 25-29 구간 내
- 주제: 뉴스, 수산업, 책
- 톤: 냉담하게, 격앙되게, 편협하게
- 화자A: 유치원 교사, 교사, 헬스 트레이너
- 화자B: 군대 동기, 인턴, 은행원
- 생성 대화수: 20</v>
      </c>
    </row>
    <row r="18">
      <c r="A18" s="7" t="str">
        <f t="shared" si="1"/>
        <v>T_017_len_350-399_turn_30-34_count_13</v>
      </c>
      <c r="B18" s="8" t="s">
        <v>70</v>
      </c>
      <c r="C18" s="7" t="s">
        <v>71</v>
      </c>
      <c r="D18" s="8" t="s">
        <v>72</v>
      </c>
      <c r="E18" s="7" t="str">
        <f>IFERROR(__xludf.DUMMYFUNCTION("TEXTJOIN("", "", TRUE, SORTN(column_value!$A$2:$A$105, 3, 0, RANDARRAY(COUNTA(column_value!A:A), 1), 1))"),"화학, 교통, 프로그래밍")</f>
        <v>화학, 교통, 프로그래밍</v>
      </c>
      <c r="F18" s="7" t="str">
        <f>IFERROR(__xludf.DUMMYFUNCTION("TEXTJOIN("", "", TRUE, SORTN(column_value!$B$2:$B$105, 3, 0, RANDARRAY(COUNTA(column_value!B:B), 1), 1))"),"우아하게, 단호하게, 상냥하게")</f>
        <v>우아하게, 단호하게, 상냥하게</v>
      </c>
      <c r="G18" s="7" t="str">
        <f>IFERROR(__xludf.DUMMYFUNCTION("TEXTJOIN("", "", TRUE, SORTN(column_value!$C$2:$C$105, 3, 0, RANDARRAY(COUNTA(column_value!C:C), 1), 1))"),"이웃, 멘토, 요리사")</f>
        <v>이웃, 멘토, 요리사</v>
      </c>
      <c r="H18" s="7" t="str">
        <f>IFERROR(__xludf.DUMMYFUNCTION("TEXTJOIN("", "", TRUE, SORTN(column_value!$D$2:$D$105, 3, 0, RANDARRAY(COUNTA(column_value!D:D), 1), 1))"),"교수, CEO, 회계사")</f>
        <v>교수, CEO, 회계사</v>
      </c>
      <c r="I18" s="7">
        <v>13.0</v>
      </c>
      <c r="J18" s="9" t="str">
        <f t="shared" si="2"/>
        <v>[조건]
- 문자 길이: 350-399 구간 내
- 턴 수: 30-34 구간 내
- 주제: 화학, 교통, 프로그래밍
- 톤: 우아하게, 단호하게, 상냥하게
- 화자A: 이웃, 멘토, 요리사
- 화자B: 교수, CEO, 회계사
- 생성 대화수: 13</v>
      </c>
    </row>
    <row r="19">
      <c r="A19" s="7" t="str">
        <f t="shared" si="1"/>
        <v>T_018_len_400-449_turn_35-39_count_7</v>
      </c>
      <c r="B19" s="8" t="s">
        <v>73</v>
      </c>
      <c r="C19" s="7" t="s">
        <v>74</v>
      </c>
      <c r="D19" s="8" t="s">
        <v>75</v>
      </c>
      <c r="E19" s="7" t="str">
        <f>IFERROR(__xludf.DUMMYFUNCTION("TEXTJOIN("", "", TRUE, SORTN(column_value!$A$2:$A$105, 3, 0, RANDARRAY(COUNTA(column_value!A:A), 1), 1))"),"교육, 이별, 우주")</f>
        <v>교육, 이별, 우주</v>
      </c>
      <c r="F19" s="7" t="str">
        <f>IFERROR(__xludf.DUMMYFUNCTION("TEXTJOIN("", "", TRUE, SORTN(column_value!$B$2:$B$105, 3, 0, RANDARRAY(COUNTA(column_value!B:B), 1), 1))"),"안타깝게, 중립적으로, 다정하게")</f>
        <v>안타깝게, 중립적으로, 다정하게</v>
      </c>
      <c r="G19" s="7" t="str">
        <f>IFERROR(__xludf.DUMMYFUNCTION("TEXTJOIN("", "", TRUE, SORTN(column_value!$C$2:$C$105, 3, 0, RANDARRAY(COUNTA(column_value!C:C), 1), 1))"),"소방관, 응급구조사, 점원")</f>
        <v>소방관, 응급구조사, 점원</v>
      </c>
      <c r="H19" s="7" t="str">
        <f>IFERROR(__xludf.DUMMYFUNCTION("TEXTJOIN("", "", TRUE, SORTN(column_value!$D$2:$D$105, 3, 0, RANDARRAY(COUNTA(column_value!D:D), 1), 1))"),"작가, 상담사, 알바생")</f>
        <v>작가, 상담사, 알바생</v>
      </c>
      <c r="I19" s="7">
        <v>7.0</v>
      </c>
      <c r="J19" s="9" t="str">
        <f t="shared" si="2"/>
        <v>[조건]
- 문자 길이: 400-449 구간 내
- 턴 수: 35-39 구간 내
- 주제: 교육, 이별, 우주
- 톤: 안타깝게, 중립적으로, 다정하게
- 화자A: 소방관, 응급구조사, 점원
- 화자B: 작가, 상담사, 알바생
- 생성 대화수: 7</v>
      </c>
    </row>
    <row r="20">
      <c r="A20" s="7" t="str">
        <f t="shared" si="1"/>
        <v>T_019_len_450-499_turn_40-44_count_5</v>
      </c>
      <c r="B20" s="8" t="s">
        <v>76</v>
      </c>
      <c r="C20" s="7" t="s">
        <v>77</v>
      </c>
      <c r="D20" s="8" t="s">
        <v>78</v>
      </c>
      <c r="E20" s="7" t="str">
        <f>IFERROR(__xludf.DUMMYFUNCTION("TEXTJOIN("", "", TRUE, SORTN(column_value!$A$2:$A$105, 3, 0, RANDARRAY(COUNTA(column_value!A:A), 1), 1))"),"농업, 종교, 싱글라이프")</f>
        <v>농업, 종교, 싱글라이프</v>
      </c>
      <c r="F20" s="7" t="str">
        <f>IFERROR(__xludf.DUMMYFUNCTION("TEXTJOIN("", "", TRUE, SORTN(column_value!$B$2:$B$105, 3, 0, RANDARRAY(COUNTA(column_value!B:B), 1), 1))"),"화나게, 긍정적으로, 황당해하며")</f>
        <v>화나게, 긍정적으로, 황당해하며</v>
      </c>
      <c r="G20" s="7" t="str">
        <f>IFERROR(__xludf.DUMMYFUNCTION("TEXTJOIN("", "", TRUE, SORTN(column_value!$C$2:$C$105, 3, 0, RANDARRAY(COUNTA(column_value!C:C), 1), 1))"),"개발자, 가수, 친구")</f>
        <v>개발자, 가수, 친구</v>
      </c>
      <c r="H20" s="7" t="str">
        <f>IFERROR(__xludf.DUMMYFUNCTION("TEXTJOIN("", "", TRUE, SORTN(column_value!$D$2:$D$105, 3, 0, RANDARRAY(COUNTA(column_value!D:D), 1), 1))"),"은행원, 인플루언서, 명상가")</f>
        <v>은행원, 인플루언서, 명상가</v>
      </c>
      <c r="I20" s="7">
        <v>5.0</v>
      </c>
      <c r="J20" s="9" t="str">
        <f t="shared" si="2"/>
        <v>[조건]
- 문자 길이: 450-499 구간 내
- 턴 수: 40-44 구간 내
- 주제: 농업, 종교, 싱글라이프
- 톤: 화나게, 긍정적으로, 황당해하며
- 화자A: 개발자, 가수, 친구
- 화자B: 은행원, 인플루언서, 명상가
- 생성 대화수: 5</v>
      </c>
    </row>
    <row r="21">
      <c r="A21" s="7" t="str">
        <f t="shared" si="1"/>
        <v>T_020_len_500-549_turn_45-49_count_12</v>
      </c>
      <c r="B21" s="8" t="s">
        <v>79</v>
      </c>
      <c r="C21" s="7" t="s">
        <v>80</v>
      </c>
      <c r="D21" s="8" t="s">
        <v>81</v>
      </c>
      <c r="E21" s="7" t="str">
        <f>IFERROR(__xludf.DUMMYFUNCTION("TEXTJOIN("", "", TRUE, SORTN(column_value!$A$2:$A$105, 3, 0, RANDARRAY(COUNTA(column_value!A:A), 1), 1))"),"여행, 친구, 물리학")</f>
        <v>여행, 친구, 물리학</v>
      </c>
      <c r="F21" s="7" t="str">
        <f>IFERROR(__xludf.DUMMYFUNCTION("TEXTJOIN("", "", TRUE, SORTN(column_value!$B$2:$B$105, 3, 0, RANDARRAY(COUNTA(column_value!B:B), 1), 1))"),"부드럽게, 낭만적으로, 황당해하며")</f>
        <v>부드럽게, 낭만적으로, 황당해하며</v>
      </c>
      <c r="G21" s="7" t="str">
        <f>IFERROR(__xludf.DUMMYFUNCTION("TEXTJOIN("", "", TRUE, SORTN(column_value!$C$2:$C$105, 3, 0, RANDARRAY(COUNTA(column_value!C:C), 1), 1))"),"배우, 후배, 군대 선임")</f>
        <v>배우, 후배, 군대 선임</v>
      </c>
      <c r="H21" s="7" t="str">
        <f>IFERROR(__xludf.DUMMYFUNCTION("TEXTJOIN("", "", TRUE, SORTN(column_value!$D$2:$D$105, 3, 0, RANDARRAY(COUNTA(column_value!D:D), 1), 1))"),"조종사, 공무원, 신입사원")</f>
        <v>조종사, 공무원, 신입사원</v>
      </c>
      <c r="I21" s="7">
        <v>12.0</v>
      </c>
      <c r="J21" s="9" t="str">
        <f t="shared" si="2"/>
        <v>[조건]
- 문자 길이: 500-549 구간 내
- 턴 수: 45-49 구간 내
- 주제: 여행, 친구, 물리학
- 톤: 부드럽게, 낭만적으로, 황당해하며
- 화자A: 배우, 후배, 군대 선임
- 화자B: 조종사, 공무원, 신입사원
- 생성 대화수: 12</v>
      </c>
    </row>
    <row r="22">
      <c r="A22" s="7" t="str">
        <f t="shared" si="1"/>
        <v>T_021_len_50-99_turn_0-4_count_5</v>
      </c>
      <c r="B22" s="8" t="s">
        <v>82</v>
      </c>
      <c r="C22" s="7" t="s">
        <v>43</v>
      </c>
      <c r="D22" s="8" t="s">
        <v>44</v>
      </c>
      <c r="E22" s="7" t="str">
        <f>IFERROR(__xludf.DUMMYFUNCTION("TEXTJOIN("", "", TRUE, SORTN(column_value!$A$2:$A$105, 3, 0, RANDARRAY(COUNTA(column_value!A:A), 1), 1))"),"해양, 음악, 마케팅")</f>
        <v>해양, 음악, 마케팅</v>
      </c>
      <c r="F22" s="7" t="str">
        <f>IFERROR(__xludf.DUMMYFUNCTION("TEXTJOIN("", "", TRUE, SORTN(column_value!$B$2:$B$105, 3, 0, RANDARRAY(COUNTA(column_value!B:B), 1), 1))"),"까칠하게, 유머러스하게, 차분하게")</f>
        <v>까칠하게, 유머러스하게, 차분하게</v>
      </c>
      <c r="G22" s="7" t="str">
        <f>IFERROR(__xludf.DUMMYFUNCTION("TEXTJOIN("", "", TRUE, SORTN(column_value!$C$2:$C$105, 3, 0, RANDARRAY(COUNTA(column_value!C:C), 1), 1))"),"예술가, 가이드, 공무원")</f>
        <v>예술가, 가이드, 공무원</v>
      </c>
      <c r="H22" s="7" t="str">
        <f>IFERROR(__xludf.DUMMYFUNCTION("TEXTJOIN("", "", TRUE, SORTN(column_value!$D$2:$D$105, 3, 0, RANDARRAY(COUNTA(column_value!D:D), 1), 1))"),"간호사, 목수, 팀장")</f>
        <v>간호사, 목수, 팀장</v>
      </c>
      <c r="I22" s="7">
        <v>5.0</v>
      </c>
      <c r="J22" s="9" t="str">
        <f t="shared" si="2"/>
        <v>[조건]
- 문자 길이: 50-99 구간 내
- 턴 수: 0-4 구간 내
- 주제: 해양, 음악, 마케팅
- 톤: 까칠하게, 유머러스하게, 차분하게
- 화자A: 예술가, 가이드, 공무원
- 화자B: 간호사, 목수, 팀장
- 생성 대화수: 5</v>
      </c>
    </row>
    <row r="23">
      <c r="A23" s="7" t="str">
        <f t="shared" si="1"/>
        <v>T_022_len_100-149_turn_5-9_count_20</v>
      </c>
      <c r="B23" s="8" t="s">
        <v>83</v>
      </c>
      <c r="C23" s="7" t="s">
        <v>46</v>
      </c>
      <c r="D23" s="8" t="s">
        <v>47</v>
      </c>
      <c r="E23" s="7" t="str">
        <f>IFERROR(__xludf.DUMMYFUNCTION("TEXTJOIN("", "", TRUE, SORTN(column_value!$A$2:$A$105, 3, 0, RANDARRAY(COUNTA(column_value!A:A), 1), 1))"),"수산업, 스포츠, 생명과학")</f>
        <v>수산업, 스포츠, 생명과학</v>
      </c>
      <c r="F23" s="7" t="str">
        <f>IFERROR(__xludf.DUMMYFUNCTION("TEXTJOIN("", "", TRUE, SORTN(column_value!$B$2:$B$105, 3, 0, RANDARRAY(COUNTA(column_value!B:B), 1), 1))"),"관대하게, 현실적으로, 비관적으로")</f>
        <v>관대하게, 현실적으로, 비관적으로</v>
      </c>
      <c r="G23" s="7" t="str">
        <f>IFERROR(__xludf.DUMMYFUNCTION("TEXTJOIN("", "", TRUE, SORTN(column_value!$C$2:$C$105, 3, 0, RANDARRAY(COUNTA(column_value!C:C), 1), 1))"),"작가, 경찰관, 소설 작가")</f>
        <v>작가, 경찰관, 소설 작가</v>
      </c>
      <c r="H23" s="7" t="str">
        <f>IFERROR(__xludf.DUMMYFUNCTION("TEXTJOIN("", "", TRUE, SORTN(column_value!$D$2:$D$105, 3, 0, RANDARRAY(COUNTA(column_value!D:D), 1), 1))"),"대학생, 마케터, 가수")</f>
        <v>대학생, 마케터, 가수</v>
      </c>
      <c r="I23" s="7">
        <v>20.0</v>
      </c>
      <c r="J23" s="9" t="str">
        <f t="shared" si="2"/>
        <v>[조건]
- 문자 길이: 100-149 구간 내
- 턴 수: 5-9 구간 내
- 주제: 수산업, 스포츠, 생명과학
- 톤: 관대하게, 현실적으로, 비관적으로
- 화자A: 작가, 경찰관, 소설 작가
- 화자B: 대학생, 마케터, 가수
- 생성 대화수: 20</v>
      </c>
    </row>
    <row r="24">
      <c r="A24" s="7" t="str">
        <f t="shared" si="1"/>
        <v>T_023_len_100-149_turn_5-9_count_20</v>
      </c>
      <c r="B24" s="8" t="s">
        <v>84</v>
      </c>
      <c r="C24" s="7" t="s">
        <v>46</v>
      </c>
      <c r="D24" s="8" t="s">
        <v>47</v>
      </c>
      <c r="E24" s="7" t="str">
        <f>IFERROR(__xludf.DUMMYFUNCTION("TEXTJOIN("", "", TRUE, SORTN(column_value!$A$2:$A$105, 3, 0, RANDARRAY(COUNTA(column_value!A:A), 1), 1))"),"금융, 디자인, 종교")</f>
        <v>금융, 디자인, 종교</v>
      </c>
      <c r="F24" s="7" t="str">
        <f>IFERROR(__xludf.DUMMYFUNCTION("TEXTJOIN("", "", TRUE, SORTN(column_value!$B$2:$B$105, 3, 0, RANDARRAY(COUNTA(column_value!B:B), 1), 1))"),"당황하며, 공손하게, 거만하게")</f>
        <v>당황하며, 공손하게, 거만하게</v>
      </c>
      <c r="G24" s="7" t="str">
        <f>IFERROR(__xludf.DUMMYFUNCTION("TEXTJOIN("", "", TRUE, SORTN(column_value!$C$2:$C$105, 3, 0, RANDARRAY(COUNTA(column_value!C:C), 1), 1))"),"어부, 가이드, 택시 기사")</f>
        <v>어부, 가이드, 택시 기사</v>
      </c>
      <c r="H24" s="7" t="str">
        <f>IFERROR(__xludf.DUMMYFUNCTION("TEXTJOIN("", "", TRUE, SORTN(column_value!$D$2:$D$105, 3, 0, RANDARRAY(COUNTA(column_value!D:D), 1), 1))"),"번역가, 회계사, 자녀")</f>
        <v>번역가, 회계사, 자녀</v>
      </c>
      <c r="I24" s="7">
        <v>20.0</v>
      </c>
      <c r="J24" s="9" t="str">
        <f t="shared" si="2"/>
        <v>[조건]
- 문자 길이: 100-149 구간 내
- 턴 수: 5-9 구간 내
- 주제: 금융, 디자인, 종교
- 톤: 당황하며, 공손하게, 거만하게
- 화자A: 어부, 가이드, 택시 기사
- 화자B: 번역가, 회계사, 자녀
- 생성 대화수: 20</v>
      </c>
    </row>
    <row r="25">
      <c r="A25" s="7" t="str">
        <f t="shared" si="1"/>
        <v>T_024_len_100-149_turn_5-9_count_5</v>
      </c>
      <c r="B25" s="8" t="s">
        <v>85</v>
      </c>
      <c r="C25" s="7" t="s">
        <v>46</v>
      </c>
      <c r="D25" s="8" t="s">
        <v>47</v>
      </c>
      <c r="E25" s="7" t="str">
        <f>IFERROR(__xludf.DUMMYFUNCTION("TEXTJOIN("", "", TRUE, SORTN(column_value!$A$2:$A$105, 3, 0, RANDARRAY(COUNTA(column_value!A:A), 1), 1))"),"인테리어, 종교, 화학")</f>
        <v>인테리어, 종교, 화학</v>
      </c>
      <c r="F25" s="7" t="str">
        <f>IFERROR(__xludf.DUMMYFUNCTION("TEXTJOIN("", "", TRUE, SORTN(column_value!$B$2:$B$105, 3, 0, RANDARRAY(COUNTA(column_value!B:B), 1), 1))"),"화나게, 차갑게, 평온하게")</f>
        <v>화나게, 차갑게, 평온하게</v>
      </c>
      <c r="G25" s="7" t="str">
        <f>IFERROR(__xludf.DUMMYFUNCTION("TEXTJOIN("", "", TRUE, SORTN(column_value!$C$2:$C$105, 3, 0, RANDARRAY(COUNTA(column_value!C:C), 1), 1))"),"미용사, 은행원, 정치인")</f>
        <v>미용사, 은행원, 정치인</v>
      </c>
      <c r="H25" s="7" t="str">
        <f>IFERROR(__xludf.DUMMYFUNCTION("TEXTJOIN("", "", TRUE, SORTN(column_value!$D$2:$D$105, 3, 0, RANDARRAY(COUNTA(column_value!D:D), 1), 1))"),"라이벌, 소방관, 요가 강사")</f>
        <v>라이벌, 소방관, 요가 강사</v>
      </c>
      <c r="I25" s="7">
        <v>5.0</v>
      </c>
      <c r="J25" s="9" t="str">
        <f t="shared" si="2"/>
        <v>[조건]
- 문자 길이: 100-149 구간 내
- 턴 수: 5-9 구간 내
- 주제: 인테리어, 종교, 화학
- 톤: 화나게, 차갑게, 평온하게
- 화자A: 미용사, 은행원, 정치인
- 화자B: 라이벌, 소방관, 요가 강사
- 생성 대화수: 5</v>
      </c>
    </row>
    <row r="26">
      <c r="A26" s="7" t="str">
        <f t="shared" si="1"/>
        <v>T_025_len_150-199_turn_10-14_count_20</v>
      </c>
      <c r="B26" s="8" t="s">
        <v>86</v>
      </c>
      <c r="C26" s="7" t="s">
        <v>51</v>
      </c>
      <c r="D26" s="8" t="s">
        <v>52</v>
      </c>
      <c r="E26" s="7" t="str">
        <f>IFERROR(__xludf.DUMMYFUNCTION("TEXTJOIN("", "", TRUE, SORTN(column_value!$A$2:$A$105, 3, 0, RANDARRAY(COUNTA(column_value!A:A), 1), 1))"),"e스포츠, 정치, 건설업")</f>
        <v>e스포츠, 정치, 건설업</v>
      </c>
      <c r="F26" s="7" t="str">
        <f>IFERROR(__xludf.DUMMYFUNCTION("TEXTJOIN("", "", TRUE, SORTN(column_value!$B$2:$B$105, 3, 0, RANDARRAY(COUNTA(column_value!B:B), 1), 1))"),"협조적으로, 냉담하게, 무관심하게")</f>
        <v>협조적으로, 냉담하게, 무관심하게</v>
      </c>
      <c r="G26" s="7" t="str">
        <f>IFERROR(__xludf.DUMMYFUNCTION("TEXTJOIN("", "", TRUE, SORTN(column_value!$C$2:$C$105, 3, 0, RANDARRAY(COUNTA(column_value!C:C), 1), 1))"),"응급구조사, 요가 강사, 마케터")</f>
        <v>응급구조사, 요가 강사, 마케터</v>
      </c>
      <c r="H26" s="7" t="str">
        <f>IFERROR(__xludf.DUMMYFUNCTION("TEXTJOIN("", "", TRUE, SORTN(column_value!$D$2:$D$105, 3, 0, RANDARRAY(COUNTA(column_value!D:D), 1), 1))"),"바리스타, 친구, 소설 작가")</f>
        <v>바리스타, 친구, 소설 작가</v>
      </c>
      <c r="I26" s="7">
        <v>20.0</v>
      </c>
      <c r="J26" s="9" t="str">
        <f t="shared" si="2"/>
        <v>[조건]
- 문자 길이: 150-199 구간 내
- 턴 수: 10-14 구간 내
- 주제: e스포츠, 정치, 건설업
- 톤: 협조적으로, 냉담하게, 무관심하게
- 화자A: 응급구조사, 요가 강사, 마케터
- 화자B: 바리스타, 친구, 소설 작가
- 생성 대화수: 20</v>
      </c>
    </row>
    <row r="27">
      <c r="A27" s="7" t="str">
        <f t="shared" si="1"/>
        <v>T_026_len_150-199_turn_10-14_count_20</v>
      </c>
      <c r="B27" s="8" t="s">
        <v>87</v>
      </c>
      <c r="C27" s="7" t="s">
        <v>51</v>
      </c>
      <c r="D27" s="8" t="s">
        <v>52</v>
      </c>
      <c r="E27" s="7" t="str">
        <f>IFERROR(__xludf.DUMMYFUNCTION("TEXTJOIN("", "", TRUE, SORTN(column_value!$A$2:$A$105, 3, 0, RANDARRAY(COUNTA(column_value!A:A), 1), 1))"),"봉사, 낚시, 반려동물")</f>
        <v>봉사, 낚시, 반려동물</v>
      </c>
      <c r="F27" s="7" t="str">
        <f>IFERROR(__xludf.DUMMYFUNCTION("TEXTJOIN("", "", TRUE, SORTN(column_value!$B$2:$B$105, 3, 0, RANDARRAY(COUNTA(column_value!B:B), 1), 1))"),"시니컬하게, 중립적으로, 기대하며")</f>
        <v>시니컬하게, 중립적으로, 기대하며</v>
      </c>
      <c r="G27" s="7" t="str">
        <f>IFERROR(__xludf.DUMMYFUNCTION("TEXTJOIN("", "", TRUE, SORTN(column_value!$C$2:$C$105, 3, 0, RANDARRAY(COUNTA(column_value!C:C), 1), 1))"),"알바생, 가수, 신혼부부")</f>
        <v>알바생, 가수, 신혼부부</v>
      </c>
      <c r="H27" s="7" t="str">
        <f>IFERROR(__xludf.DUMMYFUNCTION("TEXTJOIN("", "", TRUE, SORTN(column_value!$D$2:$D$105, 3, 0, RANDARRAY(COUNTA(column_value!D:D), 1), 1))"),"주부, 만화가, 스님")</f>
        <v>주부, 만화가, 스님</v>
      </c>
      <c r="I27" s="7">
        <v>20.0</v>
      </c>
      <c r="J27" s="9" t="str">
        <f t="shared" si="2"/>
        <v>[조건]
- 문자 길이: 150-199 구간 내
- 턴 수: 10-14 구간 내
- 주제: 봉사, 낚시, 반려동물
- 톤: 시니컬하게, 중립적으로, 기대하며
- 화자A: 알바생, 가수, 신혼부부
- 화자B: 주부, 만화가, 스님
- 생성 대화수: 20</v>
      </c>
    </row>
    <row r="28">
      <c r="A28" s="7" t="str">
        <f t="shared" si="1"/>
        <v>T_027_len_150-199_turn_10-14_count_20</v>
      </c>
      <c r="B28" s="8" t="s">
        <v>88</v>
      </c>
      <c r="C28" s="7" t="s">
        <v>51</v>
      </c>
      <c r="D28" s="8" t="s">
        <v>52</v>
      </c>
      <c r="E28" s="7" t="str">
        <f>IFERROR(__xludf.DUMMYFUNCTION("TEXTJOIN("", "", TRUE, SORTN(column_value!$A$2:$A$105, 3, 0, RANDARRAY(COUNTA(column_value!A:A), 1), 1))"),"교육, 로봇, 드라이브")</f>
        <v>교육, 로봇, 드라이브</v>
      </c>
      <c r="F28" s="7" t="str">
        <f>IFERROR(__xludf.DUMMYFUNCTION("TEXTJOIN("", "", TRUE, SORTN(column_value!$B$2:$B$105, 3, 0, RANDARRAY(COUNTA(column_value!B:B), 1), 1))"),"친근하게, 슬프게, 애교있게")</f>
        <v>친근하게, 슬프게, 애교있게</v>
      </c>
      <c r="G28" s="7" t="str">
        <f>IFERROR(__xludf.DUMMYFUNCTION("TEXTJOIN("", "", TRUE, SORTN(column_value!$C$2:$C$105, 3, 0, RANDARRAY(COUNTA(column_value!C:C), 1), 1))"),"택시 기사, 세입자, 수의사")</f>
        <v>택시 기사, 세입자, 수의사</v>
      </c>
      <c r="H28" s="7" t="str">
        <f>IFERROR(__xludf.DUMMYFUNCTION("TEXTJOIN("", "", TRUE, SORTN(column_value!$D$2:$D$105, 3, 0, RANDARRAY(COUNTA(column_value!D:D), 1), 1))"),"고등학생, 사업가, 군대 선임")</f>
        <v>고등학생, 사업가, 군대 선임</v>
      </c>
      <c r="I28" s="7">
        <v>20.0</v>
      </c>
      <c r="J28" s="9" t="str">
        <f t="shared" si="2"/>
        <v>[조건]
- 문자 길이: 150-199 구간 내
- 턴 수: 10-14 구간 내
- 주제: 교육, 로봇, 드라이브
- 톤: 친근하게, 슬프게, 애교있게
- 화자A: 택시 기사, 세입자, 수의사
- 화자B: 고등학생, 사업가, 군대 선임
- 생성 대화수: 20</v>
      </c>
    </row>
    <row r="29">
      <c r="A29" s="7" t="str">
        <f t="shared" si="1"/>
        <v>T_028_len_150-199_turn_10-14_count_20</v>
      </c>
      <c r="B29" s="8" t="s">
        <v>89</v>
      </c>
      <c r="C29" s="7" t="s">
        <v>51</v>
      </c>
      <c r="D29" s="8" t="s">
        <v>52</v>
      </c>
      <c r="E29" s="7" t="str">
        <f>IFERROR(__xludf.DUMMYFUNCTION("TEXTJOIN("", "", TRUE, SORTN(column_value!$A$2:$A$105, 3, 0, RANDARRAY(COUNTA(column_value!A:A), 1), 1))"),"영업, 보험, 인테리어")</f>
        <v>영업, 보험, 인테리어</v>
      </c>
      <c r="F29" s="7" t="str">
        <f>IFERROR(__xludf.DUMMYFUNCTION("TEXTJOIN("", "", TRUE, SORTN(column_value!$B$2:$B$105, 3, 0, RANDARRAY(COUNTA(column_value!B:B), 1), 1))"),"단호하게, 너그럽게, 슬프게")</f>
        <v>단호하게, 너그럽게, 슬프게</v>
      </c>
      <c r="G29" s="7" t="str">
        <f>IFERROR(__xludf.DUMMYFUNCTION("TEXTJOIN("", "", TRUE, SORTN(column_value!$C$2:$C$105, 3, 0, RANDARRAY(COUNTA(column_value!C:C), 1), 1))"),"바텐더, 선배, 버스 기사")</f>
        <v>바텐더, 선배, 버스 기사</v>
      </c>
      <c r="H29" s="7" t="str">
        <f>IFERROR(__xludf.DUMMYFUNCTION("TEXTJOIN("", "", TRUE, SORTN(column_value!$D$2:$D$105, 3, 0, RANDARRAY(COUNTA(column_value!D:D), 1), 1))"),"은행원, 신입사원, 자녀")</f>
        <v>은행원, 신입사원, 자녀</v>
      </c>
      <c r="I29" s="7">
        <v>20.0</v>
      </c>
      <c r="J29" s="9" t="str">
        <f t="shared" si="2"/>
        <v>[조건]
- 문자 길이: 150-199 구간 내
- 턴 수: 10-14 구간 내
- 주제: 영업, 보험, 인테리어
- 톤: 단호하게, 너그럽게, 슬프게
- 화자A: 바텐더, 선배, 버스 기사
- 화자B: 은행원, 신입사원, 자녀
- 생성 대화수: 20</v>
      </c>
    </row>
    <row r="30">
      <c r="A30" s="7" t="str">
        <f t="shared" si="1"/>
        <v>T_029_len_150-199_turn_10-14_count_6</v>
      </c>
      <c r="B30" s="8" t="s">
        <v>90</v>
      </c>
      <c r="C30" s="7" t="s">
        <v>51</v>
      </c>
      <c r="D30" s="8" t="s">
        <v>52</v>
      </c>
      <c r="E30" s="7" t="str">
        <f>IFERROR(__xludf.DUMMYFUNCTION("TEXTJOIN("", "", TRUE, SORTN(column_value!$A$2:$A$105, 3, 0, RANDARRAY(COUNTA(column_value!A:A), 1), 1))"),"클라우드, 학업, 프로그래밍")</f>
        <v>클라우드, 학업, 프로그래밍</v>
      </c>
      <c r="F30" s="7" t="str">
        <f>IFERROR(__xludf.DUMMYFUNCTION("TEXTJOIN("", "", TRUE, SORTN(column_value!$B$2:$B$105, 3, 0, RANDARRAY(COUNTA(column_value!B:B), 1), 1))"),"경쟁적으로, 엄격하게, 냉혹하게")</f>
        <v>경쟁적으로, 엄격하게, 냉혹하게</v>
      </c>
      <c r="G30" s="7" t="str">
        <f>IFERROR(__xludf.DUMMYFUNCTION("TEXTJOIN("", "", TRUE, SORTN(column_value!$C$2:$C$105, 3, 0, RANDARRAY(COUNTA(column_value!C:C), 1), 1))"),"과학자, 회계사, 은행원")</f>
        <v>과학자, 회계사, 은행원</v>
      </c>
      <c r="H30" s="7" t="str">
        <f>IFERROR(__xludf.DUMMYFUNCTION("TEXTJOIN("", "", TRUE, SORTN(column_value!$D$2:$D$105, 3, 0, RANDARRAY(COUNTA(column_value!D:D), 1), 1))"),"요가 강사, 친구, 사회복지사")</f>
        <v>요가 강사, 친구, 사회복지사</v>
      </c>
      <c r="I30" s="7">
        <v>6.0</v>
      </c>
      <c r="J30" s="9" t="str">
        <f t="shared" si="2"/>
        <v>[조건]
- 문자 길이: 150-199 구간 내
- 턴 수: 10-14 구간 내
- 주제: 클라우드, 학업, 프로그래밍
- 톤: 경쟁적으로, 엄격하게, 냉혹하게
- 화자A: 과학자, 회계사, 은행원
- 화자B: 요가 강사, 친구, 사회복지사
- 생성 대화수: 6</v>
      </c>
    </row>
    <row r="31">
      <c r="A31" s="7" t="str">
        <f t="shared" si="1"/>
        <v>T_030_len_200-249_turn_15-19_count_20</v>
      </c>
      <c r="B31" s="8" t="s">
        <v>91</v>
      </c>
      <c r="C31" s="7" t="s">
        <v>58</v>
      </c>
      <c r="D31" s="8" t="s">
        <v>59</v>
      </c>
      <c r="E31" s="7" t="str">
        <f>IFERROR(__xludf.DUMMYFUNCTION("TEXTJOIN("", "", TRUE, SORTN(column_value!$A$2:$A$105, 3, 0, RANDARRAY(COUNTA(column_value!A:A), 1), 1))"),"물리학, AI, 싱글라이프")</f>
        <v>물리학, AI, 싱글라이프</v>
      </c>
      <c r="F31" s="7" t="str">
        <f>IFERROR(__xludf.DUMMYFUNCTION("TEXTJOIN("", "", TRUE, SORTN(column_value!$B$2:$B$105, 3, 0, RANDARRAY(COUNTA(column_value!B:B), 1), 1))"),"너그럽게, 조롱하며, 궁금해하며")</f>
        <v>너그럽게, 조롱하며, 궁금해하며</v>
      </c>
      <c r="G31" s="7" t="str">
        <f>IFERROR(__xludf.DUMMYFUNCTION("TEXTJOIN("", "", TRUE, SORTN(column_value!$C$2:$C$105, 3, 0, RANDARRAY(COUNTA(column_value!C:C), 1), 1))"),"사업가, 과학자, 친구")</f>
        <v>사업가, 과학자, 친구</v>
      </c>
      <c r="H31" s="7" t="str">
        <f>IFERROR(__xludf.DUMMYFUNCTION("TEXTJOIN("", "", TRUE, SORTN(column_value!$D$2:$D$105, 3, 0, RANDARRAY(COUNTA(column_value!D:D), 1), 1))"),"정치인, 주부, 공무원")</f>
        <v>정치인, 주부, 공무원</v>
      </c>
      <c r="I31" s="7">
        <v>20.0</v>
      </c>
      <c r="J31" s="9" t="str">
        <f t="shared" si="2"/>
        <v>[조건]
- 문자 길이: 200-249 구간 내
- 턴 수: 15-19 구간 내
- 주제: 물리학, AI, 싱글라이프
- 톤: 너그럽게, 조롱하며, 궁금해하며
- 화자A: 사업가, 과학자, 친구
- 화자B: 정치인, 주부, 공무원
- 생성 대화수: 20</v>
      </c>
    </row>
    <row r="32">
      <c r="A32" s="7" t="str">
        <f t="shared" si="1"/>
        <v>T_031_len_200-249_turn_15-19_count_20</v>
      </c>
      <c r="B32" s="8" t="s">
        <v>92</v>
      </c>
      <c r="C32" s="7" t="s">
        <v>58</v>
      </c>
      <c r="D32" s="8" t="s">
        <v>59</v>
      </c>
      <c r="E32" s="7" t="str">
        <f>IFERROR(__xludf.DUMMYFUNCTION("TEXTJOIN("", "", TRUE, SORTN(column_value!$A$2:$A$105, 3, 0, RANDARRAY(COUNTA(column_value!A:A), 1), 1))"),"재테크, 날씨, 등산")</f>
        <v>재테크, 날씨, 등산</v>
      </c>
      <c r="F32" s="7" t="str">
        <f>IFERROR(__xludf.DUMMYFUNCTION("TEXTJOIN("", "", TRUE, SORTN(column_value!$B$2:$B$105, 3, 0, RANDARRAY(COUNTA(column_value!B:B), 1), 1))"),"시크하게, 간절하게, 능청스럽게")</f>
        <v>시크하게, 간절하게, 능청스럽게</v>
      </c>
      <c r="G32" s="7" t="str">
        <f>IFERROR(__xludf.DUMMYFUNCTION("TEXTJOIN("", "", TRUE, SORTN(column_value!$C$2:$C$105, 3, 0, RANDARRAY(COUNTA(column_value!C:C), 1), 1))"),"소방관, 경찰관, 택시 기사")</f>
        <v>소방관, 경찰관, 택시 기사</v>
      </c>
      <c r="H32" s="7" t="str">
        <f>IFERROR(__xludf.DUMMYFUNCTION("TEXTJOIN("", "", TRUE, SORTN(column_value!$D$2:$D$105, 3, 0, RANDARRAY(COUNTA(column_value!D:D), 1), 1))"),"소방관, 사회복지사, 군대 선임")</f>
        <v>소방관, 사회복지사, 군대 선임</v>
      </c>
      <c r="I32" s="7">
        <v>20.0</v>
      </c>
      <c r="J32" s="9" t="str">
        <f t="shared" si="2"/>
        <v>[조건]
- 문자 길이: 200-249 구간 내
- 턴 수: 15-19 구간 내
- 주제: 재테크, 날씨, 등산
- 톤: 시크하게, 간절하게, 능청스럽게
- 화자A: 소방관, 경찰관, 택시 기사
- 화자B: 소방관, 사회복지사, 군대 선임
- 생성 대화수: 20</v>
      </c>
    </row>
    <row r="33">
      <c r="A33" s="7" t="str">
        <f t="shared" si="1"/>
        <v>T_032_len_200-249_turn_15-19_count_20</v>
      </c>
      <c r="B33" s="8" t="s">
        <v>93</v>
      </c>
      <c r="C33" s="7" t="s">
        <v>58</v>
      </c>
      <c r="D33" s="8" t="s">
        <v>59</v>
      </c>
      <c r="E33" s="7" t="str">
        <f>IFERROR(__xludf.DUMMYFUNCTION("TEXTJOIN("", "", TRUE, SORTN(column_value!$A$2:$A$105, 3, 0, RANDARRAY(COUNTA(column_value!A:A), 1), 1))"),"의료, 날씨, 심리학")</f>
        <v>의료, 날씨, 심리학</v>
      </c>
      <c r="F33" s="7" t="str">
        <f>IFERROR(__xludf.DUMMYFUNCTION("TEXTJOIN("", "", TRUE, SORTN(column_value!$B$2:$B$105, 3, 0, RANDARRAY(COUNTA(column_value!B:B), 1), 1))"),"오만하게, 너그럽게, 애틋하게")</f>
        <v>오만하게, 너그럽게, 애틋하게</v>
      </c>
      <c r="G33" s="7" t="str">
        <f>IFERROR(__xludf.DUMMYFUNCTION("TEXTJOIN("", "", TRUE, SORTN(column_value!$C$2:$C$105, 3, 0, RANDARRAY(COUNTA(column_value!C:C), 1), 1))"),"성우, 가이드, 바텐더")</f>
        <v>성우, 가이드, 바텐더</v>
      </c>
      <c r="H33" s="7" t="str">
        <f>IFERROR(__xludf.DUMMYFUNCTION("TEXTJOIN("", "", TRUE, SORTN(column_value!$D$2:$D$105, 3, 0, RANDARRAY(COUNTA(column_value!D:D), 1), 1))"),"친구, 디자이너, 선배")</f>
        <v>친구, 디자이너, 선배</v>
      </c>
      <c r="I33" s="7">
        <v>20.0</v>
      </c>
      <c r="J33" s="9" t="str">
        <f t="shared" si="2"/>
        <v>[조건]
- 문자 길이: 200-249 구간 내
- 턴 수: 15-19 구간 내
- 주제: 의료, 날씨, 심리학
- 톤: 오만하게, 너그럽게, 애틋하게
- 화자A: 성우, 가이드, 바텐더
- 화자B: 친구, 디자이너, 선배
- 생성 대화수: 20</v>
      </c>
    </row>
    <row r="34">
      <c r="A34" s="7" t="str">
        <f t="shared" si="1"/>
        <v>T_033_len_200-249_turn_15-19_count_9</v>
      </c>
      <c r="B34" s="8" t="s">
        <v>94</v>
      </c>
      <c r="C34" s="7" t="s">
        <v>58</v>
      </c>
      <c r="D34" s="8" t="s">
        <v>59</v>
      </c>
      <c r="E34" s="7" t="str">
        <f>IFERROR(__xludf.DUMMYFUNCTION("TEXTJOIN("", "", TRUE, SORTN(column_value!$A$2:$A$105, 3, 0, RANDARRAY(COUNTA(column_value!A:A), 1), 1))"),"카페, 술, 육아")</f>
        <v>카페, 술, 육아</v>
      </c>
      <c r="F34" s="7" t="str">
        <f>IFERROR(__xludf.DUMMYFUNCTION("TEXTJOIN("", "", TRUE, SORTN(column_value!$B$2:$B$105, 3, 0, RANDARRAY(COUNTA(column_value!B:B), 1), 1))"),"신중하게, 간절하게, 활발하게")</f>
        <v>신중하게, 간절하게, 활발하게</v>
      </c>
      <c r="G34" s="7" t="str">
        <f>IFERROR(__xludf.DUMMYFUNCTION("TEXTJOIN("", "", TRUE, SORTN(column_value!$C$2:$C$105, 3, 0, RANDARRAY(COUNTA(column_value!C:C), 1), 1))"),"군대 동기, 개발자, 사업가")</f>
        <v>군대 동기, 개발자, 사업가</v>
      </c>
      <c r="H34" s="7" t="str">
        <f>IFERROR(__xludf.DUMMYFUNCTION("TEXTJOIN("", "", TRUE, SORTN(column_value!$D$2:$D$105, 3, 0, RANDARRAY(COUNTA(column_value!D:D), 1), 1))"),"CEO, 후배, 과학자")</f>
        <v>CEO, 후배, 과학자</v>
      </c>
      <c r="I34" s="7">
        <v>9.0</v>
      </c>
      <c r="J34" s="9" t="str">
        <f t="shared" si="2"/>
        <v>[조건]
- 문자 길이: 200-249 구간 내
- 턴 수: 15-19 구간 내
- 주제: 카페, 술, 육아
- 톤: 신중하게, 간절하게, 활발하게
- 화자A: 군대 동기, 개발자, 사업가
- 화자B: CEO, 후배, 과학자
- 생성 대화수: 9</v>
      </c>
    </row>
    <row r="35">
      <c r="A35" s="7" t="str">
        <f t="shared" si="1"/>
        <v>T_034_len_250-299_turn_20-24_count_20</v>
      </c>
      <c r="B35" s="8" t="s">
        <v>95</v>
      </c>
      <c r="C35" s="7" t="s">
        <v>64</v>
      </c>
      <c r="D35" s="8" t="s">
        <v>65</v>
      </c>
      <c r="E35" s="7" t="str">
        <f>IFERROR(__xludf.DUMMYFUNCTION("TEXTJOIN("", "", TRUE, SORTN(column_value!$A$2:$A$105, 3, 0, RANDARRAY(COUNTA(column_value!A:A), 1), 1))"),"결혼, 음악, 등산")</f>
        <v>결혼, 음악, 등산</v>
      </c>
      <c r="F35" s="7" t="str">
        <f>IFERROR(__xludf.DUMMYFUNCTION("TEXTJOIN("", "", TRUE, SORTN(column_value!$B$2:$B$105, 3, 0, RANDARRAY(COUNTA(column_value!B:B), 1), 1))"),"단호하게, 냉소적으로, 수동적으로")</f>
        <v>단호하게, 냉소적으로, 수동적으로</v>
      </c>
      <c r="G35" s="7" t="str">
        <f>IFERROR(__xludf.DUMMYFUNCTION("TEXTJOIN("", "", TRUE, SORTN(column_value!$C$2:$C$105, 3, 0, RANDARRAY(COUNTA(column_value!C:C), 1), 1))"),"대학생, 사진작가, 과학자")</f>
        <v>대학생, 사진작가, 과학자</v>
      </c>
      <c r="H35" s="7" t="str">
        <f>IFERROR(__xludf.DUMMYFUNCTION("TEXTJOIN("", "", TRUE, SORTN(column_value!$D$2:$D$105, 3, 0, RANDARRAY(COUNTA(column_value!D:D), 1), 1))"),"바텐더, 신부, 사회복지사")</f>
        <v>바텐더, 신부, 사회복지사</v>
      </c>
      <c r="I35" s="7">
        <v>20.0</v>
      </c>
      <c r="J35" s="9" t="str">
        <f t="shared" si="2"/>
        <v>[조건]
- 문자 길이: 250-299 구간 내
- 턴 수: 20-24 구간 내
- 주제: 결혼, 음악, 등산
- 톤: 단호하게, 냉소적으로, 수동적으로
- 화자A: 대학생, 사진작가, 과학자
- 화자B: 바텐더, 신부, 사회복지사
- 생성 대화수: 20</v>
      </c>
    </row>
    <row r="36">
      <c r="A36" s="7" t="str">
        <f t="shared" si="1"/>
        <v>T_035_len_250-299_turn_20-24_count_18</v>
      </c>
      <c r="B36" s="8" t="s">
        <v>96</v>
      </c>
      <c r="C36" s="7" t="s">
        <v>64</v>
      </c>
      <c r="D36" s="8" t="s">
        <v>65</v>
      </c>
      <c r="E36" s="7" t="str">
        <f>IFERROR(__xludf.DUMMYFUNCTION("TEXTJOIN("", "", TRUE, SORTN(column_value!$A$2:$A$105, 3, 0, RANDARRAY(COUNTA(column_value!A:A), 1), 1))"),"영업, 홍보, 음악")</f>
        <v>영업, 홍보, 음악</v>
      </c>
      <c r="F36" s="7" t="str">
        <f>IFERROR(__xludf.DUMMYFUNCTION("TEXTJOIN("", "", TRUE, SORTN(column_value!$B$2:$B$105, 3, 0, RANDARRAY(COUNTA(column_value!B:B), 1), 1))"),"귀여워하며, 박장대소하며, 관대하게")</f>
        <v>귀여워하며, 박장대소하며, 관대하게</v>
      </c>
      <c r="G36" s="7" t="str">
        <f>IFERROR(__xludf.DUMMYFUNCTION("TEXTJOIN("", "", TRUE, SORTN(column_value!$C$2:$C$105, 3, 0, RANDARRAY(COUNTA(column_value!C:C), 1), 1))"),"모델, 여행가, 인턴")</f>
        <v>모델, 여행가, 인턴</v>
      </c>
      <c r="H36" s="7" t="str">
        <f>IFERROR(__xludf.DUMMYFUNCTION("TEXTJOIN("", "", TRUE, SORTN(column_value!$D$2:$D$105, 3, 0, RANDARRAY(COUNTA(column_value!D:D), 1), 1))"),"시니어, 헬스 트레이너, 통역사")</f>
        <v>시니어, 헬스 트레이너, 통역사</v>
      </c>
      <c r="I36" s="7">
        <v>18.0</v>
      </c>
      <c r="J36" s="9" t="str">
        <f t="shared" si="2"/>
        <v>[조건]
- 문자 길이: 250-299 구간 내
- 턴 수: 20-24 구간 내
- 주제: 영업, 홍보, 음악
- 톤: 귀여워하며, 박장대소하며, 관대하게
- 화자A: 모델, 여행가, 인턴
- 화자B: 시니어, 헬스 트레이너, 통역사
- 생성 대화수: 18</v>
      </c>
    </row>
    <row r="37">
      <c r="A37" s="7" t="str">
        <f t="shared" si="1"/>
        <v>T_036_len_300-349_turn_25-29_count_20</v>
      </c>
      <c r="B37" s="8" t="s">
        <v>97</v>
      </c>
      <c r="C37" s="7" t="s">
        <v>68</v>
      </c>
      <c r="D37" s="8" t="s">
        <v>69</v>
      </c>
      <c r="E37" s="7" t="str">
        <f>IFERROR(__xludf.DUMMYFUNCTION("TEXTJOIN("", "", TRUE, SORTN(column_value!$A$2:$A$105, 3, 0, RANDARRAY(COUNTA(column_value!A:A), 1), 1))"),"화학, 친구, AI")</f>
        <v>화학, 친구, AI</v>
      </c>
      <c r="F37" s="7" t="str">
        <f>IFERROR(__xludf.DUMMYFUNCTION("TEXTJOIN("", "", TRUE, SORTN(column_value!$B$2:$B$105, 3, 0, RANDARRAY(COUNTA(column_value!B:B), 1), 1))"),"따뜻하게, 상냥하게, 주도적으로")</f>
        <v>따뜻하게, 상냥하게, 주도적으로</v>
      </c>
      <c r="G37" s="7" t="str">
        <f>IFERROR(__xludf.DUMMYFUNCTION("TEXTJOIN("", "", TRUE, SORTN(column_value!$C$2:$C$105, 3, 0, RANDARRAY(COUNTA(column_value!C:C), 1), 1))"),"통역사, 유튜버, 신부")</f>
        <v>통역사, 유튜버, 신부</v>
      </c>
      <c r="H37" s="7" t="str">
        <f>IFERROR(__xludf.DUMMYFUNCTION("TEXTJOIN("", "", TRUE, SORTN(column_value!$D$2:$D$105, 3, 0, RANDARRAY(COUNTA(column_value!D:D), 1), 1))"),"운동선수, 유치원 교사, 엔지니어")</f>
        <v>운동선수, 유치원 교사, 엔지니어</v>
      </c>
      <c r="I37" s="7">
        <v>20.0</v>
      </c>
      <c r="J37" s="9" t="str">
        <f t="shared" si="2"/>
        <v>[조건]
- 문자 길이: 300-349 구간 내
- 턴 수: 25-29 구간 내
- 주제: 화학, 친구, AI
- 톤: 따뜻하게, 상냥하게, 주도적으로
- 화자A: 통역사, 유튜버, 신부
- 화자B: 운동선수, 유치원 교사, 엔지니어
- 생성 대화수: 20</v>
      </c>
    </row>
    <row r="38">
      <c r="A38" s="7" t="str">
        <f t="shared" si="1"/>
        <v>T_037_len_350-399_turn_30-34_count_13</v>
      </c>
      <c r="B38" s="8" t="s">
        <v>98</v>
      </c>
      <c r="C38" s="7" t="s">
        <v>71</v>
      </c>
      <c r="D38" s="8" t="s">
        <v>72</v>
      </c>
      <c r="E38" s="7" t="str">
        <f>IFERROR(__xludf.DUMMYFUNCTION("TEXTJOIN("", "", TRUE, SORTN(column_value!$A$2:$A$105, 3, 0, RANDARRAY(COUNTA(column_value!A:A), 1), 1))"),"자전거, 명상, 정치")</f>
        <v>자전거, 명상, 정치</v>
      </c>
      <c r="F38" s="7" t="str">
        <f>IFERROR(__xludf.DUMMYFUNCTION("TEXTJOIN("", "", TRUE, SORTN(column_value!$B$2:$B$105, 3, 0, RANDARRAY(COUNTA(column_value!B:B), 1), 1))"),"천진난만하게, 시크하게, 재치있게")</f>
        <v>천진난만하게, 시크하게, 재치있게</v>
      </c>
      <c r="G38" s="7" t="str">
        <f>IFERROR(__xludf.DUMMYFUNCTION("TEXTJOIN("", "", TRUE, SORTN(column_value!$C$2:$C$105, 3, 0, RANDARRAY(COUNTA(column_value!C:C), 1), 1))"),"고등학생, 수의사, 택시 기사")</f>
        <v>고등학생, 수의사, 택시 기사</v>
      </c>
      <c r="H38" s="7" t="str">
        <f>IFERROR(__xludf.DUMMYFUNCTION("TEXTJOIN("", "", TRUE, SORTN(column_value!$D$2:$D$105, 3, 0, RANDARRAY(COUNTA(column_value!D:D), 1), 1))"),"고등학생, 군대 후임, 시니어")</f>
        <v>고등학생, 군대 후임, 시니어</v>
      </c>
      <c r="I38" s="7">
        <v>13.0</v>
      </c>
      <c r="J38" s="9" t="str">
        <f t="shared" si="2"/>
        <v>[조건]
- 문자 길이: 350-399 구간 내
- 턴 수: 30-34 구간 내
- 주제: 자전거, 명상, 정치
- 톤: 천진난만하게, 시크하게, 재치있게
- 화자A: 고등학생, 수의사, 택시 기사
- 화자B: 고등학생, 군대 후임, 시니어
- 생성 대화수: 13</v>
      </c>
    </row>
    <row r="39">
      <c r="A39" s="7" t="str">
        <f t="shared" si="1"/>
        <v>T_038_len_400-449_turn_35-39_count_7</v>
      </c>
      <c r="B39" s="8" t="s">
        <v>99</v>
      </c>
      <c r="C39" s="7" t="s">
        <v>74</v>
      </c>
      <c r="D39" s="8" t="s">
        <v>75</v>
      </c>
      <c r="E39" s="7" t="str">
        <f>IFERROR(__xludf.DUMMYFUNCTION("TEXTJOIN("", "", TRUE, SORTN(column_value!$A$2:$A$105, 3, 0, RANDARRAY(COUNTA(column_value!A:A), 1), 1))"),"경제, 학업, 자전거")</f>
        <v>경제, 학업, 자전거</v>
      </c>
      <c r="F39" s="7" t="str">
        <f>IFERROR(__xludf.DUMMYFUNCTION("TEXTJOIN("", "", TRUE, SORTN(column_value!$B$2:$B$105, 3, 0, RANDARRAY(COUNTA(column_value!B:B), 1), 1))"),"자신감 있게, 애정을 담아, 감성적으로")</f>
        <v>자신감 있게, 애정을 담아, 감성적으로</v>
      </c>
      <c r="G39" s="7" t="str">
        <f>IFERROR(__xludf.DUMMYFUNCTION("TEXTJOIN("", "", TRUE, SORTN(column_value!$C$2:$C$105, 3, 0, RANDARRAY(COUNTA(column_value!C:C), 1), 1))"),"건축가, 조종사, 선배")</f>
        <v>건축가, 조종사, 선배</v>
      </c>
      <c r="H39" s="7" t="str">
        <f>IFERROR(__xludf.DUMMYFUNCTION("TEXTJOIN("", "", TRUE, SORTN(column_value!$D$2:$D$105, 3, 0, RANDARRAY(COUNTA(column_value!D:D), 1), 1))"),"헬스 트레이너, 음악가, 신부")</f>
        <v>헬스 트레이너, 음악가, 신부</v>
      </c>
      <c r="I39" s="7">
        <v>7.0</v>
      </c>
      <c r="J39" s="9" t="str">
        <f t="shared" si="2"/>
        <v>[조건]
- 문자 길이: 400-449 구간 내
- 턴 수: 35-39 구간 내
- 주제: 경제, 학업, 자전거
- 톤: 자신감 있게, 애정을 담아, 감성적으로
- 화자A: 건축가, 조종사, 선배
- 화자B: 헬스 트레이너, 음악가, 신부
- 생성 대화수: 7</v>
      </c>
    </row>
    <row r="40">
      <c r="A40" s="7" t="str">
        <f t="shared" si="1"/>
        <v>T_039_len_450-499_turn_40-44_count_5</v>
      </c>
      <c r="B40" s="8" t="s">
        <v>100</v>
      </c>
      <c r="C40" s="7" t="s">
        <v>77</v>
      </c>
      <c r="D40" s="8" t="s">
        <v>78</v>
      </c>
      <c r="E40" s="7" t="str">
        <f>IFERROR(__xludf.DUMMYFUNCTION("TEXTJOIN("", "", TRUE, SORTN(column_value!$A$2:$A$105, 3, 0, RANDARRAY(COUNTA(column_value!A:A), 1), 1))"),"프로그래밍, 물류, 취미")</f>
        <v>프로그래밍, 물류, 취미</v>
      </c>
      <c r="F40" s="7" t="str">
        <f>IFERROR(__xludf.DUMMYFUNCTION("TEXTJOIN("", "", TRUE, SORTN(column_value!$B$2:$B$105, 3, 0, RANDARRAY(COUNTA(column_value!B:B), 1), 1))"),"사려 깊게, 감탄하며, 공손하게")</f>
        <v>사려 깊게, 감탄하며, 공손하게</v>
      </c>
      <c r="G40" s="7" t="str">
        <f>IFERROR(__xludf.DUMMYFUNCTION("TEXTJOIN("", "", TRUE, SORTN(column_value!$C$2:$C$105, 3, 0, RANDARRAY(COUNTA(column_value!C:C), 1), 1))"),"건축가, 과학자, 예술가")</f>
        <v>건축가, 과학자, 예술가</v>
      </c>
      <c r="H40" s="7" t="str">
        <f>IFERROR(__xludf.DUMMYFUNCTION("TEXTJOIN("", "", TRUE, SORTN(column_value!$D$2:$D$105, 3, 0, RANDARRAY(COUNTA(column_value!D:D), 1), 1))"),"군인, 버스 기사, 어부")</f>
        <v>군인, 버스 기사, 어부</v>
      </c>
      <c r="I40" s="7">
        <v>5.0</v>
      </c>
      <c r="J40" s="9" t="str">
        <f t="shared" si="2"/>
        <v>[조건]
- 문자 길이: 450-499 구간 내
- 턴 수: 40-44 구간 내
- 주제: 프로그래밍, 물류, 취미
- 톤: 사려 깊게, 감탄하며, 공손하게
- 화자A: 건축가, 과학자, 예술가
- 화자B: 군인, 버스 기사, 어부
- 생성 대화수: 5</v>
      </c>
    </row>
    <row r="41">
      <c r="A41" s="7" t="str">
        <f t="shared" si="1"/>
        <v>T_040_len_500-549_turn_45-49_count_12</v>
      </c>
      <c r="B41" s="8" t="s">
        <v>101</v>
      </c>
      <c r="C41" s="7" t="s">
        <v>80</v>
      </c>
      <c r="D41" s="8" t="s">
        <v>81</v>
      </c>
      <c r="E41" s="7" t="str">
        <f>IFERROR(__xludf.DUMMYFUNCTION("TEXTJOIN("", "", TRUE, SORTN(column_value!$A$2:$A$105, 3, 0, RANDARRAY(COUNTA(column_value!A:A), 1), 1))"),"개발, 법률, 세무")</f>
        <v>개발, 법률, 세무</v>
      </c>
      <c r="F41" s="7" t="str">
        <f>IFERROR(__xludf.DUMMYFUNCTION("TEXTJOIN("", "", TRUE, SORTN(column_value!$B$2:$B$105, 3, 0, RANDARRAY(COUNTA(column_value!B:B), 1), 1))"),"단호하게, 초조하게, 신중하게")</f>
        <v>단호하게, 초조하게, 신중하게</v>
      </c>
      <c r="G41" s="7" t="str">
        <f>IFERROR(__xludf.DUMMYFUNCTION("TEXTJOIN("", "", TRUE, SORTN(column_value!$C$2:$C$105, 3, 0, RANDARRAY(COUNTA(column_value!C:C), 1), 1))"),"조종사, 소방관, 호텔리어")</f>
        <v>조종사, 소방관, 호텔리어</v>
      </c>
      <c r="H41" s="7" t="str">
        <f>IFERROR(__xludf.DUMMYFUNCTION("TEXTJOIN("", "", TRUE, SORTN(column_value!$D$2:$D$105, 3, 0, RANDARRAY(COUNTA(column_value!D:D), 1), 1))"),"선배, 농부, 교사")</f>
        <v>선배, 농부, 교사</v>
      </c>
      <c r="I41" s="7">
        <v>12.0</v>
      </c>
      <c r="J41" s="9" t="str">
        <f t="shared" si="2"/>
        <v>[조건]
- 문자 길이: 500-549 구간 내
- 턴 수: 45-49 구간 내
- 주제: 개발, 법률, 세무
- 톤: 단호하게, 초조하게, 신중하게
- 화자A: 조종사, 소방관, 호텔리어
- 화자B: 선배, 농부, 교사
- 생성 대화수: 12</v>
      </c>
    </row>
    <row r="42">
      <c r="A42" s="7" t="str">
        <f t="shared" si="1"/>
        <v>T_041_len_50-99_turn_0-4_count_5</v>
      </c>
      <c r="B42" s="8" t="s">
        <v>102</v>
      </c>
      <c r="C42" s="7" t="s">
        <v>43</v>
      </c>
      <c r="D42" s="8" t="s">
        <v>44</v>
      </c>
      <c r="E42" s="7" t="str">
        <f>IFERROR(__xludf.DUMMYFUNCTION("TEXTJOIN("", "", TRUE, SORTN(column_value!$A$2:$A$105, 3, 0, RANDARRAY(COUNTA(column_value!A:A), 1), 1))"),"드라이브, 클라우드, e스포츠")</f>
        <v>드라이브, 클라우드, e스포츠</v>
      </c>
      <c r="F42" s="7" t="str">
        <f>IFERROR(__xludf.DUMMYFUNCTION("TEXTJOIN("", "", TRUE, SORTN(column_value!$B$2:$B$105, 3, 0, RANDARRAY(COUNTA(column_value!B:B), 1), 1))"),"실망하며, 낙관적으로, 낭만적으로")</f>
        <v>실망하며, 낙관적으로, 낭만적으로</v>
      </c>
      <c r="G42" s="7" t="str">
        <f>IFERROR(__xludf.DUMMYFUNCTION("TEXTJOIN("", "", TRUE, SORTN(column_value!$C$2:$C$105, 3, 0, RANDARRAY(COUNTA(column_value!C:C), 1), 1))"),"신입사원, 점원, 선배")</f>
        <v>신입사원, 점원, 선배</v>
      </c>
      <c r="H42" s="7" t="str">
        <f>IFERROR(__xludf.DUMMYFUNCTION("TEXTJOIN("", "", TRUE, SORTN(column_value!$D$2:$D$105, 3, 0, RANDARRAY(COUNTA(column_value!D:D), 1), 1))"),"자영업자, 소방관, 선배")</f>
        <v>자영업자, 소방관, 선배</v>
      </c>
      <c r="I42" s="7">
        <v>5.0</v>
      </c>
      <c r="J42" s="9" t="str">
        <f t="shared" si="2"/>
        <v>[조건]
- 문자 길이: 50-99 구간 내
- 턴 수: 0-4 구간 내
- 주제: 드라이브, 클라우드, e스포츠
- 톤: 실망하며, 낙관적으로, 낭만적으로
- 화자A: 신입사원, 점원, 선배
- 화자B: 자영업자, 소방관, 선배
- 생성 대화수: 5</v>
      </c>
    </row>
    <row r="43">
      <c r="A43" s="7" t="str">
        <f t="shared" si="1"/>
        <v>T_042_len_100-149_turn_5-9_count_20</v>
      </c>
      <c r="B43" s="8" t="s">
        <v>103</v>
      </c>
      <c r="C43" s="7" t="s">
        <v>46</v>
      </c>
      <c r="D43" s="8" t="s">
        <v>47</v>
      </c>
      <c r="E43" s="7" t="str">
        <f>IFERROR(__xludf.DUMMYFUNCTION("TEXTJOIN("", "", TRUE, SORTN(column_value!$A$2:$A$105, 3, 0, RANDARRAY(COUNTA(column_value!A:A), 1), 1))"),"법률, 키보드, 경제")</f>
        <v>법률, 키보드, 경제</v>
      </c>
      <c r="F43" s="7" t="str">
        <f>IFERROR(__xludf.DUMMYFUNCTION("TEXTJOIN("", "", TRUE, SORTN(column_value!$B$2:$B$105, 3, 0, RANDARRAY(COUNTA(column_value!B:B), 1), 1))"),"꼼꼼하게, 냉정하게, 친근하게")</f>
        <v>꼼꼼하게, 냉정하게, 친근하게</v>
      </c>
      <c r="G43" s="7" t="str">
        <f>IFERROR(__xludf.DUMMYFUNCTION("TEXTJOIN("", "", TRUE, SORTN(column_value!$C$2:$C$105, 3, 0, RANDARRAY(COUNTA(column_value!C:C), 1), 1))"),"멘토, 회계사, 군대 선임")</f>
        <v>멘토, 회계사, 군대 선임</v>
      </c>
      <c r="H43" s="7" t="str">
        <f>IFERROR(__xludf.DUMMYFUNCTION("TEXTJOIN("", "", TRUE, SORTN(column_value!$D$2:$D$105, 3, 0, RANDARRAY(COUNTA(column_value!D:D), 1), 1))"),"여행가, 이웃, 변호사")</f>
        <v>여행가, 이웃, 변호사</v>
      </c>
      <c r="I43" s="7">
        <v>20.0</v>
      </c>
      <c r="J43" s="9" t="str">
        <f t="shared" si="2"/>
        <v>[조건]
- 문자 길이: 100-149 구간 내
- 턴 수: 5-9 구간 내
- 주제: 법률, 키보드, 경제
- 톤: 꼼꼼하게, 냉정하게, 친근하게
- 화자A: 멘토, 회계사, 군대 선임
- 화자B: 여행가, 이웃, 변호사
- 생성 대화수: 20</v>
      </c>
      <c r="K43" s="7" t="s">
        <v>104</v>
      </c>
    </row>
    <row r="44">
      <c r="A44" s="7" t="str">
        <f t="shared" si="1"/>
        <v>T_043_len_100-149_turn_5-9_count_20</v>
      </c>
      <c r="B44" s="8" t="s">
        <v>105</v>
      </c>
      <c r="C44" s="7" t="s">
        <v>46</v>
      </c>
      <c r="D44" s="8" t="s">
        <v>47</v>
      </c>
      <c r="E44" s="7" t="str">
        <f>IFERROR(__xludf.DUMMYFUNCTION("TEXTJOIN("", "", TRUE, SORTN(column_value!$A$2:$A$105, 3, 0, RANDARRAY(COUNTA(column_value!A:A), 1), 1))"),"제조업, 수산업, 인사")</f>
        <v>제조업, 수산업, 인사</v>
      </c>
      <c r="F44" s="7" t="str">
        <f>IFERROR(__xludf.DUMMYFUNCTION("TEXTJOIN("", "", TRUE, SORTN(column_value!$B$2:$B$105, 3, 0, RANDARRAY(COUNTA(column_value!B:B), 1), 1))"),"경쟁적으로, 재치있게, 낙천적으로")</f>
        <v>경쟁적으로, 재치있게, 낙천적으로</v>
      </c>
      <c r="G44" s="7" t="str">
        <f>IFERROR(__xludf.DUMMYFUNCTION("TEXTJOIN("", "", TRUE, SORTN(column_value!$C$2:$C$105, 3, 0, RANDARRAY(COUNTA(column_value!C:C), 1), 1))"),"유치원 교사, 약사, 프리랜서")</f>
        <v>유치원 교사, 약사, 프리랜서</v>
      </c>
      <c r="H44" s="7" t="str">
        <f>IFERROR(__xludf.DUMMYFUNCTION("TEXTJOIN("", "", TRUE, SORTN(column_value!$D$2:$D$105, 3, 0, RANDARRAY(COUNTA(column_value!D:D), 1), 1))"),"사육사, 군대 동기, 배우")</f>
        <v>사육사, 군대 동기, 배우</v>
      </c>
      <c r="I44" s="7">
        <v>20.0</v>
      </c>
      <c r="J44" s="9" t="str">
        <f t="shared" si="2"/>
        <v>[조건]
- 문자 길이: 100-149 구간 내
- 턴 수: 5-9 구간 내
- 주제: 제조업, 수산업, 인사
- 톤: 경쟁적으로, 재치있게, 낙천적으로
- 화자A: 유치원 교사, 약사, 프리랜서
- 화자B: 사육사, 군대 동기, 배우
- 생성 대화수: 20</v>
      </c>
      <c r="K44" s="7" t="s">
        <v>104</v>
      </c>
    </row>
    <row r="45">
      <c r="A45" s="7" t="str">
        <f t="shared" si="1"/>
        <v>T_044_len_100-149_turn_5-9_count_5</v>
      </c>
      <c r="B45" s="8" t="s">
        <v>106</v>
      </c>
      <c r="C45" s="7" t="s">
        <v>46</v>
      </c>
      <c r="D45" s="8" t="s">
        <v>47</v>
      </c>
      <c r="E45" s="7" t="str">
        <f>IFERROR(__xludf.DUMMYFUNCTION("TEXTJOIN("", "", TRUE, SORTN(column_value!$A$2:$A$105, 3, 0, RANDARRAY(COUNTA(column_value!A:A), 1), 1))"),"건축, 교통, 금융")</f>
        <v>건축, 교통, 금융</v>
      </c>
      <c r="F45" s="7" t="str">
        <f>IFERROR(__xludf.DUMMYFUNCTION("TEXTJOIN("", "", TRUE, SORTN(column_value!$B$2:$B$105, 3, 0, RANDARRAY(COUNTA(column_value!B:B), 1), 1))"),"애정을 담아, 포근하게, 정중하게")</f>
        <v>애정을 담아, 포근하게, 정중하게</v>
      </c>
      <c r="G45" s="7" t="str">
        <f>IFERROR(__xludf.DUMMYFUNCTION("TEXTJOIN("", "", TRUE, SORTN(column_value!$C$2:$C$105, 3, 0, RANDARRAY(COUNTA(column_value!C:C), 1), 1))"),"주부, 헬스 트레이너, 엔지니어")</f>
        <v>주부, 헬스 트레이너, 엔지니어</v>
      </c>
      <c r="H45" s="7" t="str">
        <f>IFERROR(__xludf.DUMMYFUNCTION("TEXTJOIN("", "", TRUE, SORTN(column_value!$D$2:$D$105, 3, 0, RANDARRAY(COUNTA(column_value!D:D), 1), 1))"),"네일 아티스트, 가수, 공무원")</f>
        <v>네일 아티스트, 가수, 공무원</v>
      </c>
      <c r="I45" s="7">
        <v>5.0</v>
      </c>
      <c r="J45" s="9" t="str">
        <f t="shared" si="2"/>
        <v>[조건]
- 문자 길이: 100-149 구간 내
- 턴 수: 5-9 구간 내
- 주제: 건축, 교통, 금융
- 톤: 애정을 담아, 포근하게, 정중하게
- 화자A: 주부, 헬스 트레이너, 엔지니어
- 화자B: 네일 아티스트, 가수, 공무원
- 생성 대화수: 5</v>
      </c>
      <c r="K45" s="7" t="s">
        <v>104</v>
      </c>
    </row>
    <row r="46">
      <c r="A46" s="7" t="str">
        <f t="shared" si="1"/>
        <v>T_045_len_150-199_turn_10-14_count_20</v>
      </c>
      <c r="B46" s="8" t="s">
        <v>107</v>
      </c>
      <c r="C46" s="7" t="s">
        <v>51</v>
      </c>
      <c r="D46" s="8" t="s">
        <v>52</v>
      </c>
      <c r="E46" s="7" t="str">
        <f>IFERROR(__xludf.DUMMYFUNCTION("TEXTJOIN("", "", TRUE, SORTN(column_value!$A$2:$A$105, 3, 0, RANDARRAY(COUNTA(column_value!A:A), 1), 1))"),"여행, 생명과학, 카페")</f>
        <v>여행, 생명과학, 카페</v>
      </c>
      <c r="F46" s="7" t="str">
        <f>IFERROR(__xludf.DUMMYFUNCTION("TEXTJOIN("", "", TRUE, SORTN(column_value!$B$2:$B$105, 3, 0, RANDARRAY(COUNTA(column_value!B:B), 1), 1))"),"겸손하게, 진지하게, 중립적으로")</f>
        <v>겸손하게, 진지하게, 중립적으로</v>
      </c>
      <c r="G46" s="7" t="str">
        <f>IFERROR(__xludf.DUMMYFUNCTION("TEXTJOIN("", "", TRUE, SORTN(column_value!$C$2:$C$105, 3, 0, RANDARRAY(COUNTA(column_value!C:C), 1), 1))"),"가수, 주니어, 승무원")</f>
        <v>가수, 주니어, 승무원</v>
      </c>
      <c r="H46" s="7" t="str">
        <f>IFERROR(__xludf.DUMMYFUNCTION("TEXTJOIN("", "", TRUE, SORTN(column_value!$D$2:$D$105, 3, 0, RANDARRAY(COUNTA(column_value!D:D), 1), 1))"),"명상가, 가이드, 탐정")</f>
        <v>명상가, 가이드, 탐정</v>
      </c>
      <c r="I46" s="7">
        <v>20.0</v>
      </c>
      <c r="J46" s="9" t="str">
        <f t="shared" si="2"/>
        <v>[조건]
- 문자 길이: 150-199 구간 내
- 턴 수: 10-14 구간 내
- 주제: 여행, 생명과학, 카페
- 톤: 겸손하게, 진지하게, 중립적으로
- 화자A: 가수, 주니어, 승무원
- 화자B: 명상가, 가이드, 탐정
- 생성 대화수: 20</v>
      </c>
    </row>
    <row r="47">
      <c r="A47" s="7" t="str">
        <f t="shared" si="1"/>
        <v>T_046_len_150-199_turn_10-14_count_20</v>
      </c>
      <c r="B47" s="8" t="s">
        <v>108</v>
      </c>
      <c r="C47" s="7" t="s">
        <v>51</v>
      </c>
      <c r="D47" s="8" t="s">
        <v>52</v>
      </c>
      <c r="E47" s="7" t="str">
        <f>IFERROR(__xludf.DUMMYFUNCTION("TEXTJOIN("", "", TRUE, SORTN(column_value!$A$2:$A$105, 3, 0, RANDARRAY(COUNTA(column_value!A:A), 1), 1))"),"여행, 글쓰기, 철학")</f>
        <v>여행, 글쓰기, 철학</v>
      </c>
      <c r="F47" s="7" t="str">
        <f>IFERROR(__xludf.DUMMYFUNCTION("TEXTJOIN("", "", TRUE, SORTN(column_value!$B$2:$B$105, 3, 0, RANDARRAY(COUNTA(column_value!B:B), 1), 1))"),"혁신적으로, 엄격하게, 경쾌하게")</f>
        <v>혁신적으로, 엄격하게, 경쾌하게</v>
      </c>
      <c r="G47" s="7" t="str">
        <f>IFERROR(__xludf.DUMMYFUNCTION("TEXTJOIN("", "", TRUE, SORTN(column_value!$C$2:$C$105, 3, 0, RANDARRAY(COUNTA(column_value!C:C), 1), 1))"),"군대 동기, 과학자, 수의사")</f>
        <v>군대 동기, 과학자, 수의사</v>
      </c>
      <c r="H47" s="7" t="str">
        <f>IFERROR(__xludf.DUMMYFUNCTION("TEXTJOIN("", "", TRUE, SORTN(column_value!$D$2:$D$105, 3, 0, RANDARRAY(COUNTA(column_value!D:D), 1), 1))"),"유치원 교사, 네일 아티스트, 운동선수")</f>
        <v>유치원 교사, 네일 아티스트, 운동선수</v>
      </c>
      <c r="I47" s="7">
        <v>20.0</v>
      </c>
      <c r="J47" s="9" t="str">
        <f t="shared" si="2"/>
        <v>[조건]
- 문자 길이: 150-199 구간 내
- 턴 수: 10-14 구간 내
- 주제: 여행, 글쓰기, 철학
- 톤: 혁신적으로, 엄격하게, 경쾌하게
- 화자A: 군대 동기, 과학자, 수의사
- 화자B: 유치원 교사, 네일 아티스트, 운동선수
- 생성 대화수: 20</v>
      </c>
    </row>
    <row r="48">
      <c r="A48" s="7" t="str">
        <f t="shared" si="1"/>
        <v>T_047_len_150-199_turn_10-14_count_20</v>
      </c>
      <c r="B48" s="8" t="s">
        <v>109</v>
      </c>
      <c r="C48" s="7" t="s">
        <v>51</v>
      </c>
      <c r="D48" s="8" t="s">
        <v>52</v>
      </c>
      <c r="E48" s="7" t="str">
        <f>IFERROR(__xludf.DUMMYFUNCTION("TEXTJOIN("", "", TRUE, SORTN(column_value!$A$2:$A$105, 3, 0, RANDARRAY(COUNTA(column_value!A:A), 1), 1))"),"마케팅, 인사, 수학")</f>
        <v>마케팅, 인사, 수학</v>
      </c>
      <c r="F48" s="7" t="str">
        <f>IFERROR(__xludf.DUMMYFUNCTION("TEXTJOIN("", "", TRUE, SORTN(column_value!$B$2:$B$105, 3, 0, RANDARRAY(COUNTA(column_value!B:B), 1), 1))"),"공격적으로, 주도적으로, 유머러스하게")</f>
        <v>공격적으로, 주도적으로, 유머러스하게</v>
      </c>
      <c r="G48" s="7" t="str">
        <f>IFERROR(__xludf.DUMMYFUNCTION("TEXTJOIN("", "", TRUE, SORTN(column_value!$C$2:$C$105, 3, 0, RANDARRAY(COUNTA(column_value!C:C), 1), 1))"),"과학자, 군대 후임, 예술가")</f>
        <v>과학자, 군대 후임, 예술가</v>
      </c>
      <c r="H48" s="7" t="str">
        <f>IFERROR(__xludf.DUMMYFUNCTION("TEXTJOIN("", "", TRUE, SORTN(column_value!$D$2:$D$105, 3, 0, RANDARRAY(COUNTA(column_value!D:D), 1), 1))"),"연구원, 만화가, 정치인")</f>
        <v>연구원, 만화가, 정치인</v>
      </c>
      <c r="I48" s="7">
        <v>20.0</v>
      </c>
      <c r="J48" s="9" t="str">
        <f t="shared" si="2"/>
        <v>[조건]
- 문자 길이: 150-199 구간 내
- 턴 수: 10-14 구간 내
- 주제: 마케팅, 인사, 수학
- 톤: 공격적으로, 주도적으로, 유머러스하게
- 화자A: 과학자, 군대 후임, 예술가
- 화자B: 연구원, 만화가, 정치인
- 생성 대화수: 20</v>
      </c>
    </row>
    <row r="49">
      <c r="A49" s="7" t="str">
        <f t="shared" si="1"/>
        <v>T_048_len_150-199_turn_10-14_count_20</v>
      </c>
      <c r="B49" s="8" t="s">
        <v>110</v>
      </c>
      <c r="C49" s="7" t="s">
        <v>51</v>
      </c>
      <c r="D49" s="8" t="s">
        <v>52</v>
      </c>
      <c r="E49" s="7" t="str">
        <f>IFERROR(__xludf.DUMMYFUNCTION("TEXTJOIN("", "", TRUE, SORTN(column_value!$A$2:$A$105, 3, 0, RANDARRAY(COUNTA(column_value!A:A), 1), 1))"),"날씨, 운동, 해양")</f>
        <v>날씨, 운동, 해양</v>
      </c>
      <c r="F49" s="7" t="str">
        <f>IFERROR(__xludf.DUMMYFUNCTION("TEXTJOIN("", "", TRUE, SORTN(column_value!$B$2:$B$105, 3, 0, RANDARRAY(COUNTA(column_value!B:B), 1), 1))"),"순수하게, 간절하게, 냉소적으로")</f>
        <v>순수하게, 간절하게, 냉소적으로</v>
      </c>
      <c r="G49" s="7" t="str">
        <f>IFERROR(__xludf.DUMMYFUNCTION("TEXTJOIN("", "", TRUE, SORTN(column_value!$C$2:$C$105, 3, 0, RANDARRAY(COUNTA(column_value!C:C), 1), 1))"),"작가, 수의사, 스님")</f>
        <v>작가, 수의사, 스님</v>
      </c>
      <c r="H49" s="7" t="str">
        <f>IFERROR(__xludf.DUMMYFUNCTION("TEXTJOIN("", "", TRUE, SORTN(column_value!$D$2:$D$105, 3, 0, RANDARRAY(COUNTA(column_value!D:D), 1), 1))"),"고등학생, 상담사, 신부")</f>
        <v>고등학생, 상담사, 신부</v>
      </c>
      <c r="I49" s="7">
        <v>20.0</v>
      </c>
      <c r="J49" s="9" t="str">
        <f t="shared" si="2"/>
        <v>[조건]
- 문자 길이: 150-199 구간 내
- 턴 수: 10-14 구간 내
- 주제: 날씨, 운동, 해양
- 톤: 순수하게, 간절하게, 냉소적으로
- 화자A: 작가, 수의사, 스님
- 화자B: 고등학생, 상담사, 신부
- 생성 대화수: 20</v>
      </c>
    </row>
    <row r="50">
      <c r="A50" s="7" t="str">
        <f t="shared" si="1"/>
        <v>T_049_len_150-199_turn_10-14_count_6</v>
      </c>
      <c r="B50" s="8" t="s">
        <v>111</v>
      </c>
      <c r="C50" s="7" t="s">
        <v>51</v>
      </c>
      <c r="D50" s="8" t="s">
        <v>52</v>
      </c>
      <c r="E50" s="7" t="str">
        <f>IFERROR(__xludf.DUMMYFUNCTION("TEXTJOIN("", "", TRUE, SORTN(column_value!$A$2:$A$105, 3, 0, RANDARRAY(COUNTA(column_value!A:A), 1), 1))"),"우주, AI, 이별")</f>
        <v>우주, AI, 이별</v>
      </c>
      <c r="F50" s="7" t="str">
        <f>IFERROR(__xludf.DUMMYFUNCTION("TEXTJOIN("", "", TRUE, SORTN(column_value!$B$2:$B$105, 3, 0, RANDARRAY(COUNTA(column_value!B:B), 1), 1))"),"순수하게, 겸허하게, 실망하며")</f>
        <v>순수하게, 겸허하게, 실망하며</v>
      </c>
      <c r="G50" s="7" t="str">
        <f>IFERROR(__xludf.DUMMYFUNCTION("TEXTJOIN("", "", TRUE, SORTN(column_value!$C$2:$C$105, 3, 0, RANDARRAY(COUNTA(column_value!C:C), 1), 1))"),"상담사, 집주인, 미용사")</f>
        <v>상담사, 집주인, 미용사</v>
      </c>
      <c r="H50" s="7" t="str">
        <f>IFERROR(__xludf.DUMMYFUNCTION("TEXTJOIN("", "", TRUE, SORTN(column_value!$D$2:$D$105, 3, 0, RANDARRAY(COUNTA(column_value!D:D), 1), 1))"),"필라테스 강사, 사업가, 대학생")</f>
        <v>필라테스 강사, 사업가, 대학생</v>
      </c>
      <c r="I50" s="7">
        <v>6.0</v>
      </c>
      <c r="J50" s="9" t="str">
        <f t="shared" si="2"/>
        <v>[조건]
- 문자 길이: 150-199 구간 내
- 턴 수: 10-14 구간 내
- 주제: 우주, AI, 이별
- 톤: 순수하게, 겸허하게, 실망하며
- 화자A: 상담사, 집주인, 미용사
- 화자B: 필라테스 강사, 사업가, 대학생
- 생성 대화수: 6</v>
      </c>
    </row>
    <row r="51">
      <c r="A51" s="7" t="str">
        <f t="shared" si="1"/>
        <v>T_050_len_200-249_turn_15-19_count_20</v>
      </c>
      <c r="B51" s="8" t="s">
        <v>112</v>
      </c>
      <c r="C51" s="7" t="s">
        <v>58</v>
      </c>
      <c r="D51" s="8" t="s">
        <v>59</v>
      </c>
      <c r="E51" s="7" t="str">
        <f>IFERROR(__xludf.DUMMYFUNCTION("TEXTJOIN("", "", TRUE, SORTN(column_value!$A$2:$A$105, 3, 0, RANDARRAY(COUNTA(column_value!A:A), 1), 1))"),"명상, 물류, 군사")</f>
        <v>명상, 물류, 군사</v>
      </c>
      <c r="F51" s="7" t="str">
        <f>IFERROR(__xludf.DUMMYFUNCTION("TEXTJOIN("", "", TRUE, SORTN(column_value!$B$2:$B$105, 3, 0, RANDARRAY(COUNTA(column_value!B:B), 1), 1))"),"안타깝게, 차갑게, 비웃듯이")</f>
        <v>안타깝게, 차갑게, 비웃듯이</v>
      </c>
      <c r="G51" s="7" t="str">
        <f>IFERROR(__xludf.DUMMYFUNCTION("TEXTJOIN("", "", TRUE, SORTN(column_value!$C$2:$C$105, 3, 0, RANDARRAY(COUNTA(column_value!C:C), 1), 1))"),"바리스타, 군인, 집주인")</f>
        <v>바리스타, 군인, 집주인</v>
      </c>
      <c r="H51" s="7" t="str">
        <f>IFERROR(__xludf.DUMMYFUNCTION("TEXTJOIN("", "", TRUE, SORTN(column_value!$D$2:$D$105, 3, 0, RANDARRAY(COUNTA(column_value!D:D), 1), 1))"),"친구, 소방관, 후배")</f>
        <v>친구, 소방관, 후배</v>
      </c>
      <c r="I51" s="7">
        <v>20.0</v>
      </c>
      <c r="J51" s="9" t="str">
        <f t="shared" si="2"/>
        <v>[조건]
- 문자 길이: 200-249 구간 내
- 턴 수: 15-19 구간 내
- 주제: 명상, 물류, 군사
- 톤: 안타깝게, 차갑게, 비웃듯이
- 화자A: 바리스타, 군인, 집주인
- 화자B: 친구, 소방관, 후배
- 생성 대화수: 20</v>
      </c>
    </row>
    <row r="52">
      <c r="A52" s="7" t="str">
        <f t="shared" si="1"/>
        <v>T_051_len_200-249_turn_15-19_count_20</v>
      </c>
      <c r="B52" s="8" t="s">
        <v>113</v>
      </c>
      <c r="C52" s="7" t="s">
        <v>58</v>
      </c>
      <c r="D52" s="8" t="s">
        <v>59</v>
      </c>
      <c r="E52" s="7" t="str">
        <f>IFERROR(__xludf.DUMMYFUNCTION("TEXTJOIN("", "", TRUE, SORTN(column_value!$A$2:$A$105, 3, 0, RANDARRAY(COUNTA(column_value!A:A), 1), 1))"),"AI, 로봇, 과학")</f>
        <v>AI, 로봇, 과학</v>
      </c>
      <c r="F52" s="7" t="str">
        <f>IFERROR(__xludf.DUMMYFUNCTION("TEXTJOIN("", "", TRUE, SORTN(column_value!$B$2:$B$105, 3, 0, RANDARRAY(COUNTA(column_value!B:B), 1), 1))"),"재치있게, 감탄하며, 귀여워하며")</f>
        <v>재치있게, 감탄하며, 귀여워하며</v>
      </c>
      <c r="G52" s="7" t="str">
        <f>IFERROR(__xludf.DUMMYFUNCTION("TEXTJOIN("", "", TRUE, SORTN(column_value!$C$2:$C$105, 3, 0, RANDARRAY(COUNTA(column_value!C:C), 1), 1))"),"승무원, 종교인, 통역사")</f>
        <v>승무원, 종교인, 통역사</v>
      </c>
      <c r="H52" s="7" t="str">
        <f>IFERROR(__xludf.DUMMYFUNCTION("TEXTJOIN("", "", TRUE, SORTN(column_value!$D$2:$D$105, 3, 0, RANDARRAY(COUNTA(column_value!D:D), 1), 1))"),"심리치료사, 소설 작가, 응급구조사")</f>
        <v>심리치료사, 소설 작가, 응급구조사</v>
      </c>
      <c r="I52" s="7">
        <v>20.0</v>
      </c>
      <c r="J52" s="9" t="str">
        <f t="shared" si="2"/>
        <v>[조건]
- 문자 길이: 200-249 구간 내
- 턴 수: 15-19 구간 내
- 주제: AI, 로봇, 과학
- 톤: 재치있게, 감탄하며, 귀여워하며
- 화자A: 승무원, 종교인, 통역사
- 화자B: 심리치료사, 소설 작가, 응급구조사
- 생성 대화수: 20</v>
      </c>
    </row>
    <row r="53">
      <c r="A53" s="7" t="str">
        <f t="shared" si="1"/>
        <v>T_052_len_200-249_turn_15-19_count_20</v>
      </c>
      <c r="B53" s="8" t="s">
        <v>114</v>
      </c>
      <c r="C53" s="7" t="s">
        <v>58</v>
      </c>
      <c r="D53" s="8" t="s">
        <v>59</v>
      </c>
      <c r="E53" s="7" t="str">
        <f>IFERROR(__xludf.DUMMYFUNCTION("TEXTJOIN("", "", TRUE, SORTN(column_value!$A$2:$A$105, 3, 0, RANDARRAY(COUNTA(column_value!A:A), 1), 1))"),"술, 연애, 쇼핑")</f>
        <v>술, 연애, 쇼핑</v>
      </c>
      <c r="F53" s="7" t="str">
        <f>IFERROR(__xludf.DUMMYFUNCTION("TEXTJOIN("", "", TRUE, SORTN(column_value!$B$2:$B$105, 3, 0, RANDARRAY(COUNTA(column_value!B:B), 1), 1))"),"안타깝게, 열정적으로, 경쟁적으로")</f>
        <v>안타깝게, 열정적으로, 경쟁적으로</v>
      </c>
      <c r="G53" s="7" t="str">
        <f>IFERROR(__xludf.DUMMYFUNCTION("TEXTJOIN("", "", TRUE, SORTN(column_value!$C$2:$C$105, 3, 0, RANDARRAY(COUNTA(column_value!C:C), 1), 1))"),"필라테스 강사, 시니어, 연구원")</f>
        <v>필라테스 강사, 시니어, 연구원</v>
      </c>
      <c r="H53" s="7" t="str">
        <f>IFERROR(__xludf.DUMMYFUNCTION("TEXTJOIN("", "", TRUE, SORTN(column_value!$D$2:$D$105, 3, 0, RANDARRAY(COUNTA(column_value!D:D), 1), 1))"),"후배, 프리랜서, 신부")</f>
        <v>후배, 프리랜서, 신부</v>
      </c>
      <c r="I53" s="7">
        <v>20.0</v>
      </c>
      <c r="J53" s="9" t="str">
        <f t="shared" si="2"/>
        <v>[조건]
- 문자 길이: 200-249 구간 내
- 턴 수: 15-19 구간 내
- 주제: 술, 연애, 쇼핑
- 톤: 안타깝게, 열정적으로, 경쟁적으로
- 화자A: 필라테스 강사, 시니어, 연구원
- 화자B: 후배, 프리랜서, 신부
- 생성 대화수: 20</v>
      </c>
    </row>
    <row r="54">
      <c r="A54" s="7" t="str">
        <f t="shared" si="1"/>
        <v>T_053_len_200-249_turn_15-19_count_9</v>
      </c>
      <c r="B54" s="8" t="s">
        <v>115</v>
      </c>
      <c r="C54" s="7" t="s">
        <v>58</v>
      </c>
      <c r="D54" s="8" t="s">
        <v>59</v>
      </c>
      <c r="E54" s="7" t="str">
        <f>IFERROR(__xludf.DUMMYFUNCTION("TEXTJOIN("", "", TRUE, SORTN(column_value!$A$2:$A$105, 3, 0, RANDARRAY(COUNTA(column_value!A:A), 1), 1))"),"건축, 카페, 취미")</f>
        <v>건축, 카페, 취미</v>
      </c>
      <c r="F54" s="7" t="str">
        <f>IFERROR(__xludf.DUMMYFUNCTION("TEXTJOIN("", "", TRUE, SORTN(column_value!$B$2:$B$105, 3, 0, RANDARRAY(COUNTA(column_value!B:B), 1), 1))"),"공격적으로, 겸손하게, 당황하며")</f>
        <v>공격적으로, 겸손하게, 당황하며</v>
      </c>
      <c r="G54" s="7" t="str">
        <f>IFERROR(__xludf.DUMMYFUNCTION("TEXTJOIN("", "", TRUE, SORTN(column_value!$C$2:$C$105, 3, 0, RANDARRAY(COUNTA(column_value!C:C), 1), 1))"),"신혼부부, 점원, 소설 작가")</f>
        <v>신혼부부, 점원, 소설 작가</v>
      </c>
      <c r="H54" s="7" t="str">
        <f>IFERROR(__xludf.DUMMYFUNCTION("TEXTJOIN("", "", TRUE, SORTN(column_value!$D$2:$D$105, 3, 0, RANDARRAY(COUNTA(column_value!D:D), 1), 1))"),"택시 기사, CEO, 만화가")</f>
        <v>택시 기사, CEO, 만화가</v>
      </c>
      <c r="I54" s="7">
        <v>9.0</v>
      </c>
      <c r="J54" s="9" t="str">
        <f t="shared" si="2"/>
        <v>[조건]
- 문자 길이: 200-249 구간 내
- 턴 수: 15-19 구간 내
- 주제: 건축, 카페, 취미
- 톤: 공격적으로, 겸손하게, 당황하며
- 화자A: 신혼부부, 점원, 소설 작가
- 화자B: 택시 기사, CEO, 만화가
- 생성 대화수: 9</v>
      </c>
    </row>
    <row r="55">
      <c r="A55" s="7" t="str">
        <f t="shared" si="1"/>
        <v>T_054_len_250-299_turn_20-24_count_20</v>
      </c>
      <c r="B55" s="8" t="s">
        <v>116</v>
      </c>
      <c r="C55" s="7" t="s">
        <v>64</v>
      </c>
      <c r="D55" s="8" t="s">
        <v>65</v>
      </c>
      <c r="E55" s="7" t="str">
        <f>IFERROR(__xludf.DUMMYFUNCTION("TEXTJOIN("", "", TRUE, SORTN(column_value!$A$2:$A$105, 3, 0, RANDARRAY(COUNTA(column_value!A:A), 1), 1))"),"회계, 사회, 피아노")</f>
        <v>회계, 사회, 피아노</v>
      </c>
      <c r="F55" s="7" t="str">
        <f>IFERROR(__xludf.DUMMYFUNCTION("TEXTJOIN("", "", TRUE, SORTN(column_value!$B$2:$B$105, 3, 0, RANDARRAY(COUNTA(column_value!B:B), 1), 1))"),"차갑게, 부드럽게, 진지하게")</f>
        <v>차갑게, 부드럽게, 진지하게</v>
      </c>
      <c r="G55" s="7" t="str">
        <f>IFERROR(__xludf.DUMMYFUNCTION("TEXTJOIN("", "", TRUE, SORTN(column_value!$C$2:$C$105, 3, 0, RANDARRAY(COUNTA(column_value!C:C), 1), 1))"),"과학자, 스님, 사업가")</f>
        <v>과학자, 스님, 사업가</v>
      </c>
      <c r="H55" s="7" t="str">
        <f>IFERROR(__xludf.DUMMYFUNCTION("TEXTJOIN("", "", TRUE, SORTN(column_value!$D$2:$D$105, 3, 0, RANDARRAY(COUNTA(column_value!D:D), 1), 1))"),"소설 작가, 음악가, 소방관")</f>
        <v>소설 작가, 음악가, 소방관</v>
      </c>
      <c r="I55" s="7">
        <v>20.0</v>
      </c>
      <c r="J55" s="9" t="str">
        <f t="shared" si="2"/>
        <v>[조건]
- 문자 길이: 250-299 구간 내
- 턴 수: 20-24 구간 내
- 주제: 회계, 사회, 피아노
- 톤: 차갑게, 부드럽게, 진지하게
- 화자A: 과학자, 스님, 사업가
- 화자B: 소설 작가, 음악가, 소방관
- 생성 대화수: 20</v>
      </c>
    </row>
    <row r="56">
      <c r="A56" s="7" t="str">
        <f t="shared" si="1"/>
        <v>T_055_len_250-299_turn_20-24_count_18</v>
      </c>
      <c r="B56" s="8" t="s">
        <v>117</v>
      </c>
      <c r="C56" s="7" t="s">
        <v>64</v>
      </c>
      <c r="D56" s="8" t="s">
        <v>65</v>
      </c>
      <c r="E56" s="7" t="str">
        <f>IFERROR(__xludf.DUMMYFUNCTION("TEXTJOIN("", "", TRUE, SORTN(column_value!$A$2:$A$105, 3, 0, RANDARRAY(COUNTA(column_value!A:A), 1), 1))"),"스포츠, 뉴스, 술")</f>
        <v>스포츠, 뉴스, 술</v>
      </c>
      <c r="F56" s="7" t="str">
        <f>IFERROR(__xludf.DUMMYFUNCTION("TEXTJOIN("", "", TRUE, SORTN(column_value!$B$2:$B$105, 3, 0, RANDARRAY(COUNTA(column_value!B:B), 1), 1))"),"놀라며, 시니컬하게, 부드럽게")</f>
        <v>놀라며, 시니컬하게, 부드럽게</v>
      </c>
      <c r="G56" s="7" t="str">
        <f>IFERROR(__xludf.DUMMYFUNCTION("TEXTJOIN("", "", TRUE, SORTN(column_value!$C$2:$C$105, 3, 0, RANDARRAY(COUNTA(column_value!C:C), 1), 1))"),"헬스 트레이너, 주부, 음악가")</f>
        <v>헬스 트레이너, 주부, 음악가</v>
      </c>
      <c r="H56" s="7" t="str">
        <f>IFERROR(__xludf.DUMMYFUNCTION("TEXTJOIN("", "", TRUE, SORTN(column_value!$D$2:$D$105, 3, 0, RANDARRAY(COUNTA(column_value!D:D), 1), 1))"),"유튜버, 라이벌, 어부")</f>
        <v>유튜버, 라이벌, 어부</v>
      </c>
      <c r="I56" s="7">
        <v>18.0</v>
      </c>
      <c r="J56" s="9" t="str">
        <f t="shared" si="2"/>
        <v>[조건]
- 문자 길이: 250-299 구간 내
- 턴 수: 20-24 구간 내
- 주제: 스포츠, 뉴스, 술
- 톤: 놀라며, 시니컬하게, 부드럽게
- 화자A: 헬스 트레이너, 주부, 음악가
- 화자B: 유튜버, 라이벌, 어부
- 생성 대화수: 18</v>
      </c>
    </row>
    <row r="57">
      <c r="A57" s="7" t="str">
        <f t="shared" si="1"/>
        <v>T_056_len_300-349_turn_25-29_count_20</v>
      </c>
      <c r="B57" s="8" t="s">
        <v>118</v>
      </c>
      <c r="C57" s="7" t="s">
        <v>68</v>
      </c>
      <c r="D57" s="8" t="s">
        <v>69</v>
      </c>
      <c r="E57" s="7" t="str">
        <f>IFERROR(__xludf.DUMMYFUNCTION("TEXTJOIN("", "", TRUE, SORTN(column_value!$A$2:$A$105, 3, 0, RANDARRAY(COUNTA(column_value!A:A), 1), 1))"),"제조업, e스포츠, 제약")</f>
        <v>제조업, e스포츠, 제약</v>
      </c>
      <c r="F57" s="7" t="str">
        <f>IFERROR(__xludf.DUMMYFUNCTION("TEXTJOIN("", "", TRUE, SORTN(column_value!$B$2:$B$105, 3, 0, RANDARRAY(COUNTA(column_value!B:B), 1), 1))"),"감성적으로, 무관심하게, 냉담하게")</f>
        <v>감성적으로, 무관심하게, 냉담하게</v>
      </c>
      <c r="G57" s="7" t="str">
        <f>IFERROR(__xludf.DUMMYFUNCTION("TEXTJOIN("", "", TRUE, SORTN(column_value!$C$2:$C$105, 3, 0, RANDARRAY(COUNTA(column_value!C:C), 1), 1))"),"대학생, 멘티, 사회복지사")</f>
        <v>대학생, 멘티, 사회복지사</v>
      </c>
      <c r="H57" s="7" t="str">
        <f>IFERROR(__xludf.DUMMYFUNCTION("TEXTJOIN("", "", TRUE, SORTN(column_value!$D$2:$D$105, 3, 0, RANDARRAY(COUNTA(column_value!D:D), 1), 1))"),"미용사, 소설 작가, 개발자")</f>
        <v>미용사, 소설 작가, 개발자</v>
      </c>
      <c r="I57" s="7">
        <v>20.0</v>
      </c>
      <c r="J57" s="9" t="str">
        <f t="shared" si="2"/>
        <v>[조건]
- 문자 길이: 300-349 구간 내
- 턴 수: 25-29 구간 내
- 주제: 제조업, e스포츠, 제약
- 톤: 감성적으로, 무관심하게, 냉담하게
- 화자A: 대학생, 멘티, 사회복지사
- 화자B: 미용사, 소설 작가, 개발자
- 생성 대화수: 20</v>
      </c>
    </row>
    <row r="58">
      <c r="A58" s="7" t="str">
        <f t="shared" si="1"/>
        <v>T_057_len_350-399_turn_30-34_count_13</v>
      </c>
      <c r="B58" s="8" t="s">
        <v>119</v>
      </c>
      <c r="C58" s="7" t="s">
        <v>71</v>
      </c>
      <c r="D58" s="8" t="s">
        <v>72</v>
      </c>
      <c r="E58" s="7" t="str">
        <f>IFERROR(__xludf.DUMMYFUNCTION("TEXTJOIN("", "", TRUE, SORTN(column_value!$A$2:$A$105, 3, 0, RANDARRAY(COUNTA(column_value!A:A), 1), 1))"),"철학, 자동차, 부동산")</f>
        <v>철학, 자동차, 부동산</v>
      </c>
      <c r="F58" s="7" t="str">
        <f>IFERROR(__xludf.DUMMYFUNCTION("TEXTJOIN("", "", TRUE, SORTN(column_value!$B$2:$B$105, 3, 0, RANDARRAY(COUNTA(column_value!B:B), 1), 1))"),"궁금해하며, 격식없이, 냉담하게")</f>
        <v>궁금해하며, 격식없이, 냉담하게</v>
      </c>
      <c r="G58" s="7" t="str">
        <f>IFERROR(__xludf.DUMMYFUNCTION("TEXTJOIN("", "", TRUE, SORTN(column_value!$C$2:$C$105, 3, 0, RANDARRAY(COUNTA(column_value!C:C), 1), 1))"),"종교인, 가수, 버스 기사")</f>
        <v>종교인, 가수, 버스 기사</v>
      </c>
      <c r="H58" s="7" t="str">
        <f>IFERROR(__xludf.DUMMYFUNCTION("TEXTJOIN("", "", TRUE, SORTN(column_value!$D$2:$D$105, 3, 0, RANDARRAY(COUNTA(column_value!D:D), 1), 1))"),"연구원, 모델, 건축가")</f>
        <v>연구원, 모델, 건축가</v>
      </c>
      <c r="I58" s="7">
        <v>13.0</v>
      </c>
      <c r="J58" s="9" t="str">
        <f t="shared" si="2"/>
        <v>[조건]
- 문자 길이: 350-399 구간 내
- 턴 수: 30-34 구간 내
- 주제: 철학, 자동차, 부동산
- 톤: 궁금해하며, 격식없이, 냉담하게
- 화자A: 종교인, 가수, 버스 기사
- 화자B: 연구원, 모델, 건축가
- 생성 대화수: 13</v>
      </c>
    </row>
    <row r="59">
      <c r="A59" s="7" t="str">
        <f t="shared" si="1"/>
        <v>T_058_len_400-449_turn_35-39_count_7</v>
      </c>
      <c r="B59" s="8" t="s">
        <v>120</v>
      </c>
      <c r="C59" s="7" t="s">
        <v>74</v>
      </c>
      <c r="D59" s="8" t="s">
        <v>75</v>
      </c>
      <c r="E59" s="7" t="str">
        <f>IFERROR(__xludf.DUMMYFUNCTION("TEXTJOIN("", "", TRUE, SORTN(column_value!$A$2:$A$105, 3, 0, RANDARRAY(COUNTA(column_value!A:A), 1), 1))"),"직업, e스포츠, 빅데이터")</f>
        <v>직업, e스포츠, 빅데이터</v>
      </c>
      <c r="F59" s="7" t="str">
        <f>IFERROR(__xludf.DUMMYFUNCTION("TEXTJOIN("", "", TRUE, SORTN(column_value!$B$2:$B$105, 3, 0, RANDARRAY(COUNTA(column_value!B:B), 1), 1))"),"경쟁적으로, 우아하게, 위트있게")</f>
        <v>경쟁적으로, 우아하게, 위트있게</v>
      </c>
      <c r="G59" s="7" t="str">
        <f>IFERROR(__xludf.DUMMYFUNCTION("TEXTJOIN("", "", TRUE, SORTN(column_value!$C$2:$C$105, 3, 0, RANDARRAY(COUNTA(column_value!C:C), 1), 1))"),"세입자, 명상가, 요리사")</f>
        <v>세입자, 명상가, 요리사</v>
      </c>
      <c r="H59" s="7" t="str">
        <f>IFERROR(__xludf.DUMMYFUNCTION("TEXTJOIN("", "", TRUE, SORTN(column_value!$D$2:$D$105, 3, 0, RANDARRAY(COUNTA(column_value!D:D), 1), 1))"),"종교인, 신입사원, 군대 동기")</f>
        <v>종교인, 신입사원, 군대 동기</v>
      </c>
      <c r="I59" s="7">
        <v>7.0</v>
      </c>
      <c r="J59" s="9" t="str">
        <f t="shared" si="2"/>
        <v>[조건]
- 문자 길이: 400-449 구간 내
- 턴 수: 35-39 구간 내
- 주제: 직업, e스포츠, 빅데이터
- 톤: 경쟁적으로, 우아하게, 위트있게
- 화자A: 세입자, 명상가, 요리사
- 화자B: 종교인, 신입사원, 군대 동기
- 생성 대화수: 7</v>
      </c>
    </row>
    <row r="60">
      <c r="A60" s="7" t="str">
        <f t="shared" si="1"/>
        <v>T_059_len_450-499_turn_40-44_count_5</v>
      </c>
      <c r="B60" s="8" t="s">
        <v>121</v>
      </c>
      <c r="C60" s="7" t="s">
        <v>77</v>
      </c>
      <c r="D60" s="8" t="s">
        <v>78</v>
      </c>
      <c r="E60" s="7" t="str">
        <f>IFERROR(__xludf.DUMMYFUNCTION("TEXTJOIN("", "", TRUE, SORTN(column_value!$A$2:$A$105, 3, 0, RANDARRAY(COUNTA(column_value!A:A), 1), 1))"),"반려동물, 음악, 항공")</f>
        <v>반려동물, 음악, 항공</v>
      </c>
      <c r="F60" s="7" t="str">
        <f>IFERROR(__xludf.DUMMYFUNCTION("TEXTJOIN("", "", TRUE, SORTN(column_value!$B$2:$B$105, 3, 0, RANDARRAY(COUNTA(column_value!B:B), 1), 1))"),"기쁘게, 포근하게, 진지하게")</f>
        <v>기쁘게, 포근하게, 진지하게</v>
      </c>
      <c r="G60" s="7" t="str">
        <f>IFERROR(__xludf.DUMMYFUNCTION("TEXTJOIN("", "", TRUE, SORTN(column_value!$C$2:$C$105, 3, 0, RANDARRAY(COUNTA(column_value!C:C), 1), 1))"),"미용사, 번역가, 군인")</f>
        <v>미용사, 번역가, 군인</v>
      </c>
      <c r="H60" s="7" t="str">
        <f>IFERROR(__xludf.DUMMYFUNCTION("TEXTJOIN("", "", TRUE, SORTN(column_value!$D$2:$D$105, 3, 0, RANDARRAY(COUNTA(column_value!D:D), 1), 1))"),"수의사, 과학자, 프리랜서")</f>
        <v>수의사, 과학자, 프리랜서</v>
      </c>
      <c r="I60" s="7">
        <v>5.0</v>
      </c>
      <c r="J60" s="9" t="str">
        <f t="shared" si="2"/>
        <v>[조건]
- 문자 길이: 450-499 구간 내
- 턴 수: 40-44 구간 내
- 주제: 반려동물, 음악, 항공
- 톤: 기쁘게, 포근하게, 진지하게
- 화자A: 미용사, 번역가, 군인
- 화자B: 수의사, 과학자, 프리랜서
- 생성 대화수: 5</v>
      </c>
    </row>
    <row r="61">
      <c r="A61" s="7" t="str">
        <f t="shared" si="1"/>
        <v>T_060_len_500-549_turn_45-49_count_12</v>
      </c>
      <c r="B61" s="8" t="s">
        <v>122</v>
      </c>
      <c r="C61" s="7" t="s">
        <v>80</v>
      </c>
      <c r="D61" s="8" t="s">
        <v>81</v>
      </c>
      <c r="E61" s="7" t="str">
        <f>IFERROR(__xludf.DUMMYFUNCTION("TEXTJOIN("", "", TRUE, SORTN(column_value!$A$2:$A$105, 3, 0, RANDARRAY(COUNTA(column_value!A:A), 1), 1))"),"과학, 회계, 농업")</f>
        <v>과학, 회계, 농업</v>
      </c>
      <c r="F61" s="7" t="str">
        <f>IFERROR(__xludf.DUMMYFUNCTION("TEXTJOIN("", "", TRUE, SORTN(column_value!$B$2:$B$105, 3, 0, RANDARRAY(COUNTA(column_value!B:B), 1), 1))"),"순수하게, 부드럽게, 공격적으로")</f>
        <v>순수하게, 부드럽게, 공격적으로</v>
      </c>
      <c r="G61" s="7" t="str">
        <f>IFERROR(__xludf.DUMMYFUNCTION("TEXTJOIN("", "", TRUE, SORTN(column_value!$C$2:$C$105, 3, 0, RANDARRAY(COUNTA(column_value!C:C), 1), 1))"),"건축가, 스님, 과학자")</f>
        <v>건축가, 스님, 과학자</v>
      </c>
      <c r="H61" s="7" t="str">
        <f>IFERROR(__xludf.DUMMYFUNCTION("TEXTJOIN("", "", TRUE, SORTN(column_value!$D$2:$D$105, 3, 0, RANDARRAY(COUNTA(column_value!D:D), 1), 1))"),"요가 강사, 심리치료사, 호텔리어")</f>
        <v>요가 강사, 심리치료사, 호텔리어</v>
      </c>
      <c r="I61" s="7">
        <v>12.0</v>
      </c>
      <c r="J61" s="9" t="str">
        <f t="shared" si="2"/>
        <v>[조건]
- 문자 길이: 500-549 구간 내
- 턴 수: 45-49 구간 내
- 주제: 과학, 회계, 농업
- 톤: 순수하게, 부드럽게, 공격적으로
- 화자A: 건축가, 스님, 과학자
- 화자B: 요가 강사, 심리치료사, 호텔리어
- 생성 대화수: 12</v>
      </c>
      <c r="K61" s="7" t="s">
        <v>123</v>
      </c>
    </row>
    <row r="62">
      <c r="A62" s="7" t="str">
        <f t="shared" si="1"/>
        <v>T_061_len_50-99_turn_0-4_count_5</v>
      </c>
      <c r="B62" s="8" t="s">
        <v>124</v>
      </c>
      <c r="C62" s="7" t="s">
        <v>43</v>
      </c>
      <c r="D62" s="8" t="s">
        <v>44</v>
      </c>
      <c r="E62" s="7" t="str">
        <f>IFERROR(__xludf.DUMMYFUNCTION("TEXTJOIN("", "", TRUE, SORTN(column_value!$A$2:$A$105, 3, 0, RANDARRAY(COUNTA(column_value!A:A), 1), 1))"),"책, 육아, 영업")</f>
        <v>책, 육아, 영업</v>
      </c>
      <c r="F62" s="7" t="str">
        <f>IFERROR(__xludf.DUMMYFUNCTION("TEXTJOIN("", "", TRUE, SORTN(column_value!$B$2:$B$105, 3, 0, RANDARRAY(COUNTA(column_value!B:B), 1), 1))"),"담담하게, 솔직하게, 궁금해하며")</f>
        <v>담담하게, 솔직하게, 궁금해하며</v>
      </c>
      <c r="G62" s="7" t="str">
        <f>IFERROR(__xludf.DUMMYFUNCTION("TEXTJOIN("", "", TRUE, SORTN(column_value!$C$2:$C$105, 3, 0, RANDARRAY(COUNTA(column_value!C:C), 1), 1))"),"사업가, 군대 동기, 교수")</f>
        <v>사업가, 군대 동기, 교수</v>
      </c>
      <c r="H62" s="7" t="str">
        <f>IFERROR(__xludf.DUMMYFUNCTION("TEXTJOIN("", "", TRUE, SORTN(column_value!$D$2:$D$105, 3, 0, RANDARRAY(COUNTA(column_value!D:D), 1), 1))"),"대학생, 은행원, 번역가")</f>
        <v>대학생, 은행원, 번역가</v>
      </c>
      <c r="I62" s="7">
        <v>5.0</v>
      </c>
      <c r="J62" s="9" t="str">
        <f t="shared" si="2"/>
        <v>[조건]
- 문자 길이: 50-99 구간 내
- 턴 수: 0-4 구간 내
- 주제: 책, 육아, 영업
- 톤: 담담하게, 솔직하게, 궁금해하며
- 화자A: 사업가, 군대 동기, 교수
- 화자B: 대학생, 은행원, 번역가
- 생성 대화수: 5</v>
      </c>
    </row>
    <row r="63">
      <c r="A63" s="7" t="str">
        <f t="shared" si="1"/>
        <v>T_062_len_100-149_turn_5-9_count_20</v>
      </c>
      <c r="B63" s="8" t="s">
        <v>125</v>
      </c>
      <c r="C63" s="7" t="s">
        <v>46</v>
      </c>
      <c r="D63" s="8" t="s">
        <v>47</v>
      </c>
      <c r="E63" s="7" t="str">
        <f>IFERROR(__xludf.DUMMYFUNCTION("TEXTJOIN("", "", TRUE, SORTN(column_value!$A$2:$A$105, 3, 0, RANDARRAY(COUNTA(column_value!A:A), 1), 1))"),"개발, 정치, 심리학")</f>
        <v>개발, 정치, 심리학</v>
      </c>
      <c r="F63" s="7" t="str">
        <f>IFERROR(__xludf.DUMMYFUNCTION("TEXTJOIN("", "", TRUE, SORTN(column_value!$B$2:$B$105, 3, 0, RANDARRAY(COUNTA(column_value!B:B), 1), 1))"),"존경심을 담아, 단호하게, 무심하게")</f>
        <v>존경심을 담아, 단호하게, 무심하게</v>
      </c>
      <c r="G63" s="7" t="str">
        <f>IFERROR(__xludf.DUMMYFUNCTION("TEXTJOIN("", "", TRUE, SORTN(column_value!$C$2:$C$105, 3, 0, RANDARRAY(COUNTA(column_value!C:C), 1), 1))"),"작가, 택시 기사, 친구")</f>
        <v>작가, 택시 기사, 친구</v>
      </c>
      <c r="H63" s="7" t="str">
        <f>IFERROR(__xludf.DUMMYFUNCTION("TEXTJOIN("", "", TRUE, SORTN(column_value!$D$2:$D$105, 3, 0, RANDARRAY(COUNTA(column_value!D:D), 1), 1))"),"자녀, 연구원, 유치원 교사")</f>
        <v>자녀, 연구원, 유치원 교사</v>
      </c>
      <c r="I63" s="7">
        <v>20.0</v>
      </c>
      <c r="J63" s="9" t="str">
        <f t="shared" si="2"/>
        <v>[조건]
- 문자 길이: 100-149 구간 내
- 턴 수: 5-9 구간 내
- 주제: 개발, 정치, 심리학
- 톤: 존경심을 담아, 단호하게, 무심하게
- 화자A: 작가, 택시 기사, 친구
- 화자B: 자녀, 연구원, 유치원 교사
- 생성 대화수: 20</v>
      </c>
    </row>
    <row r="64">
      <c r="A64" s="7" t="str">
        <f t="shared" si="1"/>
        <v>T_063_len_100-149_turn_5-9_count_20</v>
      </c>
      <c r="B64" s="8" t="s">
        <v>126</v>
      </c>
      <c r="C64" s="7" t="s">
        <v>46</v>
      </c>
      <c r="D64" s="8" t="s">
        <v>47</v>
      </c>
      <c r="E64" s="7" t="str">
        <f>IFERROR(__xludf.DUMMYFUNCTION("TEXTJOIN("", "", TRUE, SORTN(column_value!$A$2:$A$105, 3, 0, RANDARRAY(COUNTA(column_value!A:A), 1), 1))"),"UI/UX, 영업, 화학")</f>
        <v>UI/UX, 영업, 화학</v>
      </c>
      <c r="F64" s="7" t="str">
        <f>IFERROR(__xludf.DUMMYFUNCTION("TEXTJOIN("", "", TRUE, SORTN(column_value!$B$2:$B$105, 3, 0, RANDARRAY(COUNTA(column_value!B:B), 1), 1))"),"유머러스하게, 시크하게, 담담하게")</f>
        <v>유머러스하게, 시크하게, 담담하게</v>
      </c>
      <c r="G64" s="7" t="str">
        <f>IFERROR(__xludf.DUMMYFUNCTION("TEXTJOIN("", "", TRUE, SORTN(column_value!$C$2:$C$105, 3, 0, RANDARRAY(COUNTA(column_value!C:C), 1), 1))"),"네일 아티스트, 명상가, 이웃")</f>
        <v>네일 아티스트, 명상가, 이웃</v>
      </c>
      <c r="H64" s="7" t="str">
        <f>IFERROR(__xludf.DUMMYFUNCTION("TEXTJOIN("", "", TRUE, SORTN(column_value!$D$2:$D$105, 3, 0, RANDARRAY(COUNTA(column_value!D:D), 1), 1))"),"디자이너, 자녀, 농부")</f>
        <v>디자이너, 자녀, 농부</v>
      </c>
      <c r="I64" s="7">
        <v>20.0</v>
      </c>
      <c r="J64" s="9" t="str">
        <f t="shared" si="2"/>
        <v>[조건]
- 문자 길이: 100-149 구간 내
- 턴 수: 5-9 구간 내
- 주제: UI/UX, 영업, 화학
- 톤: 유머러스하게, 시크하게, 담담하게
- 화자A: 네일 아티스트, 명상가, 이웃
- 화자B: 디자이너, 자녀, 농부
- 생성 대화수: 20</v>
      </c>
    </row>
    <row r="65">
      <c r="A65" s="7" t="str">
        <f t="shared" si="1"/>
        <v>T_064_len_100-149_turn_5-9_count_5</v>
      </c>
      <c r="B65" s="8" t="s">
        <v>127</v>
      </c>
      <c r="C65" s="7" t="s">
        <v>46</v>
      </c>
      <c r="D65" s="8" t="s">
        <v>47</v>
      </c>
      <c r="E65" s="7" t="str">
        <f>IFERROR(__xludf.DUMMYFUNCTION("TEXTJOIN("", "", TRUE, SORTN(column_value!$A$2:$A$105, 3, 0, RANDARRAY(COUNTA(column_value!A:A), 1), 1))"),"농업, 경제, 클라우드")</f>
        <v>농업, 경제, 클라우드</v>
      </c>
      <c r="F65" s="7" t="str">
        <f>IFERROR(__xludf.DUMMYFUNCTION("TEXTJOIN("", "", TRUE, SORTN(column_value!$B$2:$B$105, 3, 0, RANDARRAY(COUNTA(column_value!B:B), 1), 1))"),"귀여워하며, 날카롭게, 단호하게")</f>
        <v>귀여워하며, 날카롭게, 단호하게</v>
      </c>
      <c r="G65" s="7" t="str">
        <f>IFERROR(__xludf.DUMMYFUNCTION("TEXTJOIN("", "", TRUE, SORTN(column_value!$C$2:$C$105, 3, 0, RANDARRAY(COUNTA(column_value!C:C), 1), 1))"),"세입자, 주부, 바텐더")</f>
        <v>세입자, 주부, 바텐더</v>
      </c>
      <c r="H65" s="7" t="str">
        <f>IFERROR(__xludf.DUMMYFUNCTION("TEXTJOIN("", "", TRUE, SORTN(column_value!$D$2:$D$105, 3, 0, RANDARRAY(COUNTA(column_value!D:D), 1), 1))"),"군대 선임, 팀장, 소방관")</f>
        <v>군대 선임, 팀장, 소방관</v>
      </c>
      <c r="I65" s="7">
        <v>5.0</v>
      </c>
      <c r="J65" s="9" t="str">
        <f t="shared" si="2"/>
        <v>[조건]
- 문자 길이: 100-149 구간 내
- 턴 수: 5-9 구간 내
- 주제: 농업, 경제, 클라우드
- 톤: 귀여워하며, 날카롭게, 단호하게
- 화자A: 세입자, 주부, 바텐더
- 화자B: 군대 선임, 팀장, 소방관
- 생성 대화수: 5</v>
      </c>
    </row>
    <row r="66">
      <c r="A66" s="7" t="str">
        <f t="shared" si="1"/>
        <v>T_065_len_150-199_turn_10-14_count_20</v>
      </c>
      <c r="B66" s="8" t="s">
        <v>128</v>
      </c>
      <c r="C66" s="7" t="s">
        <v>51</v>
      </c>
      <c r="D66" s="8" t="s">
        <v>52</v>
      </c>
      <c r="E66" s="7" t="str">
        <f>IFERROR(__xludf.DUMMYFUNCTION("TEXTJOIN("", "", TRUE, SORTN(column_value!$A$2:$A$105, 3, 0, RANDARRAY(COUNTA(column_value!A:A), 1), 1))"),"수산업, 종교, 뉴스")</f>
        <v>수산업, 종교, 뉴스</v>
      </c>
      <c r="F66" s="7" t="str">
        <f>IFERROR(__xludf.DUMMYFUNCTION("TEXTJOIN("", "", TRUE, SORTN(column_value!$B$2:$B$105, 3, 0, RANDARRAY(COUNTA(column_value!B:B), 1), 1))"),"거만하게, 신중하게, 겸허하게")</f>
        <v>거만하게, 신중하게, 겸허하게</v>
      </c>
      <c r="G66" s="7" t="str">
        <f>IFERROR(__xludf.DUMMYFUNCTION("TEXTJOIN("", "", TRUE, SORTN(column_value!$C$2:$C$105, 3, 0, RANDARRAY(COUNTA(column_value!C:C), 1), 1))"),"소설 작가, 은행원, 공무원")</f>
        <v>소설 작가, 은행원, 공무원</v>
      </c>
      <c r="H66" s="7" t="str">
        <f>IFERROR(__xludf.DUMMYFUNCTION("TEXTJOIN("", "", TRUE, SORTN(column_value!$D$2:$D$105, 3, 0, RANDARRAY(COUNTA(column_value!D:D), 1), 1))"),"과학자, 세입자, 어부")</f>
        <v>과학자, 세입자, 어부</v>
      </c>
      <c r="I66" s="7">
        <v>20.0</v>
      </c>
      <c r="J66" s="9" t="str">
        <f t="shared" si="2"/>
        <v>[조건]
- 문자 길이: 150-199 구간 내
- 턴 수: 10-14 구간 내
- 주제: 수산업, 종교, 뉴스
- 톤: 거만하게, 신중하게, 겸허하게
- 화자A: 소설 작가, 은행원, 공무원
- 화자B: 과학자, 세입자, 어부
- 생성 대화수: 20</v>
      </c>
    </row>
    <row r="67">
      <c r="A67" s="7" t="str">
        <f t="shared" si="1"/>
        <v>T_066_len_150-199_turn_10-14_count_20</v>
      </c>
      <c r="B67" s="8" t="s">
        <v>129</v>
      </c>
      <c r="C67" s="7" t="s">
        <v>51</v>
      </c>
      <c r="D67" s="8" t="s">
        <v>52</v>
      </c>
      <c r="E67" s="7" t="str">
        <f>IFERROR(__xludf.DUMMYFUNCTION("TEXTJOIN("", "", TRUE, SORTN(column_value!$A$2:$A$105, 3, 0, RANDARRAY(COUNTA(column_value!A:A), 1), 1))"),"건축, 자전거, 역사")</f>
        <v>건축, 자전거, 역사</v>
      </c>
      <c r="F67" s="7" t="str">
        <f>IFERROR(__xludf.DUMMYFUNCTION("TEXTJOIN("", "", TRUE, SORTN(column_value!$B$2:$B$105, 3, 0, RANDARRAY(COUNTA(column_value!B:B), 1), 1))"),"정중하게, 낭만적으로, 단호하게")</f>
        <v>정중하게, 낭만적으로, 단호하게</v>
      </c>
      <c r="G67" s="7" t="str">
        <f>IFERROR(__xludf.DUMMYFUNCTION("TEXTJOIN("", "", TRUE, SORTN(column_value!$C$2:$C$105, 3, 0, RANDARRAY(COUNTA(column_value!C:C), 1), 1))"),"친구, 심리치료사, 군인")</f>
        <v>친구, 심리치료사, 군인</v>
      </c>
      <c r="H67" s="7" t="str">
        <f>IFERROR(__xludf.DUMMYFUNCTION("TEXTJOIN("", "", TRUE, SORTN(column_value!$D$2:$D$105, 3, 0, RANDARRAY(COUNTA(column_value!D:D), 1), 1))"),"음악가, 주니어, 작가")</f>
        <v>음악가, 주니어, 작가</v>
      </c>
      <c r="I67" s="7">
        <v>20.0</v>
      </c>
      <c r="J67" s="9" t="str">
        <f t="shared" si="2"/>
        <v>[조건]
- 문자 길이: 150-199 구간 내
- 턴 수: 10-14 구간 내
- 주제: 건축, 자전거, 역사
- 톤: 정중하게, 낭만적으로, 단호하게
- 화자A: 친구, 심리치료사, 군인
- 화자B: 음악가, 주니어, 작가
- 생성 대화수: 20</v>
      </c>
    </row>
    <row r="68">
      <c r="A68" s="7" t="str">
        <f t="shared" si="1"/>
        <v>T_067_len_150-199_turn_10-14_count_20</v>
      </c>
      <c r="B68" s="8" t="s">
        <v>130</v>
      </c>
      <c r="C68" s="7" t="s">
        <v>51</v>
      </c>
      <c r="D68" s="8" t="s">
        <v>52</v>
      </c>
      <c r="E68" s="7" t="str">
        <f>IFERROR(__xludf.DUMMYFUNCTION("TEXTJOIN("", "", TRUE, SORTN(column_value!$A$2:$A$105, 3, 0, RANDARRAY(COUNTA(column_value!A:A), 1), 1))"),"화학, 키보드, 육아")</f>
        <v>화학, 키보드, 육아</v>
      </c>
      <c r="F68" s="7" t="str">
        <f>IFERROR(__xludf.DUMMYFUNCTION("TEXTJOIN("", "", TRUE, SORTN(column_value!$B$2:$B$105, 3, 0, RANDARRAY(COUNTA(column_value!B:B), 1), 1))"),"차갑게, 친근하게, 비판적으로")</f>
        <v>차갑게, 친근하게, 비판적으로</v>
      </c>
      <c r="G68" s="7" t="str">
        <f>IFERROR(__xludf.DUMMYFUNCTION("TEXTJOIN("", "", TRUE, SORTN(column_value!$C$2:$C$105, 3, 0, RANDARRAY(COUNTA(column_value!C:C), 1), 1))"),"심리치료사, 번역가, 소믈리에")</f>
        <v>심리치료사, 번역가, 소믈리에</v>
      </c>
      <c r="H68" s="7" t="str">
        <f>IFERROR(__xludf.DUMMYFUNCTION("TEXTJOIN("", "", TRUE, SORTN(column_value!$D$2:$D$105, 3, 0, RANDARRAY(COUNTA(column_value!D:D), 1), 1))"),"배우, 버스 기사, 집주인")</f>
        <v>배우, 버스 기사, 집주인</v>
      </c>
      <c r="I68" s="7">
        <v>20.0</v>
      </c>
      <c r="J68" s="9" t="str">
        <f t="shared" si="2"/>
        <v>[조건]
- 문자 길이: 150-199 구간 내
- 턴 수: 10-14 구간 내
- 주제: 화학, 키보드, 육아
- 톤: 차갑게, 친근하게, 비판적으로
- 화자A: 심리치료사, 번역가, 소믈리에
- 화자B: 배우, 버스 기사, 집주인
- 생성 대화수: 20</v>
      </c>
    </row>
    <row r="69">
      <c r="A69" s="7" t="str">
        <f t="shared" si="1"/>
        <v>T_068_len_150-199_turn_10-14_count_20</v>
      </c>
      <c r="B69" s="8" t="s">
        <v>131</v>
      </c>
      <c r="C69" s="7" t="s">
        <v>51</v>
      </c>
      <c r="D69" s="8" t="s">
        <v>52</v>
      </c>
      <c r="E69" s="7" t="str">
        <f>IFERROR(__xludf.DUMMYFUNCTION("TEXTJOIN("", "", TRUE, SORTN(column_value!$A$2:$A$105, 3, 0, RANDARRAY(COUNTA(column_value!A:A), 1), 1))"),"낚시, 건축, 교육")</f>
        <v>낚시, 건축, 교육</v>
      </c>
      <c r="F69" s="7" t="str">
        <f>IFERROR(__xludf.DUMMYFUNCTION("TEXTJOIN("", "", TRUE, SORTN(column_value!$B$2:$B$105, 3, 0, RANDARRAY(COUNTA(column_value!B:B), 1), 1))"),"거만하게, 까칠하게, 비관적으로")</f>
        <v>거만하게, 까칠하게, 비관적으로</v>
      </c>
      <c r="G69" s="7" t="str">
        <f>IFERROR(__xludf.DUMMYFUNCTION("TEXTJOIN("", "", TRUE, SORTN(column_value!$C$2:$C$105, 3, 0, RANDARRAY(COUNTA(column_value!C:C), 1), 1))"),"수의사, 의사, 군대 후임")</f>
        <v>수의사, 의사, 군대 후임</v>
      </c>
      <c r="H69" s="7" t="str">
        <f>IFERROR(__xludf.DUMMYFUNCTION("TEXTJOIN("", "", TRUE, SORTN(column_value!$D$2:$D$105, 3, 0, RANDARRAY(COUNTA(column_value!D:D), 1), 1))"),"인플루언서, 모델, 후배")</f>
        <v>인플루언서, 모델, 후배</v>
      </c>
      <c r="I69" s="7">
        <v>20.0</v>
      </c>
      <c r="J69" s="9" t="str">
        <f t="shared" si="2"/>
        <v>[조건]
- 문자 길이: 150-199 구간 내
- 턴 수: 10-14 구간 내
- 주제: 낚시, 건축, 교육
- 톤: 거만하게, 까칠하게, 비관적으로
- 화자A: 수의사, 의사, 군대 후임
- 화자B: 인플루언서, 모델, 후배
- 생성 대화수: 20</v>
      </c>
    </row>
    <row r="70">
      <c r="A70" s="7" t="str">
        <f t="shared" si="1"/>
        <v>T_069_len_150-199_turn_10-14_count_6</v>
      </c>
      <c r="B70" s="8" t="s">
        <v>132</v>
      </c>
      <c r="C70" s="7" t="s">
        <v>51</v>
      </c>
      <c r="D70" s="8" t="s">
        <v>52</v>
      </c>
      <c r="E70" s="7" t="str">
        <f>IFERROR(__xludf.DUMMYFUNCTION("TEXTJOIN("", "", TRUE, SORTN(column_value!$A$2:$A$105, 3, 0, RANDARRAY(COUNTA(column_value!A:A), 1), 1))"),"부동산, 재테크, 역사")</f>
        <v>부동산, 재테크, 역사</v>
      </c>
      <c r="F70" s="7" t="str">
        <f>IFERROR(__xludf.DUMMYFUNCTION("TEXTJOIN("", "", TRUE, SORTN(column_value!$B$2:$B$105, 3, 0, RANDARRAY(COUNTA(column_value!B:B), 1), 1))"),"편협하게, 기대하며, 초조하게")</f>
        <v>편협하게, 기대하며, 초조하게</v>
      </c>
      <c r="G70" s="7" t="str">
        <f>IFERROR(__xludf.DUMMYFUNCTION("TEXTJOIN("", "", TRUE, SORTN(column_value!$C$2:$C$105, 3, 0, RANDARRAY(COUNTA(column_value!C:C), 1), 1))"),"건축가, 연구원, 부모")</f>
        <v>건축가, 연구원, 부모</v>
      </c>
      <c r="H70" s="7" t="str">
        <f>IFERROR(__xludf.DUMMYFUNCTION("TEXTJOIN("", "", TRUE, SORTN(column_value!$D$2:$D$105, 3, 0, RANDARRAY(COUNTA(column_value!D:D), 1), 1))"),"여행가, 고등학생, 신입사원")</f>
        <v>여행가, 고등학생, 신입사원</v>
      </c>
      <c r="I70" s="7">
        <v>6.0</v>
      </c>
      <c r="J70" s="9" t="str">
        <f t="shared" si="2"/>
        <v>[조건]
- 문자 길이: 150-199 구간 내
- 턴 수: 10-14 구간 내
- 주제: 부동산, 재테크, 역사
- 톤: 편협하게, 기대하며, 초조하게
- 화자A: 건축가, 연구원, 부모
- 화자B: 여행가, 고등학생, 신입사원
- 생성 대화수: 6</v>
      </c>
    </row>
    <row r="71">
      <c r="A71" s="7" t="str">
        <f t="shared" si="1"/>
        <v>T_070_len_200-249_turn_15-19_count_20</v>
      </c>
      <c r="B71" s="8" t="s">
        <v>133</v>
      </c>
      <c r="C71" s="7" t="s">
        <v>58</v>
      </c>
      <c r="D71" s="8" t="s">
        <v>59</v>
      </c>
      <c r="E71" s="7" t="str">
        <f>IFERROR(__xludf.DUMMYFUNCTION("TEXTJOIN("", "", TRUE, SORTN(column_value!$A$2:$A$105, 3, 0, RANDARRAY(COUNTA(column_value!A:A), 1), 1))"),"싱글라이프, 자전거, 보험")</f>
        <v>싱글라이프, 자전거, 보험</v>
      </c>
      <c r="F71" s="7" t="str">
        <f>IFERROR(__xludf.DUMMYFUNCTION("TEXTJOIN("", "", TRUE, SORTN(column_value!$B$2:$B$105, 3, 0, RANDARRAY(COUNTA(column_value!B:B), 1), 1))"),"황당해하며, 우아하게, 격식없이")</f>
        <v>황당해하며, 우아하게, 격식없이</v>
      </c>
      <c r="G71" s="7" t="str">
        <f>IFERROR(__xludf.DUMMYFUNCTION("TEXTJOIN("", "", TRUE, SORTN(column_value!$C$2:$C$105, 3, 0, RANDARRAY(COUNTA(column_value!C:C), 1), 1))"),"탐정, 배우, 목사")</f>
        <v>탐정, 배우, 목사</v>
      </c>
      <c r="H71" s="7" t="str">
        <f>IFERROR(__xludf.DUMMYFUNCTION("TEXTJOIN("", "", TRUE, SORTN(column_value!$D$2:$D$105, 3, 0, RANDARRAY(COUNTA(column_value!D:D), 1), 1))"),"변호사, 소방관, 명상가")</f>
        <v>변호사, 소방관, 명상가</v>
      </c>
      <c r="I71" s="7">
        <v>20.0</v>
      </c>
      <c r="J71" s="9" t="str">
        <f t="shared" si="2"/>
        <v>[조건]
- 문자 길이: 200-249 구간 내
- 턴 수: 15-19 구간 내
- 주제: 싱글라이프, 자전거, 보험
- 톤: 황당해하며, 우아하게, 격식없이
- 화자A: 탐정, 배우, 목사
- 화자B: 변호사, 소방관, 명상가
- 생성 대화수: 20</v>
      </c>
    </row>
    <row r="72">
      <c r="A72" s="7" t="str">
        <f t="shared" si="1"/>
        <v>T_071_len_200-249_turn_15-19_count_20</v>
      </c>
      <c r="B72" s="8" t="s">
        <v>134</v>
      </c>
      <c r="C72" s="7" t="s">
        <v>58</v>
      </c>
      <c r="D72" s="8" t="s">
        <v>59</v>
      </c>
      <c r="E72" s="7" t="str">
        <f>IFERROR(__xludf.DUMMYFUNCTION("TEXTJOIN("", "", TRUE, SORTN(column_value!$A$2:$A$105, 3, 0, RANDARRAY(COUNTA(column_value!A:A), 1), 1))"),"사진, UI/UX, 미술")</f>
        <v>사진, UI/UX, 미술</v>
      </c>
      <c r="F72" s="7" t="str">
        <f>IFERROR(__xludf.DUMMYFUNCTION("TEXTJOIN("", "", TRUE, SORTN(column_value!$B$2:$B$105, 3, 0, RANDARRAY(COUNTA(column_value!B:B), 1), 1))"),"애교있게, 격식없이, 격앙되게")</f>
        <v>애교있게, 격식없이, 격앙되게</v>
      </c>
      <c r="G72" s="7" t="str">
        <f>IFERROR(__xludf.DUMMYFUNCTION("TEXTJOIN("", "", TRUE, SORTN(column_value!$C$2:$C$105, 3, 0, RANDARRAY(COUNTA(column_value!C:C), 1), 1))"),"상담사, 스님, 사육사")</f>
        <v>상담사, 스님, 사육사</v>
      </c>
      <c r="H72" s="7" t="str">
        <f>IFERROR(__xludf.DUMMYFUNCTION("TEXTJOIN("", "", TRUE, SORTN(column_value!$D$2:$D$105, 3, 0, RANDARRAY(COUNTA(column_value!D:D), 1), 1))"),"만화가, 교사, 예술가")</f>
        <v>만화가, 교사, 예술가</v>
      </c>
      <c r="I72" s="7">
        <v>20.0</v>
      </c>
      <c r="J72" s="9" t="str">
        <f t="shared" si="2"/>
        <v>[조건]
- 문자 길이: 200-249 구간 내
- 턴 수: 15-19 구간 내
- 주제: 사진, UI/UX, 미술
- 톤: 애교있게, 격식없이, 격앙되게
- 화자A: 상담사, 스님, 사육사
- 화자B: 만화가, 교사, 예술가
- 생성 대화수: 20</v>
      </c>
    </row>
    <row r="73">
      <c r="A73" s="7" t="str">
        <f t="shared" si="1"/>
        <v>T_072_len_200-249_turn_15-19_count_20</v>
      </c>
      <c r="B73" s="8" t="s">
        <v>135</v>
      </c>
      <c r="C73" s="7" t="s">
        <v>58</v>
      </c>
      <c r="D73" s="8" t="s">
        <v>59</v>
      </c>
      <c r="E73" s="7" t="str">
        <f>IFERROR(__xludf.DUMMYFUNCTION("TEXTJOIN("", "", TRUE, SORTN(column_value!$A$2:$A$105, 3, 0, RANDARRAY(COUNTA(column_value!A:A), 1), 1))"),"문화, 교통, 피아노")</f>
        <v>문화, 교통, 피아노</v>
      </c>
      <c r="F73" s="7" t="str">
        <f>IFERROR(__xludf.DUMMYFUNCTION("TEXTJOIN("", "", TRUE, SORTN(column_value!$B$2:$B$105, 3, 0, RANDARRAY(COUNTA(column_value!B:B), 1), 1))"),"중립적으로, 초조하게, 협조적으로")</f>
        <v>중립적으로, 초조하게, 협조적으로</v>
      </c>
      <c r="G73" s="7" t="str">
        <f>IFERROR(__xludf.DUMMYFUNCTION("TEXTJOIN("", "", TRUE, SORTN(column_value!$C$2:$C$105, 3, 0, RANDARRAY(COUNTA(column_value!C:C), 1), 1))"),"목수, 유튜버, 여행가")</f>
        <v>목수, 유튜버, 여행가</v>
      </c>
      <c r="H73" s="7" t="str">
        <f>IFERROR(__xludf.DUMMYFUNCTION("TEXTJOIN("", "", TRUE, SORTN(column_value!$D$2:$D$105, 3, 0, RANDARRAY(COUNTA(column_value!D:D), 1), 1))"),"부모, 사육사, 예술가")</f>
        <v>부모, 사육사, 예술가</v>
      </c>
      <c r="I73" s="7">
        <v>20.0</v>
      </c>
      <c r="J73" s="9" t="str">
        <f t="shared" si="2"/>
        <v>[조건]
- 문자 길이: 200-249 구간 내
- 턴 수: 15-19 구간 내
- 주제: 문화, 교통, 피아노
- 톤: 중립적으로, 초조하게, 협조적으로
- 화자A: 목수, 유튜버, 여행가
- 화자B: 부모, 사육사, 예술가
- 생성 대화수: 20</v>
      </c>
    </row>
    <row r="74">
      <c r="A74" s="7" t="str">
        <f t="shared" si="1"/>
        <v>T_073_len_200-249_turn_15-19_count_9</v>
      </c>
      <c r="B74" s="8" t="s">
        <v>136</v>
      </c>
      <c r="C74" s="7" t="s">
        <v>58</v>
      </c>
      <c r="D74" s="8" t="s">
        <v>59</v>
      </c>
      <c r="E74" s="7" t="str">
        <f>IFERROR(__xludf.DUMMYFUNCTION("TEXTJOIN("", "", TRUE, SORTN(column_value!$A$2:$A$105, 3, 0, RANDARRAY(COUNTA(column_value!A:A), 1), 1))"),"경영, 재테크, 보안")</f>
        <v>경영, 재테크, 보안</v>
      </c>
      <c r="F74" s="7" t="str">
        <f>IFERROR(__xludf.DUMMYFUNCTION("TEXTJOIN("", "", TRUE, SORTN(column_value!$B$2:$B$105, 3, 0, RANDARRAY(COUNTA(column_value!B:B), 1), 1))"),"사납게, 건조하게, 냉담하게")</f>
        <v>사납게, 건조하게, 냉담하게</v>
      </c>
      <c r="G74" s="7" t="str">
        <f>IFERROR(__xludf.DUMMYFUNCTION("TEXTJOIN("", "", TRUE, SORTN(column_value!$C$2:$C$105, 3, 0, RANDARRAY(COUNTA(column_value!C:C), 1), 1))"),"배우, 사회복지사, 승무원")</f>
        <v>배우, 사회복지사, 승무원</v>
      </c>
      <c r="H74" s="7" t="str">
        <f>IFERROR(__xludf.DUMMYFUNCTION("TEXTJOIN("", "", TRUE, SORTN(column_value!$D$2:$D$105, 3, 0, RANDARRAY(COUNTA(column_value!D:D), 1), 1))"),"동료, 가이드, 방송인")</f>
        <v>동료, 가이드, 방송인</v>
      </c>
      <c r="I74" s="7">
        <v>9.0</v>
      </c>
      <c r="J74" s="9" t="str">
        <f t="shared" si="2"/>
        <v>[조건]
- 문자 길이: 200-249 구간 내
- 턴 수: 15-19 구간 내
- 주제: 경영, 재테크, 보안
- 톤: 사납게, 건조하게, 냉담하게
- 화자A: 배우, 사회복지사, 승무원
- 화자B: 동료, 가이드, 방송인
- 생성 대화수: 9</v>
      </c>
    </row>
    <row r="75">
      <c r="A75" s="7" t="str">
        <f t="shared" si="1"/>
        <v>T_074_len_250-299_turn_20-24_count_20</v>
      </c>
      <c r="B75" s="8" t="s">
        <v>137</v>
      </c>
      <c r="C75" s="7" t="s">
        <v>64</v>
      </c>
      <c r="D75" s="8" t="s">
        <v>65</v>
      </c>
      <c r="E75" s="7" t="str">
        <f>IFERROR(__xludf.DUMMYFUNCTION("TEXTJOIN("", "", TRUE, SORTN(column_value!$A$2:$A$105, 3, 0, RANDARRAY(COUNTA(column_value!A:A), 1), 1))"),"마케팅, 해양, 자전거")</f>
        <v>마케팅, 해양, 자전거</v>
      </c>
      <c r="F75" s="7" t="str">
        <f>IFERROR(__xludf.DUMMYFUNCTION("TEXTJOIN("", "", TRUE, SORTN(column_value!$B$2:$B$105, 3, 0, RANDARRAY(COUNTA(column_value!B:B), 1), 1))"),"꼼꼼하게, 겸손하게, 차갑게")</f>
        <v>꼼꼼하게, 겸손하게, 차갑게</v>
      </c>
      <c r="G75" s="7" t="str">
        <f>IFERROR(__xludf.DUMMYFUNCTION("TEXTJOIN("", "", TRUE, SORTN(column_value!$C$2:$C$105, 3, 0, RANDARRAY(COUNTA(column_value!C:C), 1), 1))"),"과학자, 성우, 자영업자")</f>
        <v>과학자, 성우, 자영업자</v>
      </c>
      <c r="H75" s="7" t="str">
        <f>IFERROR(__xludf.DUMMYFUNCTION("TEXTJOIN("", "", TRUE, SORTN(column_value!$D$2:$D$105, 3, 0, RANDARRAY(COUNTA(column_value!D:D), 1), 1))"),"소설 작가, 통역사, 팀장")</f>
        <v>소설 작가, 통역사, 팀장</v>
      </c>
      <c r="I75" s="7">
        <v>20.0</v>
      </c>
      <c r="J75" s="9" t="str">
        <f t="shared" si="2"/>
        <v>[조건]
- 문자 길이: 250-299 구간 내
- 턴 수: 20-24 구간 내
- 주제: 마케팅, 해양, 자전거
- 톤: 꼼꼼하게, 겸손하게, 차갑게
- 화자A: 과학자, 성우, 자영업자
- 화자B: 소설 작가, 통역사, 팀장
- 생성 대화수: 20</v>
      </c>
    </row>
    <row r="76">
      <c r="A76" s="7" t="str">
        <f t="shared" si="1"/>
        <v>T_075_len_250-299_turn_20-24_count_18</v>
      </c>
      <c r="B76" s="8" t="s">
        <v>138</v>
      </c>
      <c r="C76" s="7" t="s">
        <v>64</v>
      </c>
      <c r="D76" s="8" t="s">
        <v>65</v>
      </c>
      <c r="E76" s="7" t="str">
        <f>IFERROR(__xludf.DUMMYFUNCTION("TEXTJOIN("", "", TRUE, SORTN(column_value!$A$2:$A$105, 3, 0, RANDARRAY(COUNTA(column_value!A:A), 1), 1))"),"사진, 건설업, 맛집")</f>
        <v>사진, 건설업, 맛집</v>
      </c>
      <c r="F76" s="7" t="str">
        <f>IFERROR(__xludf.DUMMYFUNCTION("TEXTJOIN("", "", TRUE, SORTN(column_value!$B$2:$B$105, 3, 0, RANDARRAY(COUNTA(column_value!B:B), 1), 1))"),"무심하게, 차분하게, 까칠하게")</f>
        <v>무심하게, 차분하게, 까칠하게</v>
      </c>
      <c r="G76" s="7" t="str">
        <f>IFERROR(__xludf.DUMMYFUNCTION("TEXTJOIN("", "", TRUE, SORTN(column_value!$C$2:$C$105, 3, 0, RANDARRAY(COUNTA(column_value!C:C), 1), 1))"),"어부, 인턴, 건축가")</f>
        <v>어부, 인턴, 건축가</v>
      </c>
      <c r="H76" s="7" t="str">
        <f>IFERROR(__xludf.DUMMYFUNCTION("TEXTJOIN("", "", TRUE, SORTN(column_value!$D$2:$D$105, 3, 0, RANDARRAY(COUNTA(column_value!D:D), 1), 1))"),"팀장, 주부, 사업가")</f>
        <v>팀장, 주부, 사업가</v>
      </c>
      <c r="I76" s="7">
        <v>18.0</v>
      </c>
      <c r="J76" s="9" t="str">
        <f t="shared" si="2"/>
        <v>[조건]
- 문자 길이: 250-299 구간 내
- 턴 수: 20-24 구간 내
- 주제: 사진, 건설업, 맛집
- 톤: 무심하게, 차분하게, 까칠하게
- 화자A: 어부, 인턴, 건축가
- 화자B: 팀장, 주부, 사업가
- 생성 대화수: 18</v>
      </c>
    </row>
    <row r="77">
      <c r="A77" s="7" t="str">
        <f t="shared" si="1"/>
        <v>T_076_len_300-349_turn_25-29_count_20</v>
      </c>
      <c r="B77" s="8" t="s">
        <v>139</v>
      </c>
      <c r="C77" s="7" t="s">
        <v>68</v>
      </c>
      <c r="D77" s="8" t="s">
        <v>69</v>
      </c>
      <c r="E77" s="7" t="str">
        <f>IFERROR(__xludf.DUMMYFUNCTION("TEXTJOIN("", "", TRUE, SORTN(column_value!$A$2:$A$105, 3, 0, RANDARRAY(COUNTA(column_value!A:A), 1), 1))"),"패션, 종교, 세무")</f>
        <v>패션, 종교, 세무</v>
      </c>
      <c r="F77" s="7" t="str">
        <f>IFERROR(__xludf.DUMMYFUNCTION("TEXTJOIN("", "", TRUE, SORTN(column_value!$B$2:$B$105, 3, 0, RANDARRAY(COUNTA(column_value!B:B), 1), 1))"),"비판적으로, 안타깝게, 장난스럽게")</f>
        <v>비판적으로, 안타깝게, 장난스럽게</v>
      </c>
      <c r="G77" s="7" t="str">
        <f>IFERROR(__xludf.DUMMYFUNCTION("TEXTJOIN("", "", TRUE, SORTN(column_value!$C$2:$C$105, 3, 0, RANDARRAY(COUNTA(column_value!C:C), 1), 1))"),"심리치료사, 택시 기사, 소설 작가")</f>
        <v>심리치료사, 택시 기사, 소설 작가</v>
      </c>
      <c r="H77" s="7" t="str">
        <f>IFERROR(__xludf.DUMMYFUNCTION("TEXTJOIN("", "", TRUE, SORTN(column_value!$D$2:$D$105, 3, 0, RANDARRAY(COUNTA(column_value!D:D), 1), 1))"),"교사, 방송인, 신혼부부")</f>
        <v>교사, 방송인, 신혼부부</v>
      </c>
      <c r="I77" s="7">
        <v>20.0</v>
      </c>
      <c r="J77" s="9" t="str">
        <f t="shared" si="2"/>
        <v>[조건]
- 문자 길이: 300-349 구간 내
- 턴 수: 25-29 구간 내
- 주제: 패션, 종교, 세무
- 톤: 비판적으로, 안타깝게, 장난스럽게
- 화자A: 심리치료사, 택시 기사, 소설 작가
- 화자B: 교사, 방송인, 신혼부부
- 생성 대화수: 20</v>
      </c>
    </row>
    <row r="78">
      <c r="A78" s="7" t="str">
        <f t="shared" si="1"/>
        <v>T_077_len_350-399_turn_30-34_count_13</v>
      </c>
      <c r="B78" s="8" t="s">
        <v>140</v>
      </c>
      <c r="C78" s="7" t="s">
        <v>71</v>
      </c>
      <c r="D78" s="8" t="s">
        <v>72</v>
      </c>
      <c r="E78" s="7" t="str">
        <f>IFERROR(__xludf.DUMMYFUNCTION("TEXTJOIN("", "", TRUE, SORTN(column_value!$A$2:$A$105, 3, 0, RANDARRAY(COUNTA(column_value!A:A), 1), 1))"),"물류, 농업, 로봇")</f>
        <v>물류, 농업, 로봇</v>
      </c>
      <c r="F78" s="7" t="str">
        <f>IFERROR(__xludf.DUMMYFUNCTION("TEXTJOIN("", "", TRUE, SORTN(column_value!$B$2:$B$105, 3, 0, RANDARRAY(COUNTA(column_value!B:B), 1), 1))"),"냉담하게, 존경심을 담아, 부드럽게")</f>
        <v>냉담하게, 존경심을 담아, 부드럽게</v>
      </c>
      <c r="G78" s="7" t="str">
        <f>IFERROR(__xludf.DUMMYFUNCTION("TEXTJOIN("", "", TRUE, SORTN(column_value!$C$2:$C$105, 3, 0, RANDARRAY(COUNTA(column_value!C:C), 1), 1))"),"조종사, 공무원, 사회복지사")</f>
        <v>조종사, 공무원, 사회복지사</v>
      </c>
      <c r="H78" s="7" t="str">
        <f>IFERROR(__xludf.DUMMYFUNCTION("TEXTJOIN("", "", TRUE, SORTN(column_value!$D$2:$D$105, 3, 0, RANDARRAY(COUNTA(column_value!D:D), 1), 1))"),"호텔리어, 성우, 스님")</f>
        <v>호텔리어, 성우, 스님</v>
      </c>
      <c r="I78" s="7">
        <v>13.0</v>
      </c>
      <c r="J78" s="9" t="str">
        <f t="shared" si="2"/>
        <v>[조건]
- 문자 길이: 350-399 구간 내
- 턴 수: 30-34 구간 내
- 주제: 물류, 농업, 로봇
- 톤: 냉담하게, 존경심을 담아, 부드럽게
- 화자A: 조종사, 공무원, 사회복지사
- 화자B: 호텔리어, 성우, 스님
- 생성 대화수: 13</v>
      </c>
    </row>
    <row r="79">
      <c r="A79" s="7" t="str">
        <f t="shared" si="1"/>
        <v>T_078_len_400-449_turn_35-39_count_7</v>
      </c>
      <c r="B79" s="8" t="s">
        <v>141</v>
      </c>
      <c r="C79" s="7" t="s">
        <v>74</v>
      </c>
      <c r="D79" s="8" t="s">
        <v>75</v>
      </c>
      <c r="E79" s="7" t="str">
        <f>IFERROR(__xludf.DUMMYFUNCTION("TEXTJOIN("", "", TRUE, SORTN(column_value!$A$2:$A$105, 3, 0, RANDARRAY(COUNTA(column_value!A:A), 1), 1))"),"화학, 글쓰기, 스포츠")</f>
        <v>화학, 글쓰기, 스포츠</v>
      </c>
      <c r="F79" s="7" t="str">
        <f>IFERROR(__xludf.DUMMYFUNCTION("TEXTJOIN("", "", TRUE, SORTN(column_value!$B$2:$B$105, 3, 0, RANDARRAY(COUNTA(column_value!B:B), 1), 1))"),"공격적으로, 방어적으로, 담담하게")</f>
        <v>공격적으로, 방어적으로, 담담하게</v>
      </c>
      <c r="G79" s="7" t="str">
        <f>IFERROR(__xludf.DUMMYFUNCTION("TEXTJOIN("", "", TRUE, SORTN(column_value!$C$2:$C$105, 3, 0, RANDARRAY(COUNTA(column_value!C:C), 1), 1))"),"어부, 알바생, 탐정")</f>
        <v>어부, 알바생, 탐정</v>
      </c>
      <c r="H79" s="7" t="str">
        <f>IFERROR(__xludf.DUMMYFUNCTION("TEXTJOIN("", "", TRUE, SORTN(column_value!$D$2:$D$105, 3, 0, RANDARRAY(COUNTA(column_value!D:D), 1), 1))"),"유치원 교사, 이웃, 성우")</f>
        <v>유치원 교사, 이웃, 성우</v>
      </c>
      <c r="I79" s="7">
        <v>7.0</v>
      </c>
      <c r="J79" s="9" t="str">
        <f t="shared" si="2"/>
        <v>[조건]
- 문자 길이: 400-449 구간 내
- 턴 수: 35-39 구간 내
- 주제: 화학, 글쓰기, 스포츠
- 톤: 공격적으로, 방어적으로, 담담하게
- 화자A: 어부, 알바생, 탐정
- 화자B: 유치원 교사, 이웃, 성우
- 생성 대화수: 7</v>
      </c>
    </row>
    <row r="80">
      <c r="A80" s="7" t="str">
        <f t="shared" si="1"/>
        <v>T_079_len_450-499_turn_40-44_count_5</v>
      </c>
      <c r="B80" s="8" t="s">
        <v>142</v>
      </c>
      <c r="C80" s="7" t="s">
        <v>77</v>
      </c>
      <c r="D80" s="8" t="s">
        <v>78</v>
      </c>
      <c r="E80" s="7" t="str">
        <f>IFERROR(__xludf.DUMMYFUNCTION("TEXTJOIN("", "", TRUE, SORTN(column_value!$A$2:$A$105, 3, 0, RANDARRAY(COUNTA(column_value!A:A), 1), 1))"),"학업, 술, 봉사")</f>
        <v>학업, 술, 봉사</v>
      </c>
      <c r="F80" s="7" t="str">
        <f>IFERROR(__xludf.DUMMYFUNCTION("TEXTJOIN("", "", TRUE, SORTN(column_value!$B$2:$B$105, 3, 0, RANDARRAY(COUNTA(column_value!B:B), 1), 1))"),"부드럽게, 꼼꼼하게, 낙관적으로")</f>
        <v>부드럽게, 꼼꼼하게, 낙관적으로</v>
      </c>
      <c r="G80" s="7" t="str">
        <f>IFERROR(__xludf.DUMMYFUNCTION("TEXTJOIN("", "", TRUE, SORTN(column_value!$C$2:$C$105, 3, 0, RANDARRAY(COUNTA(column_value!C:C), 1), 1))"),"요리사, 멘토, 사육사")</f>
        <v>요리사, 멘토, 사육사</v>
      </c>
      <c r="H80" s="7" t="str">
        <f>IFERROR(__xludf.DUMMYFUNCTION("TEXTJOIN("", "", TRUE, SORTN(column_value!$D$2:$D$105, 3, 0, RANDARRAY(COUNTA(column_value!D:D), 1), 1))"),"트럭 기사, 군대 선임, 집주인")</f>
        <v>트럭 기사, 군대 선임, 집주인</v>
      </c>
      <c r="I80" s="7">
        <v>5.0</v>
      </c>
      <c r="J80" s="9" t="str">
        <f t="shared" si="2"/>
        <v>[조건]
- 문자 길이: 450-499 구간 내
- 턴 수: 40-44 구간 내
- 주제: 학업, 술, 봉사
- 톤: 부드럽게, 꼼꼼하게, 낙관적으로
- 화자A: 요리사, 멘토, 사육사
- 화자B: 트럭 기사, 군대 선임, 집주인
- 생성 대화수: 5</v>
      </c>
    </row>
    <row r="81">
      <c r="A81" s="7" t="str">
        <f t="shared" si="1"/>
        <v>T_080_len_500-549_turn_45-49_count_12</v>
      </c>
      <c r="B81" s="8" t="s">
        <v>143</v>
      </c>
      <c r="C81" s="7" t="s">
        <v>80</v>
      </c>
      <c r="D81" s="8" t="s">
        <v>81</v>
      </c>
      <c r="E81" s="7" t="str">
        <f>IFERROR(__xludf.DUMMYFUNCTION("TEXTJOIN("", "", TRUE, SORTN(column_value!$A$2:$A$105, 3, 0, RANDARRAY(COUNTA(column_value!A:A), 1), 1))"),"교통, 클라우드, 키보드")</f>
        <v>교통, 클라우드, 키보드</v>
      </c>
      <c r="F81" s="7" t="str">
        <f>IFERROR(__xludf.DUMMYFUNCTION("TEXTJOIN("", "", TRUE, SORTN(column_value!$B$2:$B$105, 3, 0, RANDARRAY(COUNTA(column_value!B:B), 1), 1))"),"공격적으로, 무뚝뚝하게, 중립적으로")</f>
        <v>공격적으로, 무뚝뚝하게, 중립적으로</v>
      </c>
      <c r="G81" s="7" t="str">
        <f>IFERROR(__xludf.DUMMYFUNCTION("TEXTJOIN("", "", TRUE, SORTN(column_value!$C$2:$C$105, 3, 0, RANDARRAY(COUNTA(column_value!C:C), 1), 1))"),"시니어, 손주, 운동선수")</f>
        <v>시니어, 손주, 운동선수</v>
      </c>
      <c r="H81" s="7" t="str">
        <f>IFERROR(__xludf.DUMMYFUNCTION("TEXTJOIN("", "", TRUE, SORTN(column_value!$D$2:$D$105, 3, 0, RANDARRAY(COUNTA(column_value!D:D), 1), 1))"),"방송인, 작가, 주니어")</f>
        <v>방송인, 작가, 주니어</v>
      </c>
      <c r="I81" s="7">
        <v>12.0</v>
      </c>
      <c r="J81" s="9" t="str">
        <f t="shared" si="2"/>
        <v>[조건]
- 문자 길이: 500-549 구간 내
- 턴 수: 45-49 구간 내
- 주제: 교통, 클라우드, 키보드
- 톤: 공격적으로, 무뚝뚝하게, 중립적으로
- 화자A: 시니어, 손주, 운동선수
- 화자B: 방송인, 작가, 주니어
- 생성 대화수: 12</v>
      </c>
    </row>
    <row r="82">
      <c r="A82" s="7" t="str">
        <f t="shared" si="1"/>
        <v>T_081_len_50-99_turn_0-4_count_5</v>
      </c>
      <c r="B82" s="8" t="s">
        <v>144</v>
      </c>
      <c r="C82" s="7" t="s">
        <v>43</v>
      </c>
      <c r="D82" s="8" t="s">
        <v>44</v>
      </c>
      <c r="E82" s="7" t="str">
        <f>IFERROR(__xludf.DUMMYFUNCTION("TEXTJOIN("", "", TRUE, SORTN(column_value!$A$2:$A$105, 3, 0, RANDARRAY(COUNTA(column_value!A:A), 1), 1))"),"영화, 보험, 명상")</f>
        <v>영화, 보험, 명상</v>
      </c>
      <c r="F82" s="7" t="str">
        <f>IFERROR(__xludf.DUMMYFUNCTION("TEXTJOIN("", "", TRUE, SORTN(column_value!$B$2:$B$105, 3, 0, RANDARRAY(COUNTA(column_value!B:B), 1), 1))"),"협조적으로, 무관심하게, 시크하게")</f>
        <v>협조적으로, 무관심하게, 시크하게</v>
      </c>
      <c r="G82" s="7" t="str">
        <f>IFERROR(__xludf.DUMMYFUNCTION("TEXTJOIN("", "", TRUE, SORTN(column_value!$C$2:$C$105, 3, 0, RANDARRAY(COUNTA(column_value!C:C), 1), 1))"),"자영업자, 어부, 농부")</f>
        <v>자영업자, 어부, 농부</v>
      </c>
      <c r="H82" s="7" t="str">
        <f>IFERROR(__xludf.DUMMYFUNCTION("TEXTJOIN("", "", TRUE, SORTN(column_value!$D$2:$D$105, 3, 0, RANDARRAY(COUNTA(column_value!D:D), 1), 1))"),"만화가, 기자, 심리치료사")</f>
        <v>만화가, 기자, 심리치료사</v>
      </c>
      <c r="I82" s="7">
        <v>5.0</v>
      </c>
      <c r="J82" s="9" t="str">
        <f t="shared" si="2"/>
        <v>[조건]
- 문자 길이: 50-99 구간 내
- 턴 수: 0-4 구간 내
- 주제: 영화, 보험, 명상
- 톤: 협조적으로, 무관심하게, 시크하게
- 화자A: 자영업자, 어부, 농부
- 화자B: 만화가, 기자, 심리치료사
- 생성 대화수: 5</v>
      </c>
    </row>
    <row r="83">
      <c r="A83" s="7" t="str">
        <f t="shared" si="1"/>
        <v>T_082_len_100-149_turn_5-9_count_20</v>
      </c>
      <c r="B83" s="8" t="s">
        <v>145</v>
      </c>
      <c r="C83" s="7" t="s">
        <v>46</v>
      </c>
      <c r="D83" s="8" t="s">
        <v>47</v>
      </c>
      <c r="E83" s="7" t="str">
        <f>IFERROR(__xludf.DUMMYFUNCTION("TEXTJOIN("", "", TRUE, SORTN(column_value!$A$2:$A$105, 3, 0, RANDARRAY(COUNTA(column_value!A:A), 1), 1))"),"키보드, 카페, 사진")</f>
        <v>키보드, 카페, 사진</v>
      </c>
      <c r="F83" s="7" t="str">
        <f>IFERROR(__xludf.DUMMYFUNCTION("TEXTJOIN("", "", TRUE, SORTN(column_value!$B$2:$B$105, 3, 0, RANDARRAY(COUNTA(column_value!B:B), 1), 1))"),"귀여워하며, 무관심하게, 조롱하며")</f>
        <v>귀여워하며, 무관심하게, 조롱하며</v>
      </c>
      <c r="G83" s="7" t="str">
        <f>IFERROR(__xludf.DUMMYFUNCTION("TEXTJOIN("", "", TRUE, SORTN(column_value!$C$2:$C$105, 3, 0, RANDARRAY(COUNTA(column_value!C:C), 1), 1))"),"멘티, 유튜버, 미용사")</f>
        <v>멘티, 유튜버, 미용사</v>
      </c>
      <c r="H83" s="7" t="str">
        <f>IFERROR(__xludf.DUMMYFUNCTION("TEXTJOIN("", "", TRUE, SORTN(column_value!$D$2:$D$105, 3, 0, RANDARRAY(COUNTA(column_value!D:D), 1), 1))"),"디자이너, 유치원 교사, 트럭 기사")</f>
        <v>디자이너, 유치원 교사, 트럭 기사</v>
      </c>
      <c r="I83" s="7">
        <v>20.0</v>
      </c>
      <c r="J83" s="9" t="str">
        <f t="shared" si="2"/>
        <v>[조건]
- 문자 길이: 100-149 구간 내
- 턴 수: 5-9 구간 내
- 주제: 키보드, 카페, 사진
- 톤: 귀여워하며, 무관심하게, 조롱하며
- 화자A: 멘티, 유튜버, 미용사
- 화자B: 디자이너, 유치원 교사, 트럭 기사
- 생성 대화수: 20</v>
      </c>
    </row>
    <row r="84">
      <c r="A84" s="7" t="str">
        <f t="shared" si="1"/>
        <v>T_083_len_100-149_turn_5-9_count_20</v>
      </c>
      <c r="B84" s="8" t="s">
        <v>146</v>
      </c>
      <c r="C84" s="7" t="s">
        <v>46</v>
      </c>
      <c r="D84" s="8" t="s">
        <v>47</v>
      </c>
      <c r="E84" s="7" t="str">
        <f>IFERROR(__xludf.DUMMYFUNCTION("TEXTJOIN("", "", TRUE, SORTN(column_value!$A$2:$A$105, 3, 0, RANDARRAY(COUNTA(column_value!A:A), 1), 1))"),"마케팅, 패션, 책")</f>
        <v>마케팅, 패션, 책</v>
      </c>
      <c r="F84" s="7" t="str">
        <f>IFERROR(__xludf.DUMMYFUNCTION("TEXTJOIN("", "", TRUE, SORTN(column_value!$B$2:$B$105, 3, 0, RANDARRAY(COUNTA(column_value!B:B), 1), 1))"),"솔직하게, 실망하며, 비웃듯이")</f>
        <v>솔직하게, 실망하며, 비웃듯이</v>
      </c>
      <c r="G84" s="7" t="str">
        <f>IFERROR(__xludf.DUMMYFUNCTION("TEXTJOIN("", "", TRUE, SORTN(column_value!$C$2:$C$105, 3, 0, RANDARRAY(COUNTA(column_value!C:C), 1), 1))"),"개발자, 군대 후임, 버스 기사")</f>
        <v>개발자, 군대 후임, 버스 기사</v>
      </c>
      <c r="H84" s="7" t="str">
        <f>IFERROR(__xludf.DUMMYFUNCTION("TEXTJOIN("", "", TRUE, SORTN(column_value!$D$2:$D$105, 3, 0, RANDARRAY(COUNTA(column_value!D:D), 1), 1))"),"세입자, 필라테스 강사, 소설 작가")</f>
        <v>세입자, 필라테스 강사, 소설 작가</v>
      </c>
      <c r="I84" s="7">
        <v>20.0</v>
      </c>
      <c r="J84" s="9" t="str">
        <f t="shared" si="2"/>
        <v>[조건]
- 문자 길이: 100-149 구간 내
- 턴 수: 5-9 구간 내
- 주제: 마케팅, 패션, 책
- 톤: 솔직하게, 실망하며, 비웃듯이
- 화자A: 개발자, 군대 후임, 버스 기사
- 화자B: 세입자, 필라테스 강사, 소설 작가
- 생성 대화수: 20</v>
      </c>
    </row>
    <row r="85">
      <c r="A85" s="7" t="str">
        <f t="shared" si="1"/>
        <v>T_084_len_100-149_turn_5-9_count_5</v>
      </c>
      <c r="B85" s="8" t="s">
        <v>147</v>
      </c>
      <c r="C85" s="7" t="s">
        <v>46</v>
      </c>
      <c r="D85" s="8" t="s">
        <v>47</v>
      </c>
      <c r="E85" s="7" t="str">
        <f>IFERROR(__xludf.DUMMYFUNCTION("TEXTJOIN("", "", TRUE, SORTN(column_value!$A$2:$A$105, 3, 0, RANDARRAY(COUNTA(column_value!A:A), 1), 1))"),"직업, 책, 인사")</f>
        <v>직업, 책, 인사</v>
      </c>
      <c r="F85" s="7" t="str">
        <f>IFERROR(__xludf.DUMMYFUNCTION("TEXTJOIN("", "", TRUE, SORTN(column_value!$B$2:$B$105, 3, 0, RANDARRAY(COUNTA(column_value!B:B), 1), 1))"),"격앙되게, 순수하게, 능청스럽게")</f>
        <v>격앙되게, 순수하게, 능청스럽게</v>
      </c>
      <c r="G85" s="7" t="str">
        <f>IFERROR(__xludf.DUMMYFUNCTION("TEXTJOIN("", "", TRUE, SORTN(column_value!$C$2:$C$105, 3, 0, RANDARRAY(COUNTA(column_value!C:C), 1), 1))"),"목수, 예술가, 주부")</f>
        <v>목수, 예술가, 주부</v>
      </c>
      <c r="H85" s="7" t="str">
        <f>IFERROR(__xludf.DUMMYFUNCTION("TEXTJOIN("", "", TRUE, SORTN(column_value!$D$2:$D$105, 3, 0, RANDARRAY(COUNTA(column_value!D:D), 1), 1))"),"라이벌, 헬스 트레이너, 경찰관")</f>
        <v>라이벌, 헬스 트레이너, 경찰관</v>
      </c>
      <c r="I85" s="7">
        <v>5.0</v>
      </c>
      <c r="J85" s="9" t="str">
        <f t="shared" si="2"/>
        <v>[조건]
- 문자 길이: 100-149 구간 내
- 턴 수: 5-9 구간 내
- 주제: 직업, 책, 인사
- 톤: 격앙되게, 순수하게, 능청스럽게
- 화자A: 목수, 예술가, 주부
- 화자B: 라이벌, 헬스 트레이너, 경찰관
- 생성 대화수: 5</v>
      </c>
    </row>
    <row r="86">
      <c r="A86" s="7" t="str">
        <f t="shared" si="1"/>
        <v>T_085_len_150-199_turn_10-14_count_20</v>
      </c>
      <c r="B86" s="8" t="s">
        <v>148</v>
      </c>
      <c r="C86" s="7" t="s">
        <v>51</v>
      </c>
      <c r="D86" s="8" t="s">
        <v>52</v>
      </c>
      <c r="E86" s="7" t="str">
        <f>IFERROR(__xludf.DUMMYFUNCTION("TEXTJOIN("", "", TRUE, SORTN(column_value!$A$2:$A$105, 3, 0, RANDARRAY(COUNTA(column_value!A:A), 1), 1))"),"봉사활동, 낚시, 해양")</f>
        <v>봉사활동, 낚시, 해양</v>
      </c>
      <c r="F86" s="7" t="str">
        <f>IFERROR(__xludf.DUMMYFUNCTION("TEXTJOIN("", "", TRUE, SORTN(column_value!$B$2:$B$105, 3, 0, RANDARRAY(COUNTA(column_value!B:B), 1), 1))"),"사려 깊게, 시니컬하게, 긍정적으로")</f>
        <v>사려 깊게, 시니컬하게, 긍정적으로</v>
      </c>
      <c r="G86" s="7" t="str">
        <f>IFERROR(__xludf.DUMMYFUNCTION("TEXTJOIN("", "", TRUE, SORTN(column_value!$C$2:$C$105, 3, 0, RANDARRAY(COUNTA(column_value!C:C), 1), 1))"),"네일 아티스트, 동료, 운동선수")</f>
        <v>네일 아티스트, 동료, 운동선수</v>
      </c>
      <c r="H86" s="7" t="str">
        <f>IFERROR(__xludf.DUMMYFUNCTION("TEXTJOIN("", "", TRUE, SORTN(column_value!$D$2:$D$105, 3, 0, RANDARRAY(COUNTA(column_value!D:D), 1), 1))"),"교수, 대학생, 이웃")</f>
        <v>교수, 대학생, 이웃</v>
      </c>
      <c r="I86" s="7">
        <v>20.0</v>
      </c>
      <c r="J86" s="9" t="str">
        <f t="shared" si="2"/>
        <v>[조건]
- 문자 길이: 150-199 구간 내
- 턴 수: 10-14 구간 내
- 주제: 봉사활동, 낚시, 해양
- 톤: 사려 깊게, 시니컬하게, 긍정적으로
- 화자A: 네일 아티스트, 동료, 운동선수
- 화자B: 교수, 대학생, 이웃
- 생성 대화수: 20</v>
      </c>
    </row>
    <row r="87">
      <c r="A87" s="7" t="str">
        <f t="shared" si="1"/>
        <v>T_086_len_150-199_turn_10-14_count_20</v>
      </c>
      <c r="B87" s="8" t="s">
        <v>149</v>
      </c>
      <c r="C87" s="7" t="s">
        <v>51</v>
      </c>
      <c r="D87" s="8" t="s">
        <v>52</v>
      </c>
      <c r="E87" s="7" t="str">
        <f>IFERROR(__xludf.DUMMYFUNCTION("TEXTJOIN("", "", TRUE, SORTN(column_value!$A$2:$A$105, 3, 0, RANDARRAY(COUNTA(column_value!A:A), 1), 1))"),"기술, 과학, 수산업")</f>
        <v>기술, 과학, 수산업</v>
      </c>
      <c r="F87" s="7" t="str">
        <f>IFERROR(__xludf.DUMMYFUNCTION("TEXTJOIN("", "", TRUE, SORTN(column_value!$B$2:$B$105, 3, 0, RANDARRAY(COUNTA(column_value!B:B), 1), 1))"),"차분하게, 기대하며, 화나게")</f>
        <v>차분하게, 기대하며, 화나게</v>
      </c>
      <c r="G87" s="7" t="str">
        <f>IFERROR(__xludf.DUMMYFUNCTION("TEXTJOIN("", "", TRUE, SORTN(column_value!$C$2:$C$105, 3, 0, RANDARRAY(COUNTA(column_value!C:C), 1), 1))"),"마케터, 의사, 은행원")</f>
        <v>마케터, 의사, 은행원</v>
      </c>
      <c r="H87" s="7" t="str">
        <f>IFERROR(__xludf.DUMMYFUNCTION("TEXTJOIN("", "", TRUE, SORTN(column_value!$D$2:$D$105, 3, 0, RANDARRAY(COUNTA(column_value!D:D), 1), 1))"),"손주, 세입자, 응급구조사")</f>
        <v>손주, 세입자, 응급구조사</v>
      </c>
      <c r="I87" s="7">
        <v>20.0</v>
      </c>
      <c r="J87" s="9" t="str">
        <f t="shared" si="2"/>
        <v>[조건]
- 문자 길이: 150-199 구간 내
- 턴 수: 10-14 구간 내
- 주제: 기술, 과학, 수산업
- 톤: 차분하게, 기대하며, 화나게
- 화자A: 마케터, 의사, 은행원
- 화자B: 손주, 세입자, 응급구조사
- 생성 대화수: 20</v>
      </c>
    </row>
    <row r="88">
      <c r="A88" s="7" t="str">
        <f t="shared" si="1"/>
        <v>T_087_len_150-199_turn_10-14_count_20</v>
      </c>
      <c r="B88" s="8" t="s">
        <v>150</v>
      </c>
      <c r="C88" s="7" t="s">
        <v>51</v>
      </c>
      <c r="D88" s="8" t="s">
        <v>52</v>
      </c>
      <c r="E88" s="7" t="str">
        <f>IFERROR(__xludf.DUMMYFUNCTION("TEXTJOIN("", "", TRUE, SORTN(column_value!$A$2:$A$105, 3, 0, RANDARRAY(COUNTA(column_value!A:A), 1), 1))"),"레시피, 교육, 수산업")</f>
        <v>레시피, 교육, 수산업</v>
      </c>
      <c r="F88" s="7" t="str">
        <f>IFERROR(__xludf.DUMMYFUNCTION("TEXTJOIN("", "", TRUE, SORTN(column_value!$B$2:$B$105, 3, 0, RANDARRAY(COUNTA(column_value!B:B), 1), 1))"),"시크하게, 냉혹하게, 슬프게")</f>
        <v>시크하게, 냉혹하게, 슬프게</v>
      </c>
      <c r="G88" s="7" t="str">
        <f>IFERROR(__xludf.DUMMYFUNCTION("TEXTJOIN("", "", TRUE, SORTN(column_value!$C$2:$C$105, 3, 0, RANDARRAY(COUNTA(column_value!C:C), 1), 1))"),"선배, 교사, 예술가")</f>
        <v>선배, 교사, 예술가</v>
      </c>
      <c r="H88" s="7" t="str">
        <f>IFERROR(__xludf.DUMMYFUNCTION("TEXTJOIN("", "", TRUE, SORTN(column_value!$D$2:$D$105, 3, 0, RANDARRAY(COUNTA(column_value!D:D), 1), 1))"),"CEO, 농부, 사진작가")</f>
        <v>CEO, 농부, 사진작가</v>
      </c>
      <c r="I88" s="7">
        <v>20.0</v>
      </c>
      <c r="J88" s="9" t="str">
        <f t="shared" si="2"/>
        <v>[조건]
- 문자 길이: 150-199 구간 내
- 턴 수: 10-14 구간 내
- 주제: 레시피, 교육, 수산업
- 톤: 시크하게, 냉혹하게, 슬프게
- 화자A: 선배, 교사, 예술가
- 화자B: CEO, 농부, 사진작가
- 생성 대화수: 20</v>
      </c>
    </row>
    <row r="89">
      <c r="A89" s="7" t="str">
        <f t="shared" si="1"/>
        <v>T_088_len_150-199_turn_10-14_count_20</v>
      </c>
      <c r="B89" s="8" t="s">
        <v>151</v>
      </c>
      <c r="C89" s="7" t="s">
        <v>51</v>
      </c>
      <c r="D89" s="8" t="s">
        <v>52</v>
      </c>
      <c r="E89" s="7" t="str">
        <f>IFERROR(__xludf.DUMMYFUNCTION("TEXTJOIN("", "", TRUE, SORTN(column_value!$A$2:$A$105, 3, 0, RANDARRAY(COUNTA(column_value!A:A), 1), 1))"),"디자인, 친구, 농업")</f>
        <v>디자인, 친구, 농업</v>
      </c>
      <c r="F89" s="7" t="str">
        <f>IFERROR(__xludf.DUMMYFUNCTION("TEXTJOIN("", "", TRUE, SORTN(column_value!$B$2:$B$105, 3, 0, RANDARRAY(COUNTA(column_value!B:B), 1), 1))"),"날카롭게, 능청스럽게, 기대하며")</f>
        <v>날카롭게, 능청스럽게, 기대하며</v>
      </c>
      <c r="G89" s="7" t="str">
        <f>IFERROR(__xludf.DUMMYFUNCTION("TEXTJOIN("", "", TRUE, SORTN(column_value!$C$2:$C$105, 3, 0, RANDARRAY(COUNTA(column_value!C:C), 1), 1))"),"바리스타, 운동선수, 애니메이터")</f>
        <v>바리스타, 운동선수, 애니메이터</v>
      </c>
      <c r="H89" s="7" t="str">
        <f>IFERROR(__xludf.DUMMYFUNCTION("TEXTJOIN("", "", TRUE, SORTN(column_value!$D$2:$D$105, 3, 0, RANDARRAY(COUNTA(column_value!D:D), 1), 1))"),"동료, 심리치료사, 은행원")</f>
        <v>동료, 심리치료사, 은행원</v>
      </c>
      <c r="I89" s="7">
        <v>20.0</v>
      </c>
      <c r="J89" s="9" t="str">
        <f t="shared" si="2"/>
        <v>[조건]
- 문자 길이: 150-199 구간 내
- 턴 수: 10-14 구간 내
- 주제: 디자인, 친구, 농업
- 톤: 날카롭게, 능청스럽게, 기대하며
- 화자A: 바리스타, 운동선수, 애니메이터
- 화자B: 동료, 심리치료사, 은행원
- 생성 대화수: 20</v>
      </c>
    </row>
    <row r="90">
      <c r="A90" s="7" t="str">
        <f t="shared" si="1"/>
        <v>T_089_len_150-199_turn_10-14_count_6</v>
      </c>
      <c r="B90" s="8" t="s">
        <v>152</v>
      </c>
      <c r="C90" s="7" t="s">
        <v>51</v>
      </c>
      <c r="D90" s="8" t="s">
        <v>52</v>
      </c>
      <c r="E90" s="7" t="str">
        <f>IFERROR(__xludf.DUMMYFUNCTION("TEXTJOIN("", "", TRUE, SORTN(column_value!$A$2:$A$105, 3, 0, RANDARRAY(COUNTA(column_value!A:A), 1), 1))"),"로봇, 경영, 사회")</f>
        <v>로봇, 경영, 사회</v>
      </c>
      <c r="F90" s="7" t="str">
        <f>IFERROR(__xludf.DUMMYFUNCTION("TEXTJOIN("", "", TRUE, SORTN(column_value!$B$2:$B$105, 3, 0, RANDARRAY(COUNTA(column_value!B:B), 1), 1))"),"냉정하게, 부드럽게, 재치있게")</f>
        <v>냉정하게, 부드럽게, 재치있게</v>
      </c>
      <c r="G90" s="7" t="str">
        <f>IFERROR(__xludf.DUMMYFUNCTION("TEXTJOIN("", "", TRUE, SORTN(column_value!$C$2:$C$105, 3, 0, RANDARRAY(COUNTA(column_value!C:C), 1), 1))"),"정치인, 건축가, 소방관")</f>
        <v>정치인, 건축가, 소방관</v>
      </c>
      <c r="H90" s="7" t="str">
        <f>IFERROR(__xludf.DUMMYFUNCTION("TEXTJOIN("", "", TRUE, SORTN(column_value!$D$2:$D$105, 3, 0, RANDARRAY(COUNTA(column_value!D:D), 1), 1))"),"요리사, 애니메이터, 헬스 트레이너")</f>
        <v>요리사, 애니메이터, 헬스 트레이너</v>
      </c>
      <c r="I90" s="7">
        <v>6.0</v>
      </c>
      <c r="J90" s="9" t="str">
        <f t="shared" si="2"/>
        <v>[조건]
- 문자 길이: 150-199 구간 내
- 턴 수: 10-14 구간 내
- 주제: 로봇, 경영, 사회
- 톤: 냉정하게, 부드럽게, 재치있게
- 화자A: 정치인, 건축가, 소방관
- 화자B: 요리사, 애니메이터, 헬스 트레이너
- 생성 대화수: 6</v>
      </c>
    </row>
    <row r="91">
      <c r="A91" s="7" t="str">
        <f t="shared" si="1"/>
        <v>T_090_len_200-249_turn_15-19_count_20</v>
      </c>
      <c r="B91" s="8" t="s">
        <v>153</v>
      </c>
      <c r="C91" s="7" t="s">
        <v>58</v>
      </c>
      <c r="D91" s="8" t="s">
        <v>59</v>
      </c>
      <c r="E91" s="7" t="str">
        <f>IFERROR(__xludf.DUMMYFUNCTION("TEXTJOIN("", "", TRUE, SORTN(column_value!$A$2:$A$105, 3, 0, RANDARRAY(COUNTA(column_value!A:A), 1), 1))"),"반려동물, 운동, AI")</f>
        <v>반려동물, 운동, AI</v>
      </c>
      <c r="F91" s="7" t="str">
        <f>IFERROR(__xludf.DUMMYFUNCTION("TEXTJOIN("", "", TRUE, SORTN(column_value!$B$2:$B$105, 3, 0, RANDARRAY(COUNTA(column_value!B:B), 1), 1))"),"까칠하게, 거만하게, 천진난만하게")</f>
        <v>까칠하게, 거만하게, 천진난만하게</v>
      </c>
      <c r="G91" s="7" t="str">
        <f>IFERROR(__xludf.DUMMYFUNCTION("TEXTJOIN("", "", TRUE, SORTN(column_value!$C$2:$C$105, 3, 0, RANDARRAY(COUNTA(column_value!C:C), 1), 1))"),"멘티, 버스 기사, 작가")</f>
        <v>멘티, 버스 기사, 작가</v>
      </c>
      <c r="H91" s="7" t="str">
        <f>IFERROR(__xludf.DUMMYFUNCTION("TEXTJOIN("", "", TRUE, SORTN(column_value!$D$2:$D$105, 3, 0, RANDARRAY(COUNTA(column_value!D:D), 1), 1))"),"점원, 후배, 교수")</f>
        <v>점원, 후배, 교수</v>
      </c>
      <c r="I91" s="7">
        <v>20.0</v>
      </c>
      <c r="J91" s="9" t="str">
        <f t="shared" si="2"/>
        <v>[조건]
- 문자 길이: 200-249 구간 내
- 턴 수: 15-19 구간 내
- 주제: 반려동물, 운동, AI
- 톤: 까칠하게, 거만하게, 천진난만하게
- 화자A: 멘티, 버스 기사, 작가
- 화자B: 점원, 후배, 교수
- 생성 대화수: 20</v>
      </c>
    </row>
    <row r="92">
      <c r="A92" s="7" t="str">
        <f t="shared" si="1"/>
        <v>T_091_len_200-249_turn_15-19_count_20</v>
      </c>
      <c r="B92" s="8" t="s">
        <v>154</v>
      </c>
      <c r="C92" s="7" t="s">
        <v>58</v>
      </c>
      <c r="D92" s="8" t="s">
        <v>59</v>
      </c>
      <c r="E92" s="7" t="str">
        <f>IFERROR(__xludf.DUMMYFUNCTION("TEXTJOIN("", "", TRUE, SORTN(column_value!$A$2:$A$105, 3, 0, RANDARRAY(COUNTA(column_value!A:A), 1), 1))"),"종교, 다이어트, 피아노")</f>
        <v>종교, 다이어트, 피아노</v>
      </c>
      <c r="F92" s="7" t="str">
        <f>IFERROR(__xludf.DUMMYFUNCTION("TEXTJOIN("", "", TRUE, SORTN(column_value!$B$2:$B$105, 3, 0, RANDARRAY(COUNTA(column_value!B:B), 1), 1))"),"솔직하게, 슬프게, 건조하게")</f>
        <v>솔직하게, 슬프게, 건조하게</v>
      </c>
      <c r="G92" s="7" t="str">
        <f>IFERROR(__xludf.DUMMYFUNCTION("TEXTJOIN("", "", TRUE, SORTN(column_value!$C$2:$C$105, 3, 0, RANDARRAY(COUNTA(column_value!C:C), 1), 1))"),"사업가, 목수, 군대 선임")</f>
        <v>사업가, 목수, 군대 선임</v>
      </c>
      <c r="H92" s="7" t="str">
        <f>IFERROR(__xludf.DUMMYFUNCTION("TEXTJOIN("", "", TRUE, SORTN(column_value!$D$2:$D$105, 3, 0, RANDARRAY(COUNTA(column_value!D:D), 1), 1))"),"운동선수, 가수, 기자")</f>
        <v>운동선수, 가수, 기자</v>
      </c>
      <c r="I92" s="7">
        <v>20.0</v>
      </c>
      <c r="J92" s="9" t="str">
        <f t="shared" si="2"/>
        <v>[조건]
- 문자 길이: 200-249 구간 내
- 턴 수: 15-19 구간 내
- 주제: 종교, 다이어트, 피아노
- 톤: 솔직하게, 슬프게, 건조하게
- 화자A: 사업가, 목수, 군대 선임
- 화자B: 운동선수, 가수, 기자
- 생성 대화수: 20</v>
      </c>
    </row>
    <row r="93">
      <c r="A93" s="7" t="str">
        <f t="shared" si="1"/>
        <v>T_092_len_200-249_turn_15-19_count_20</v>
      </c>
      <c r="B93" s="8" t="s">
        <v>155</v>
      </c>
      <c r="C93" s="7" t="s">
        <v>58</v>
      </c>
      <c r="D93" s="8" t="s">
        <v>59</v>
      </c>
      <c r="E93" s="7" t="str">
        <f>IFERROR(__xludf.DUMMYFUNCTION("TEXTJOIN("", "", TRUE, SORTN(column_value!$A$2:$A$105, 3, 0, RANDARRAY(COUNTA(column_value!A:A), 1), 1))"),"빅데이터, 수학, 문화")</f>
        <v>빅데이터, 수학, 문화</v>
      </c>
      <c r="F93" s="7" t="str">
        <f>IFERROR(__xludf.DUMMYFUNCTION("TEXTJOIN("", "", TRUE, SORTN(column_value!$B$2:$B$105, 3, 0, RANDARRAY(COUNTA(column_value!B:B), 1), 1))"),"궁금해하며, 자신감 있게, 비관적으로")</f>
        <v>궁금해하며, 자신감 있게, 비관적으로</v>
      </c>
      <c r="G93" s="7" t="str">
        <f>IFERROR(__xludf.DUMMYFUNCTION("TEXTJOIN("", "", TRUE, SORTN(column_value!$C$2:$C$105, 3, 0, RANDARRAY(COUNTA(column_value!C:C), 1), 1))"),"이웃, 부모, 엔지니어")</f>
        <v>이웃, 부모, 엔지니어</v>
      </c>
      <c r="H93" s="7" t="str">
        <f>IFERROR(__xludf.DUMMYFUNCTION("TEXTJOIN("", "", TRUE, SORTN(column_value!$D$2:$D$105, 3, 0, RANDARRAY(COUNTA(column_value!D:D), 1), 1))"),"네일 아티스트, 멘토, 번역가")</f>
        <v>네일 아티스트, 멘토, 번역가</v>
      </c>
      <c r="I93" s="7">
        <v>20.0</v>
      </c>
      <c r="J93" s="9" t="str">
        <f t="shared" si="2"/>
        <v>[조건]
- 문자 길이: 200-249 구간 내
- 턴 수: 15-19 구간 내
- 주제: 빅데이터, 수학, 문화
- 톤: 궁금해하며, 자신감 있게, 비관적으로
- 화자A: 이웃, 부모, 엔지니어
- 화자B: 네일 아티스트, 멘토, 번역가
- 생성 대화수: 20</v>
      </c>
    </row>
    <row r="94">
      <c r="A94" s="7" t="str">
        <f t="shared" si="1"/>
        <v>T_093_len_200-249_turn_15-19_count_9</v>
      </c>
      <c r="B94" s="8" t="s">
        <v>156</v>
      </c>
      <c r="C94" s="7" t="s">
        <v>58</v>
      </c>
      <c r="D94" s="8" t="s">
        <v>59</v>
      </c>
      <c r="E94" s="7" t="str">
        <f>IFERROR(__xludf.DUMMYFUNCTION("TEXTJOIN("", "", TRUE, SORTN(column_value!$A$2:$A$105, 3, 0, RANDARRAY(COUNTA(column_value!A:A), 1), 1))"),"반려동물, 부동산, 등산")</f>
        <v>반려동물, 부동산, 등산</v>
      </c>
      <c r="F94" s="7" t="str">
        <f>IFERROR(__xludf.DUMMYFUNCTION("TEXTJOIN("", "", TRUE, SORTN(column_value!$B$2:$B$105, 3, 0, RANDARRAY(COUNTA(column_value!B:B), 1), 1))"),"차분하게, 위트있게, 보수적으로")</f>
        <v>차분하게, 위트있게, 보수적으로</v>
      </c>
      <c r="G94" s="7" t="str">
        <f>IFERROR(__xludf.DUMMYFUNCTION("TEXTJOIN("", "", TRUE, SORTN(column_value!$C$2:$C$105, 3, 0, RANDARRAY(COUNTA(column_value!C:C), 1), 1))"),"여행가, 손주, 과학자")</f>
        <v>여행가, 손주, 과학자</v>
      </c>
      <c r="H94" s="7" t="str">
        <f>IFERROR(__xludf.DUMMYFUNCTION("TEXTJOIN("", "", TRUE, SORTN(column_value!$D$2:$D$105, 3, 0, RANDARRAY(COUNTA(column_value!D:D), 1), 1))"),"건축가, 신혼부부, 수의사")</f>
        <v>건축가, 신혼부부, 수의사</v>
      </c>
      <c r="I94" s="7">
        <v>9.0</v>
      </c>
      <c r="J94" s="9" t="str">
        <f t="shared" si="2"/>
        <v>[조건]
- 문자 길이: 200-249 구간 내
- 턴 수: 15-19 구간 내
- 주제: 반려동물, 부동산, 등산
- 톤: 차분하게, 위트있게, 보수적으로
- 화자A: 여행가, 손주, 과학자
- 화자B: 건축가, 신혼부부, 수의사
- 생성 대화수: 9</v>
      </c>
    </row>
    <row r="95">
      <c r="A95" s="7" t="str">
        <f t="shared" si="1"/>
        <v>T_094_len_250-299_turn_20-24_count_20</v>
      </c>
      <c r="B95" s="8" t="s">
        <v>157</v>
      </c>
      <c r="C95" s="7" t="s">
        <v>64</v>
      </c>
      <c r="D95" s="8" t="s">
        <v>65</v>
      </c>
      <c r="E95" s="7" t="str">
        <f>IFERROR(__xludf.DUMMYFUNCTION("TEXTJOIN("", "", TRUE, SORTN(column_value!$A$2:$A$105, 3, 0, RANDARRAY(COUNTA(column_value!A:A), 1), 1))"),"명상, 육아, 키보드")</f>
        <v>명상, 육아, 키보드</v>
      </c>
      <c r="F95" s="7" t="str">
        <f>IFERROR(__xludf.DUMMYFUNCTION("TEXTJOIN("", "", TRUE, SORTN(column_value!$B$2:$B$105, 3, 0, RANDARRAY(COUNTA(column_value!B:B), 1), 1))"),"사려 깊게, 천진난만하게, 애교있게")</f>
        <v>사려 깊게, 천진난만하게, 애교있게</v>
      </c>
      <c r="G95" s="7" t="str">
        <f>IFERROR(__xludf.DUMMYFUNCTION("TEXTJOIN("", "", TRUE, SORTN(column_value!$C$2:$C$105, 3, 0, RANDARRAY(COUNTA(column_value!C:C), 1), 1))"),"기자, 트럭 기사, 손주")</f>
        <v>기자, 트럭 기사, 손주</v>
      </c>
      <c r="H95" s="7" t="str">
        <f>IFERROR(__xludf.DUMMYFUNCTION("TEXTJOIN("", "", TRUE, SORTN(column_value!$D$2:$D$105, 3, 0, RANDARRAY(COUNTA(column_value!D:D), 1), 1))"),"교수, 인턴, 요가 강사")</f>
        <v>교수, 인턴, 요가 강사</v>
      </c>
      <c r="I95" s="7">
        <v>20.0</v>
      </c>
      <c r="J95" s="9" t="str">
        <f t="shared" si="2"/>
        <v>[조건]
- 문자 길이: 250-299 구간 내
- 턴 수: 20-24 구간 내
- 주제: 명상, 육아, 키보드
- 톤: 사려 깊게, 천진난만하게, 애교있게
- 화자A: 기자, 트럭 기사, 손주
- 화자B: 교수, 인턴, 요가 강사
- 생성 대화수: 20</v>
      </c>
    </row>
    <row r="96">
      <c r="A96" s="7" t="str">
        <f t="shared" si="1"/>
        <v>T_095_len_250-299_turn_20-24_count_18</v>
      </c>
      <c r="B96" s="8" t="s">
        <v>158</v>
      </c>
      <c r="C96" s="7" t="s">
        <v>64</v>
      </c>
      <c r="D96" s="8" t="s">
        <v>65</v>
      </c>
      <c r="E96" s="7" t="str">
        <f>IFERROR(__xludf.DUMMYFUNCTION("TEXTJOIN("", "", TRUE, SORTN(column_value!$A$2:$A$105, 3, 0, RANDARRAY(COUNTA(column_value!A:A), 1), 1))"),"연예, 연애, 건강")</f>
        <v>연예, 연애, 건강</v>
      </c>
      <c r="F96" s="7" t="str">
        <f>IFERROR(__xludf.DUMMYFUNCTION("TEXTJOIN("", "", TRUE, SORTN(column_value!$B$2:$B$105, 3, 0, RANDARRAY(COUNTA(column_value!B:B), 1), 1))"),"공손하게, 단호하게, 진지하게")</f>
        <v>공손하게, 단호하게, 진지하게</v>
      </c>
      <c r="G96" s="7" t="str">
        <f>IFERROR(__xludf.DUMMYFUNCTION("TEXTJOIN("", "", TRUE, SORTN(column_value!$C$2:$C$105, 3, 0, RANDARRAY(COUNTA(column_value!C:C), 1), 1))"),"부모, 간호사, 소설 작가")</f>
        <v>부모, 간호사, 소설 작가</v>
      </c>
      <c r="H96" s="7" t="str">
        <f>IFERROR(__xludf.DUMMYFUNCTION("TEXTJOIN("", "", TRUE, SORTN(column_value!$D$2:$D$105, 3, 0, RANDARRAY(COUNTA(column_value!D:D), 1), 1))"),"이웃, 헬스 트레이너, 간호사")</f>
        <v>이웃, 헬스 트레이너, 간호사</v>
      </c>
      <c r="I96" s="7">
        <v>18.0</v>
      </c>
      <c r="J96" s="9" t="str">
        <f t="shared" si="2"/>
        <v>[조건]
- 문자 길이: 250-299 구간 내
- 턴 수: 20-24 구간 내
- 주제: 연예, 연애, 건강
- 톤: 공손하게, 단호하게, 진지하게
- 화자A: 부모, 간호사, 소설 작가
- 화자B: 이웃, 헬스 트레이너, 간호사
- 생성 대화수: 18</v>
      </c>
    </row>
    <row r="97">
      <c r="A97" s="7" t="str">
        <f t="shared" si="1"/>
        <v>T_096_len_300-349_turn_25-29_count_20</v>
      </c>
      <c r="B97" s="8" t="s">
        <v>159</v>
      </c>
      <c r="C97" s="7" t="s">
        <v>68</v>
      </c>
      <c r="D97" s="8" t="s">
        <v>69</v>
      </c>
      <c r="E97" s="7" t="str">
        <f>IFERROR(__xludf.DUMMYFUNCTION("TEXTJOIN("", "", TRUE, SORTN(column_value!$A$2:$A$105, 3, 0, RANDARRAY(COUNTA(column_value!A:A), 1), 1))"),"글쓰기, 쇼핑, 연애")</f>
        <v>글쓰기, 쇼핑, 연애</v>
      </c>
      <c r="F97" s="7" t="str">
        <f>IFERROR(__xludf.DUMMYFUNCTION("TEXTJOIN("", "", TRUE, SORTN(column_value!$B$2:$B$105, 3, 0, RANDARRAY(COUNTA(column_value!B:B), 1), 1))"),"애틋하게, 위트있게, 순수하게")</f>
        <v>애틋하게, 위트있게, 순수하게</v>
      </c>
      <c r="G97" s="7" t="str">
        <f>IFERROR(__xludf.DUMMYFUNCTION("TEXTJOIN("", "", TRUE, SORTN(column_value!$C$2:$C$105, 3, 0, RANDARRAY(COUNTA(column_value!C:C), 1), 1))"),"은행원, 조종사, 집주인")</f>
        <v>은행원, 조종사, 집주인</v>
      </c>
      <c r="H97" s="7" t="str">
        <f>IFERROR(__xludf.DUMMYFUNCTION("TEXTJOIN("", "", TRUE, SORTN(column_value!$D$2:$D$105, 3, 0, RANDARRAY(COUNTA(column_value!D:D), 1), 1))"),"바리스타, 변호사, 배우")</f>
        <v>바리스타, 변호사, 배우</v>
      </c>
      <c r="I97" s="7">
        <v>20.0</v>
      </c>
      <c r="J97" s="9" t="str">
        <f t="shared" si="2"/>
        <v>[조건]
- 문자 길이: 300-349 구간 내
- 턴 수: 25-29 구간 내
- 주제: 글쓰기, 쇼핑, 연애
- 톤: 애틋하게, 위트있게, 순수하게
- 화자A: 은행원, 조종사, 집주인
- 화자B: 바리스타, 변호사, 배우
- 생성 대화수: 20</v>
      </c>
    </row>
    <row r="98">
      <c r="A98" s="7" t="str">
        <f t="shared" si="1"/>
        <v>T_097_len_350-399_turn_30-34_count_13</v>
      </c>
      <c r="B98" s="8" t="s">
        <v>160</v>
      </c>
      <c r="C98" s="7" t="s">
        <v>71</v>
      </c>
      <c r="D98" s="8" t="s">
        <v>72</v>
      </c>
      <c r="E98" s="7" t="str">
        <f>IFERROR(__xludf.DUMMYFUNCTION("TEXTJOIN("", "", TRUE, SORTN(column_value!$A$2:$A$105, 3, 0, RANDARRAY(COUNTA(column_value!A:A), 1), 1))"),"철학, 반려동물, 드라이브")</f>
        <v>철학, 반려동물, 드라이브</v>
      </c>
      <c r="F98" s="7" t="str">
        <f>IFERROR(__xludf.DUMMYFUNCTION("TEXTJOIN("", "", TRUE, SORTN(column_value!$B$2:$B$105, 3, 0, RANDARRAY(COUNTA(column_value!B:B), 1), 1))"),"무관심하게, 무심하게, 정중하게")</f>
        <v>무관심하게, 무심하게, 정중하게</v>
      </c>
      <c r="G98" s="7" t="str">
        <f>IFERROR(__xludf.DUMMYFUNCTION("TEXTJOIN("", "", TRUE, SORTN(column_value!$C$2:$C$105, 3, 0, RANDARRAY(COUNTA(column_value!C:C), 1), 1))"),"작가, 유튜버, 버스 기사")</f>
        <v>작가, 유튜버, 버스 기사</v>
      </c>
      <c r="H98" s="7" t="str">
        <f>IFERROR(__xludf.DUMMYFUNCTION("TEXTJOIN("", "", TRUE, SORTN(column_value!$D$2:$D$105, 3, 0, RANDARRAY(COUNTA(column_value!D:D), 1), 1))"),"애니메이터, 후배, 바텐더")</f>
        <v>애니메이터, 후배, 바텐더</v>
      </c>
      <c r="I98" s="7">
        <v>13.0</v>
      </c>
      <c r="J98" s="9" t="str">
        <f t="shared" si="2"/>
        <v>[조건]
- 문자 길이: 350-399 구간 내
- 턴 수: 30-34 구간 내
- 주제: 철학, 반려동물, 드라이브
- 톤: 무관심하게, 무심하게, 정중하게
- 화자A: 작가, 유튜버, 버스 기사
- 화자B: 애니메이터, 후배, 바텐더
- 생성 대화수: 13</v>
      </c>
    </row>
    <row r="99">
      <c r="A99" s="7" t="str">
        <f t="shared" si="1"/>
        <v>T_098_len_400-449_turn_35-39_count_7</v>
      </c>
      <c r="B99" s="8" t="s">
        <v>161</v>
      </c>
      <c r="C99" s="7" t="s">
        <v>74</v>
      </c>
      <c r="D99" s="8" t="s">
        <v>75</v>
      </c>
      <c r="E99" s="7" t="str">
        <f>IFERROR(__xludf.DUMMYFUNCTION("TEXTJOIN("", "", TRUE, SORTN(column_value!$A$2:$A$105, 3, 0, RANDARRAY(COUNTA(column_value!A:A), 1), 1))"),"우주, 제약, 철학")</f>
        <v>우주, 제약, 철학</v>
      </c>
      <c r="F99" s="7" t="str">
        <f>IFERROR(__xludf.DUMMYFUNCTION("TEXTJOIN("", "", TRUE, SORTN(column_value!$B$2:$B$105, 3, 0, RANDARRAY(COUNTA(column_value!B:B), 1), 1))"),"차분하게, 냉담하게, 중립적으로")</f>
        <v>차분하게, 냉담하게, 중립적으로</v>
      </c>
      <c r="G99" s="7" t="str">
        <f>IFERROR(__xludf.DUMMYFUNCTION("TEXTJOIN("", "", TRUE, SORTN(column_value!$C$2:$C$105, 3, 0, RANDARRAY(COUNTA(column_value!C:C), 1), 1))"),"버스 기사, 작가, 시니어")</f>
        <v>버스 기사, 작가, 시니어</v>
      </c>
      <c r="H99" s="7" t="str">
        <f>IFERROR(__xludf.DUMMYFUNCTION("TEXTJOIN("", "", TRUE, SORTN(column_value!$D$2:$D$105, 3, 0, RANDARRAY(COUNTA(column_value!D:D), 1), 1))"),"멘티, 농부, 군대 선임")</f>
        <v>멘티, 농부, 군대 선임</v>
      </c>
      <c r="I99" s="7">
        <v>7.0</v>
      </c>
      <c r="J99" s="9" t="str">
        <f t="shared" si="2"/>
        <v>[조건]
- 문자 길이: 400-449 구간 내
- 턴 수: 35-39 구간 내
- 주제: 우주, 제약, 철학
- 톤: 차분하게, 냉담하게, 중립적으로
- 화자A: 버스 기사, 작가, 시니어
- 화자B: 멘티, 농부, 군대 선임
- 생성 대화수: 7</v>
      </c>
    </row>
    <row r="100">
      <c r="A100" s="7" t="str">
        <f t="shared" si="1"/>
        <v>T_099_len_450-499_turn_40-44_count_5</v>
      </c>
      <c r="B100" s="8" t="s">
        <v>162</v>
      </c>
      <c r="C100" s="7" t="s">
        <v>77</v>
      </c>
      <c r="D100" s="8" t="s">
        <v>78</v>
      </c>
      <c r="E100" s="7" t="str">
        <f>IFERROR(__xludf.DUMMYFUNCTION("TEXTJOIN("", "", TRUE, SORTN(column_value!$A$2:$A$105, 3, 0, RANDARRAY(COUNTA(column_value!A:A), 1), 1))"),"제약, 여행, 생명과학")</f>
        <v>제약, 여행, 생명과학</v>
      </c>
      <c r="F100" s="7" t="str">
        <f>IFERROR(__xludf.DUMMYFUNCTION("TEXTJOIN("", "", TRUE, SORTN(column_value!$B$2:$B$105, 3, 0, RANDARRAY(COUNTA(column_value!B:B), 1), 1))"),"간절하게, 방어적으로, 불안하게")</f>
        <v>간절하게, 방어적으로, 불안하게</v>
      </c>
      <c r="G100" s="7" t="str">
        <f>IFERROR(__xludf.DUMMYFUNCTION("TEXTJOIN("", "", TRUE, SORTN(column_value!$C$2:$C$105, 3, 0, RANDARRAY(COUNTA(column_value!C:C), 1), 1))"),"필라테스 강사, 조종사, 소믈리에")</f>
        <v>필라테스 강사, 조종사, 소믈리에</v>
      </c>
      <c r="H100" s="7" t="str">
        <f>IFERROR(__xludf.DUMMYFUNCTION("TEXTJOIN("", "", TRUE, SORTN(column_value!$D$2:$D$105, 3, 0, RANDARRAY(COUNTA(column_value!D:D), 1), 1))"),"사회복지사, 점원, 건축가")</f>
        <v>사회복지사, 점원, 건축가</v>
      </c>
      <c r="I100" s="7">
        <v>5.0</v>
      </c>
      <c r="J100" s="9" t="str">
        <f t="shared" si="2"/>
        <v>[조건]
- 문자 길이: 450-499 구간 내
- 턴 수: 40-44 구간 내
- 주제: 제약, 여행, 생명과학
- 톤: 간절하게, 방어적으로, 불안하게
- 화자A: 필라테스 강사, 조종사, 소믈리에
- 화자B: 사회복지사, 점원, 건축가
- 생성 대화수: 5</v>
      </c>
    </row>
    <row r="101">
      <c r="A101" s="7" t="str">
        <f t="shared" si="1"/>
        <v>T_100_len_500-549_turn_45-49_count_12</v>
      </c>
      <c r="B101" s="8" t="s">
        <v>163</v>
      </c>
      <c r="C101" s="7" t="s">
        <v>80</v>
      </c>
      <c r="D101" s="8" t="s">
        <v>81</v>
      </c>
      <c r="E101" s="7" t="str">
        <f>IFERROR(__xludf.DUMMYFUNCTION("TEXTJOIN("", "", TRUE, SORTN(column_value!$A$2:$A$105, 3, 0, RANDARRAY(COUNTA(column_value!A:A), 1), 1))"),"금융, 영업, 제조업")</f>
        <v>금융, 영업, 제조업</v>
      </c>
      <c r="F101" s="7" t="str">
        <f>IFERROR(__xludf.DUMMYFUNCTION("TEXTJOIN("", "", TRUE, SORTN(column_value!$B$2:$B$105, 3, 0, RANDARRAY(COUNTA(column_value!B:B), 1), 1))"),"낙관적으로, 겸허하게, 진지하게")</f>
        <v>낙관적으로, 겸허하게, 진지하게</v>
      </c>
      <c r="G101" s="7" t="str">
        <f>IFERROR(__xludf.DUMMYFUNCTION("TEXTJOIN("", "", TRUE, SORTN(column_value!$C$2:$C$105, 3, 0, RANDARRAY(COUNTA(column_value!C:C), 1), 1))"),"군인, 이웃, 자녀")</f>
        <v>군인, 이웃, 자녀</v>
      </c>
      <c r="H101" s="7" t="str">
        <f>IFERROR(__xludf.DUMMYFUNCTION("TEXTJOIN("", "", TRUE, SORTN(column_value!$D$2:$D$105, 3, 0, RANDARRAY(COUNTA(column_value!D:D), 1), 1))"),"변호사, 은행원, 개발자")</f>
        <v>변호사, 은행원, 개발자</v>
      </c>
      <c r="I101" s="7">
        <v>12.0</v>
      </c>
      <c r="J101" s="9" t="str">
        <f t="shared" si="2"/>
        <v>[조건]
- 문자 길이: 500-549 구간 내
- 턴 수: 45-49 구간 내
- 주제: 금융, 영업, 제조업
- 톤: 낙관적으로, 겸허하게, 진지하게
- 화자A: 군인, 이웃, 자녀
- 화자B: 변호사, 은행원, 개발자
- 생성 대화수: 12</v>
      </c>
    </row>
    <row r="102">
      <c r="A102" s="7" t="str">
        <f t="shared" si="1"/>
        <v>T_101_len_50-99_turn_0-4_count_5</v>
      </c>
      <c r="B102" s="8" t="s">
        <v>164</v>
      </c>
      <c r="C102" s="7" t="s">
        <v>43</v>
      </c>
      <c r="D102" s="8" t="s">
        <v>44</v>
      </c>
      <c r="E102" s="7" t="str">
        <f>IFERROR(__xludf.DUMMYFUNCTION("TEXTJOIN("", "", TRUE, SORTN(column_value!$A$2:$A$105, 3, 0, RANDARRAY(COUNTA(column_value!A:A), 1), 1))"),"서비스업, 패션, 게임")</f>
        <v>서비스업, 패션, 게임</v>
      </c>
      <c r="F102" s="7" t="str">
        <f>IFERROR(__xludf.DUMMYFUNCTION("TEXTJOIN("", "", TRUE, SORTN(column_value!$B$2:$B$105, 3, 0, RANDARRAY(COUNTA(column_value!B:B), 1), 1))"),"화나게, 사납게, 감성적으로")</f>
        <v>화나게, 사납게, 감성적으로</v>
      </c>
      <c r="G102" s="7" t="str">
        <f>IFERROR(__xludf.DUMMYFUNCTION("TEXTJOIN("", "", TRUE, SORTN(column_value!$C$2:$C$105, 3, 0, RANDARRAY(COUNTA(column_value!C:C), 1), 1))"),"회계사, 라이벌, 네일 아티스트")</f>
        <v>회계사, 라이벌, 네일 아티스트</v>
      </c>
      <c r="H102" s="7" t="str">
        <f>IFERROR(__xludf.DUMMYFUNCTION("TEXTJOIN("", "", TRUE, SORTN(column_value!$D$2:$D$105, 3, 0, RANDARRAY(COUNTA(column_value!D:D), 1), 1))"),"공무원, 운동선수, 주부")</f>
        <v>공무원, 운동선수, 주부</v>
      </c>
      <c r="I102" s="7">
        <v>5.0</v>
      </c>
      <c r="J102" s="9" t="str">
        <f t="shared" si="2"/>
        <v>[조건]
- 문자 길이: 50-99 구간 내
- 턴 수: 0-4 구간 내
- 주제: 서비스업, 패션, 게임
- 톤: 화나게, 사납게, 감성적으로
- 화자A: 회계사, 라이벌, 네일 아티스트
- 화자B: 공무원, 운동선수, 주부
- 생성 대화수: 5</v>
      </c>
    </row>
    <row r="103">
      <c r="A103" s="7" t="str">
        <f t="shared" si="1"/>
        <v>T_102_len_100-149_turn_5-9_count_20</v>
      </c>
      <c r="B103" s="8" t="s">
        <v>165</v>
      </c>
      <c r="C103" s="7" t="s">
        <v>46</v>
      </c>
      <c r="D103" s="8" t="s">
        <v>47</v>
      </c>
      <c r="E103" s="7" t="str">
        <f>IFERROR(__xludf.DUMMYFUNCTION("TEXTJOIN("", "", TRUE, SORTN(column_value!$A$2:$A$105, 3, 0, RANDARRAY(COUNTA(column_value!A:A), 1), 1))"),"보안, 개발, 결혼")</f>
        <v>보안, 개발, 결혼</v>
      </c>
      <c r="F103" s="7" t="str">
        <f>IFERROR(__xludf.DUMMYFUNCTION("TEXTJOIN("", "", TRUE, SORTN(column_value!$B$2:$B$105, 3, 0, RANDARRAY(COUNTA(column_value!B:B), 1), 1))"),"무심하게, 실망하며, 기대하며")</f>
        <v>무심하게, 실망하며, 기대하며</v>
      </c>
      <c r="G103" s="7" t="str">
        <f>IFERROR(__xludf.DUMMYFUNCTION("TEXTJOIN("", "", TRUE, SORTN(column_value!$C$2:$C$105, 3, 0, RANDARRAY(COUNTA(column_value!C:C), 1), 1))"),"신입사원, 종교인, 사업가")</f>
        <v>신입사원, 종교인, 사업가</v>
      </c>
      <c r="H103" s="7" t="str">
        <f>IFERROR(__xludf.DUMMYFUNCTION("TEXTJOIN("", "", TRUE, SORTN(column_value!$D$2:$D$105, 3, 0, RANDARRAY(COUNTA(column_value!D:D), 1), 1))"),"요가 강사, 스님, 애니메이터")</f>
        <v>요가 강사, 스님, 애니메이터</v>
      </c>
      <c r="I103" s="7">
        <v>20.0</v>
      </c>
      <c r="J103" s="9" t="str">
        <f t="shared" si="2"/>
        <v>[조건]
- 문자 길이: 100-149 구간 내
- 턴 수: 5-9 구간 내
- 주제: 보안, 개발, 결혼
- 톤: 무심하게, 실망하며, 기대하며
- 화자A: 신입사원, 종교인, 사업가
- 화자B: 요가 강사, 스님, 애니메이터
- 생성 대화수: 20</v>
      </c>
    </row>
    <row r="104">
      <c r="A104" s="7" t="str">
        <f t="shared" si="1"/>
        <v>T_103_len_100-149_turn_5-9_count_20</v>
      </c>
      <c r="B104" s="8" t="s">
        <v>166</v>
      </c>
      <c r="C104" s="7" t="s">
        <v>46</v>
      </c>
      <c r="D104" s="8" t="s">
        <v>47</v>
      </c>
      <c r="E104" s="7" t="str">
        <f>IFERROR(__xludf.DUMMYFUNCTION("TEXTJOIN("", "", TRUE, SORTN(column_value!$A$2:$A$105, 3, 0, RANDARRAY(COUNTA(column_value!A:A), 1), 1))"),"보험, 친구, 키보드")</f>
        <v>보험, 친구, 키보드</v>
      </c>
      <c r="F104" s="7" t="str">
        <f>IFERROR(__xludf.DUMMYFUNCTION("TEXTJOIN("", "", TRUE, SORTN(column_value!$B$2:$B$105, 3, 0, RANDARRAY(COUNTA(column_value!B:B), 1), 1))"),"쾌활하게, 비판적으로, 위트있게")</f>
        <v>쾌활하게, 비판적으로, 위트있게</v>
      </c>
      <c r="G104" s="7" t="str">
        <f>IFERROR(__xludf.DUMMYFUNCTION("TEXTJOIN("", "", TRUE, SORTN(column_value!$C$2:$C$105, 3, 0, RANDARRAY(COUNTA(column_value!C:C), 1), 1))"),"알바생, 예술가, 심리치료사")</f>
        <v>알바생, 예술가, 심리치료사</v>
      </c>
      <c r="H104" s="7" t="str">
        <f>IFERROR(__xludf.DUMMYFUNCTION("TEXTJOIN("", "", TRUE, SORTN(column_value!$D$2:$D$105, 3, 0, RANDARRAY(COUNTA(column_value!D:D), 1), 1))"),"헬스 트레이너, 변호사, 버스 기사")</f>
        <v>헬스 트레이너, 변호사, 버스 기사</v>
      </c>
      <c r="I104" s="7">
        <v>20.0</v>
      </c>
      <c r="J104" s="9" t="str">
        <f t="shared" si="2"/>
        <v>[조건]
- 문자 길이: 100-149 구간 내
- 턴 수: 5-9 구간 내
- 주제: 보험, 친구, 키보드
- 톤: 쾌활하게, 비판적으로, 위트있게
- 화자A: 알바생, 예술가, 심리치료사
- 화자B: 헬스 트레이너, 변호사, 버스 기사
- 생성 대화수: 20</v>
      </c>
    </row>
    <row r="105">
      <c r="A105" s="7" t="str">
        <f t="shared" si="1"/>
        <v>T_104_len_100-149_turn_5-9_count_5</v>
      </c>
      <c r="B105" s="8" t="s">
        <v>167</v>
      </c>
      <c r="C105" s="7" t="s">
        <v>46</v>
      </c>
      <c r="D105" s="8" t="s">
        <v>47</v>
      </c>
      <c r="E105" s="7" t="str">
        <f>IFERROR(__xludf.DUMMYFUNCTION("TEXTJOIN("", "", TRUE, SORTN(column_value!$A$2:$A$105, 3, 0, RANDARRAY(COUNTA(column_value!A:A), 1), 1))"),"AI, 육아, 과학")</f>
        <v>AI, 육아, 과학</v>
      </c>
      <c r="F105" s="7" t="str">
        <f>IFERROR(__xludf.DUMMYFUNCTION("TEXTJOIN("", "", TRUE, SORTN(column_value!$B$2:$B$105, 3, 0, RANDARRAY(COUNTA(column_value!B:B), 1), 1))"),"주도적으로, 사려 깊게, 시니컬하게")</f>
        <v>주도적으로, 사려 깊게, 시니컬하게</v>
      </c>
      <c r="G105" s="7" t="str">
        <f>IFERROR(__xludf.DUMMYFUNCTION("TEXTJOIN("", "", TRUE, SORTN(column_value!$C$2:$C$105, 3, 0, RANDARRAY(COUNTA(column_value!C:C), 1), 1))"),"방송인, 친구, 미용사")</f>
        <v>방송인, 친구, 미용사</v>
      </c>
      <c r="H105" s="7" t="str">
        <f>IFERROR(__xludf.DUMMYFUNCTION("TEXTJOIN("", "", TRUE, SORTN(column_value!$D$2:$D$105, 3, 0, RANDARRAY(COUNTA(column_value!D:D), 1), 1))"),"유치원 교사, 트럭 기사, 수의사")</f>
        <v>유치원 교사, 트럭 기사, 수의사</v>
      </c>
      <c r="I105" s="7">
        <v>5.0</v>
      </c>
      <c r="J105" s="9" t="str">
        <f t="shared" si="2"/>
        <v>[조건]
- 문자 길이: 100-149 구간 내
- 턴 수: 5-9 구간 내
- 주제: AI, 육아, 과학
- 톤: 주도적으로, 사려 깊게, 시니컬하게
- 화자A: 방송인, 친구, 미용사
- 화자B: 유치원 교사, 트럭 기사, 수의사
- 생성 대화수: 5</v>
      </c>
    </row>
    <row r="106">
      <c r="A106" s="7" t="str">
        <f t="shared" si="1"/>
        <v>T_105_len_150-199_turn_10-14_count_20</v>
      </c>
      <c r="B106" s="8" t="s">
        <v>168</v>
      </c>
      <c r="C106" s="7" t="s">
        <v>51</v>
      </c>
      <c r="D106" s="8" t="s">
        <v>52</v>
      </c>
      <c r="E106" s="7" t="str">
        <f>IFERROR(__xludf.DUMMYFUNCTION("TEXTJOIN("", "", TRUE, SORTN(column_value!$A$2:$A$105, 3, 0, RANDARRAY(COUNTA(column_value!A:A), 1), 1))"),"해양, 인테리어, 직업")</f>
        <v>해양, 인테리어, 직업</v>
      </c>
      <c r="F106" s="7" t="str">
        <f>IFERROR(__xludf.DUMMYFUNCTION("TEXTJOIN("", "", TRUE, SORTN(column_value!$B$2:$B$105, 3, 0, RANDARRAY(COUNTA(column_value!B:B), 1), 1))"),"중립적으로, 낙천적으로, 염세적으로")</f>
        <v>중립적으로, 낙천적으로, 염세적으로</v>
      </c>
      <c r="G106" s="7" t="str">
        <f>IFERROR(__xludf.DUMMYFUNCTION("TEXTJOIN("", "", TRUE, SORTN(column_value!$C$2:$C$105, 3, 0, RANDARRAY(COUNTA(column_value!C:C), 1), 1))"),"만화가, 변호사, 배우")</f>
        <v>만화가, 변호사, 배우</v>
      </c>
      <c r="H106" s="7" t="str">
        <f>IFERROR(__xludf.DUMMYFUNCTION("TEXTJOIN("", "", TRUE, SORTN(column_value!$D$2:$D$105, 3, 0, RANDARRAY(COUNTA(column_value!D:D), 1), 1))"),"은행원, 필라테스 강사, 종교인")</f>
        <v>은행원, 필라테스 강사, 종교인</v>
      </c>
      <c r="I106" s="7">
        <v>20.0</v>
      </c>
      <c r="J106" s="9" t="str">
        <f t="shared" si="2"/>
        <v>[조건]
- 문자 길이: 150-199 구간 내
- 턴 수: 10-14 구간 내
- 주제: 해양, 인테리어, 직업
- 톤: 중립적으로, 낙천적으로, 염세적으로
- 화자A: 만화가, 변호사, 배우
- 화자B: 은행원, 필라테스 강사, 종교인
- 생성 대화수: 20</v>
      </c>
    </row>
    <row r="107">
      <c r="A107" s="7" t="str">
        <f t="shared" si="1"/>
        <v>T_106_len_150-199_turn_10-14_count_20</v>
      </c>
      <c r="B107" s="8" t="s">
        <v>169</v>
      </c>
      <c r="C107" s="7" t="s">
        <v>51</v>
      </c>
      <c r="D107" s="8" t="s">
        <v>52</v>
      </c>
      <c r="E107" s="7" t="str">
        <f>IFERROR(__xludf.DUMMYFUNCTION("TEXTJOIN("", "", TRUE, SORTN(column_value!$A$2:$A$105, 3, 0, RANDARRAY(COUNTA(column_value!A:A), 1), 1))"),"개발, 화학, 미술")</f>
        <v>개발, 화학, 미술</v>
      </c>
      <c r="F107" s="7" t="str">
        <f>IFERROR(__xludf.DUMMYFUNCTION("TEXTJOIN("", "", TRUE, SORTN(column_value!$B$2:$B$105, 3, 0, RANDARRAY(COUNTA(column_value!B:B), 1), 1))"),"비판적으로, 공격적으로, 비웃듯이")</f>
        <v>비판적으로, 공격적으로, 비웃듯이</v>
      </c>
      <c r="G107" s="7" t="str">
        <f>IFERROR(__xludf.DUMMYFUNCTION("TEXTJOIN("", "", TRUE, SORTN(column_value!$C$2:$C$105, 3, 0, RANDARRAY(COUNTA(column_value!C:C), 1), 1))"),"바리스타, 개발자, 자녀")</f>
        <v>바리스타, 개발자, 자녀</v>
      </c>
      <c r="H107" s="7" t="str">
        <f>IFERROR(__xludf.DUMMYFUNCTION("TEXTJOIN("", "", TRUE, SORTN(column_value!$D$2:$D$105, 3, 0, RANDARRAY(COUNTA(column_value!D:D), 1), 1))"),"여행가, 군대 동기, 네일 아티스트")</f>
        <v>여행가, 군대 동기, 네일 아티스트</v>
      </c>
      <c r="I107" s="7">
        <v>20.0</v>
      </c>
      <c r="J107" s="9" t="str">
        <f t="shared" si="2"/>
        <v>[조건]
- 문자 길이: 150-199 구간 내
- 턴 수: 10-14 구간 내
- 주제: 개발, 화학, 미술
- 톤: 비판적으로, 공격적으로, 비웃듯이
- 화자A: 바리스타, 개발자, 자녀
- 화자B: 여행가, 군대 동기, 네일 아티스트
- 생성 대화수: 20</v>
      </c>
    </row>
    <row r="108">
      <c r="A108" s="7" t="str">
        <f t="shared" si="1"/>
        <v>T_107_len_150-199_turn_10-14_count_20</v>
      </c>
      <c r="B108" s="8" t="s">
        <v>170</v>
      </c>
      <c r="C108" s="7" t="s">
        <v>51</v>
      </c>
      <c r="D108" s="8" t="s">
        <v>52</v>
      </c>
      <c r="E108" s="7" t="str">
        <f>IFERROR(__xludf.DUMMYFUNCTION("TEXTJOIN("", "", TRUE, SORTN(column_value!$A$2:$A$105, 3, 0, RANDARRAY(COUNTA(column_value!A:A), 1), 1))"),"쇼핑, 보험, 드라이브")</f>
        <v>쇼핑, 보험, 드라이브</v>
      </c>
      <c r="F108" s="7" t="str">
        <f>IFERROR(__xludf.DUMMYFUNCTION("TEXTJOIN("", "", TRUE, SORTN(column_value!$B$2:$B$105, 3, 0, RANDARRAY(COUNTA(column_value!B:B), 1), 1))"),"차갑게, 궁금해하며, 무관심하게")</f>
        <v>차갑게, 궁금해하며, 무관심하게</v>
      </c>
      <c r="G108" s="7" t="str">
        <f>IFERROR(__xludf.DUMMYFUNCTION("TEXTJOIN("", "", TRUE, SORTN(column_value!$C$2:$C$105, 3, 0, RANDARRAY(COUNTA(column_value!C:C), 1), 1))"),"승무원, 선배, 택시 기사")</f>
        <v>승무원, 선배, 택시 기사</v>
      </c>
      <c r="H108" s="7" t="str">
        <f>IFERROR(__xludf.DUMMYFUNCTION("TEXTJOIN("", "", TRUE, SORTN(column_value!$D$2:$D$105, 3, 0, RANDARRAY(COUNTA(column_value!D:D), 1), 1))"),"네일 아티스트, 약사, 여행가")</f>
        <v>네일 아티스트, 약사, 여행가</v>
      </c>
      <c r="I108" s="7">
        <v>20.0</v>
      </c>
      <c r="J108" s="9" t="str">
        <f t="shared" si="2"/>
        <v>[조건]
- 문자 길이: 150-199 구간 내
- 턴 수: 10-14 구간 내
- 주제: 쇼핑, 보험, 드라이브
- 톤: 차갑게, 궁금해하며, 무관심하게
- 화자A: 승무원, 선배, 택시 기사
- 화자B: 네일 아티스트, 약사, 여행가
- 생성 대화수: 20</v>
      </c>
    </row>
    <row r="109">
      <c r="A109" s="7" t="str">
        <f t="shared" si="1"/>
        <v>T_108_len_150-199_turn_10-14_count_20</v>
      </c>
      <c r="B109" s="8" t="s">
        <v>171</v>
      </c>
      <c r="C109" s="7" t="s">
        <v>51</v>
      </c>
      <c r="D109" s="8" t="s">
        <v>52</v>
      </c>
      <c r="E109" s="7" t="str">
        <f>IFERROR(__xludf.DUMMYFUNCTION("TEXTJOIN("", "", TRUE, SORTN(column_value!$A$2:$A$105, 3, 0, RANDARRAY(COUNTA(column_value!A:A), 1), 1))"),"음식, 빅데이터, 금융")</f>
        <v>음식, 빅데이터, 금융</v>
      </c>
      <c r="F109" s="7" t="str">
        <f>IFERROR(__xludf.DUMMYFUNCTION("TEXTJOIN("", "", TRUE, SORTN(column_value!$B$2:$B$105, 3, 0, RANDARRAY(COUNTA(column_value!B:B), 1), 1))"),"냉정하게, 공격적으로, 사랑스럽게")</f>
        <v>냉정하게, 공격적으로, 사랑스럽게</v>
      </c>
      <c r="G109" s="7" t="str">
        <f>IFERROR(__xludf.DUMMYFUNCTION("TEXTJOIN("", "", TRUE, SORTN(column_value!$C$2:$C$105, 3, 0, RANDARRAY(COUNTA(column_value!C:C), 1), 1))"),"간호사, 은행원, 교수")</f>
        <v>간호사, 은행원, 교수</v>
      </c>
      <c r="H109" s="7" t="str">
        <f>IFERROR(__xludf.DUMMYFUNCTION("TEXTJOIN("", "", TRUE, SORTN(column_value!$D$2:$D$105, 3, 0, RANDARRAY(COUNTA(column_value!D:D), 1), 1))"),"소설 작가, 엔지니어, 통역사")</f>
        <v>소설 작가, 엔지니어, 통역사</v>
      </c>
      <c r="I109" s="7">
        <v>20.0</v>
      </c>
      <c r="J109" s="9" t="str">
        <f t="shared" si="2"/>
        <v>[조건]
- 문자 길이: 150-199 구간 내
- 턴 수: 10-14 구간 내
- 주제: 음식, 빅데이터, 금융
- 톤: 냉정하게, 공격적으로, 사랑스럽게
- 화자A: 간호사, 은행원, 교수
- 화자B: 소설 작가, 엔지니어, 통역사
- 생성 대화수: 20</v>
      </c>
    </row>
    <row r="110">
      <c r="A110" s="7" t="str">
        <f t="shared" si="1"/>
        <v>T_109_len_150-199_turn_10-14_count_6</v>
      </c>
      <c r="B110" s="8" t="s">
        <v>172</v>
      </c>
      <c r="C110" s="7" t="s">
        <v>51</v>
      </c>
      <c r="D110" s="8" t="s">
        <v>52</v>
      </c>
      <c r="E110" s="7" t="str">
        <f>IFERROR(__xludf.DUMMYFUNCTION("TEXTJOIN("", "", TRUE, SORTN(column_value!$A$2:$A$105, 3, 0, RANDARRAY(COUNTA(column_value!A:A), 1), 1))"),"화학, 인사, 책")</f>
        <v>화학, 인사, 책</v>
      </c>
      <c r="F110" s="7" t="str">
        <f>IFERROR(__xludf.DUMMYFUNCTION("TEXTJOIN("", "", TRUE, SORTN(column_value!$B$2:$B$105, 3, 0, RANDARRAY(COUNTA(column_value!B:B), 1), 1))"),"격앙되게, 당황하며, 간절하게")</f>
        <v>격앙되게, 당황하며, 간절하게</v>
      </c>
      <c r="G110" s="7" t="str">
        <f>IFERROR(__xludf.DUMMYFUNCTION("TEXTJOIN("", "", TRUE, SORTN(column_value!$C$2:$C$105, 3, 0, RANDARRAY(COUNTA(column_value!C:C), 1), 1))"),"기자, CEO, 교사")</f>
        <v>기자, CEO, 교사</v>
      </c>
      <c r="H110" s="7" t="str">
        <f>IFERROR(__xludf.DUMMYFUNCTION("TEXTJOIN("", "", TRUE, SORTN(column_value!$D$2:$D$105, 3, 0, RANDARRAY(COUNTA(column_value!D:D), 1), 1))"),"점원, 회계사, 대학생")</f>
        <v>점원, 회계사, 대학생</v>
      </c>
      <c r="I110" s="7">
        <v>6.0</v>
      </c>
      <c r="J110" s="9" t="str">
        <f t="shared" si="2"/>
        <v>[조건]
- 문자 길이: 150-199 구간 내
- 턴 수: 10-14 구간 내
- 주제: 화학, 인사, 책
- 톤: 격앙되게, 당황하며, 간절하게
- 화자A: 기자, CEO, 교사
- 화자B: 점원, 회계사, 대학생
- 생성 대화수: 6</v>
      </c>
    </row>
    <row r="111">
      <c r="A111" s="7" t="str">
        <f t="shared" si="1"/>
        <v>T_110_len_200-249_turn_15-19_count_20</v>
      </c>
      <c r="B111" s="8" t="s">
        <v>173</v>
      </c>
      <c r="C111" s="7" t="s">
        <v>58</v>
      </c>
      <c r="D111" s="8" t="s">
        <v>59</v>
      </c>
      <c r="E111" s="7" t="str">
        <f>IFERROR(__xludf.DUMMYFUNCTION("TEXTJOIN("", "", TRUE, SORTN(column_value!$A$2:$A$105, 3, 0, RANDARRAY(COUNTA(column_value!A:A), 1), 1))"),"봉사활동, 캠핑, 게임")</f>
        <v>봉사활동, 캠핑, 게임</v>
      </c>
      <c r="F111" s="7" t="str">
        <f>IFERROR(__xludf.DUMMYFUNCTION("TEXTJOIN("", "", TRUE, SORTN(column_value!$B$2:$B$105, 3, 0, RANDARRAY(COUNTA(column_value!B:B), 1), 1))"),"냉혹하게, 깐깐하게, 기쁘게")</f>
        <v>냉혹하게, 깐깐하게, 기쁘게</v>
      </c>
      <c r="G111" s="7" t="str">
        <f>IFERROR(__xludf.DUMMYFUNCTION("TEXTJOIN("", "", TRUE, SORTN(column_value!$C$2:$C$105, 3, 0, RANDARRAY(COUNTA(column_value!C:C), 1), 1))"),"응급구조사, 성우, 부모")</f>
        <v>응급구조사, 성우, 부모</v>
      </c>
      <c r="H111" s="7" t="str">
        <f>IFERROR(__xludf.DUMMYFUNCTION("TEXTJOIN("", "", TRUE, SORTN(column_value!$D$2:$D$105, 3, 0, RANDARRAY(COUNTA(column_value!D:D), 1), 1))"),"집주인, CEO, 운동선수")</f>
        <v>집주인, CEO, 운동선수</v>
      </c>
      <c r="I111" s="7">
        <v>20.0</v>
      </c>
      <c r="J111" s="9" t="str">
        <f t="shared" si="2"/>
        <v>[조건]
- 문자 길이: 200-249 구간 내
- 턴 수: 15-19 구간 내
- 주제: 봉사활동, 캠핑, 게임
- 톤: 냉혹하게, 깐깐하게, 기쁘게
- 화자A: 응급구조사, 성우, 부모
- 화자B: 집주인, CEO, 운동선수
- 생성 대화수: 20</v>
      </c>
    </row>
    <row r="112">
      <c r="A112" s="7" t="str">
        <f t="shared" si="1"/>
        <v>T_111_len_200-249_turn_15-19_count_20</v>
      </c>
      <c r="B112" s="8" t="s">
        <v>174</v>
      </c>
      <c r="C112" s="7" t="s">
        <v>58</v>
      </c>
      <c r="D112" s="8" t="s">
        <v>59</v>
      </c>
      <c r="E112" s="7" t="str">
        <f>IFERROR(__xludf.DUMMYFUNCTION("TEXTJOIN("", "", TRUE, SORTN(column_value!$A$2:$A$105, 3, 0, RANDARRAY(COUNTA(column_value!A:A), 1), 1))"),"부동산, 건축, 클라우드")</f>
        <v>부동산, 건축, 클라우드</v>
      </c>
      <c r="F112" s="7" t="str">
        <f>IFERROR(__xludf.DUMMYFUNCTION("TEXTJOIN("", "", TRUE, SORTN(column_value!$B$2:$B$105, 3, 0, RANDARRAY(COUNTA(column_value!B:B), 1), 1))"),"거만하게, 격식없이, 꼼꼼하게")</f>
        <v>거만하게, 격식없이, 꼼꼼하게</v>
      </c>
      <c r="G112" s="7" t="str">
        <f>IFERROR(__xludf.DUMMYFUNCTION("TEXTJOIN("", "", TRUE, SORTN(column_value!$C$2:$C$105, 3, 0, RANDARRAY(COUNTA(column_value!C:C), 1), 1))"),"헬스 트레이너, 음악가, 유튜버")</f>
        <v>헬스 트레이너, 음악가, 유튜버</v>
      </c>
      <c r="H112" s="7" t="str">
        <f>IFERROR(__xludf.DUMMYFUNCTION("TEXTJOIN("", "", TRUE, SORTN(column_value!$D$2:$D$105, 3, 0, RANDARRAY(COUNTA(column_value!D:D), 1), 1))"),"신부, 점원, 바리스타")</f>
        <v>신부, 점원, 바리스타</v>
      </c>
      <c r="I112" s="7">
        <v>20.0</v>
      </c>
      <c r="J112" s="9" t="str">
        <f t="shared" si="2"/>
        <v>[조건]
- 문자 길이: 200-249 구간 내
- 턴 수: 15-19 구간 내
- 주제: 부동산, 건축, 클라우드
- 톤: 거만하게, 격식없이, 꼼꼼하게
- 화자A: 헬스 트레이너, 음악가, 유튜버
- 화자B: 신부, 점원, 바리스타
- 생성 대화수: 20</v>
      </c>
    </row>
    <row r="113">
      <c r="A113" s="7" t="str">
        <f t="shared" si="1"/>
        <v>T_112_len_200-249_turn_15-19_count_20</v>
      </c>
      <c r="B113" s="8" t="s">
        <v>175</v>
      </c>
      <c r="C113" s="7" t="s">
        <v>58</v>
      </c>
      <c r="D113" s="8" t="s">
        <v>59</v>
      </c>
      <c r="E113" s="7" t="str">
        <f>IFERROR(__xludf.DUMMYFUNCTION("TEXTJOIN("", "", TRUE, SORTN(column_value!$A$2:$A$105, 3, 0, RANDARRAY(COUNTA(column_value!A:A), 1), 1))"),"AI, 디자인, 연예")</f>
        <v>AI, 디자인, 연예</v>
      </c>
      <c r="F113" s="7" t="str">
        <f>IFERROR(__xludf.DUMMYFUNCTION("TEXTJOIN("", "", TRUE, SORTN(column_value!$B$2:$B$105, 3, 0, RANDARRAY(COUNTA(column_value!B:B), 1), 1))"),"황당해하며, 능청스럽게, 보수적으로")</f>
        <v>황당해하며, 능청스럽게, 보수적으로</v>
      </c>
      <c r="G113" s="7" t="str">
        <f>IFERROR(__xludf.DUMMYFUNCTION("TEXTJOIN("", "", TRUE, SORTN(column_value!$C$2:$C$105, 3, 0, RANDARRAY(COUNTA(column_value!C:C), 1), 1))"),"공무원, 사진작가, 선배")</f>
        <v>공무원, 사진작가, 선배</v>
      </c>
      <c r="H113" s="7" t="str">
        <f>IFERROR(__xludf.DUMMYFUNCTION("TEXTJOIN("", "", TRUE, SORTN(column_value!$D$2:$D$105, 3, 0, RANDARRAY(COUNTA(column_value!D:D), 1), 1))"),"소믈리에, 세입자, 인턴")</f>
        <v>소믈리에, 세입자, 인턴</v>
      </c>
      <c r="I113" s="7">
        <v>20.0</v>
      </c>
      <c r="J113" s="9" t="str">
        <f t="shared" si="2"/>
        <v>[조건]
- 문자 길이: 200-249 구간 내
- 턴 수: 15-19 구간 내
- 주제: AI, 디자인, 연예
- 톤: 황당해하며, 능청스럽게, 보수적으로
- 화자A: 공무원, 사진작가, 선배
- 화자B: 소믈리에, 세입자, 인턴
- 생성 대화수: 20</v>
      </c>
    </row>
    <row r="114">
      <c r="A114" s="7" t="str">
        <f t="shared" si="1"/>
        <v>T_113_len_200-249_turn_15-19_count_9</v>
      </c>
      <c r="B114" s="8" t="s">
        <v>176</v>
      </c>
      <c r="C114" s="7" t="s">
        <v>58</v>
      </c>
      <c r="D114" s="8" t="s">
        <v>59</v>
      </c>
      <c r="E114" s="7" t="str">
        <f>IFERROR(__xludf.DUMMYFUNCTION("TEXTJOIN("", "", TRUE, SORTN(column_value!$A$2:$A$105, 3, 0, RANDARRAY(COUNTA(column_value!A:A), 1), 1))"),"홍보, 사진, 의료")</f>
        <v>홍보, 사진, 의료</v>
      </c>
      <c r="F114" s="7" t="str">
        <f>IFERROR(__xludf.DUMMYFUNCTION("TEXTJOIN("", "", TRUE, SORTN(column_value!$B$2:$B$105, 3, 0, RANDARRAY(COUNTA(column_value!B:B), 1), 1))"),"단호하게, 보수적으로, 냉담하게")</f>
        <v>단호하게, 보수적으로, 냉담하게</v>
      </c>
      <c r="G114" s="7" t="str">
        <f>IFERROR(__xludf.DUMMYFUNCTION("TEXTJOIN("", "", TRUE, SORTN(column_value!$C$2:$C$105, 3, 0, RANDARRAY(COUNTA(column_value!C:C), 1), 1))"),"가이드, 디자이너, 멘티")</f>
        <v>가이드, 디자이너, 멘티</v>
      </c>
      <c r="H114" s="7" t="str">
        <f>IFERROR(__xludf.DUMMYFUNCTION("TEXTJOIN("", "", TRUE, SORTN(column_value!$D$2:$D$105, 3, 0, RANDARRAY(COUNTA(column_value!D:D), 1), 1))"),"군대 선임, 개발자, 바텐더")</f>
        <v>군대 선임, 개발자, 바텐더</v>
      </c>
      <c r="I114" s="7">
        <v>9.0</v>
      </c>
      <c r="J114" s="9" t="str">
        <f t="shared" si="2"/>
        <v>[조건]
- 문자 길이: 200-249 구간 내
- 턴 수: 15-19 구간 내
- 주제: 홍보, 사진, 의료
- 톤: 단호하게, 보수적으로, 냉담하게
- 화자A: 가이드, 디자이너, 멘티
- 화자B: 군대 선임, 개발자, 바텐더
- 생성 대화수: 9</v>
      </c>
    </row>
    <row r="115">
      <c r="A115" s="7" t="str">
        <f t="shared" si="1"/>
        <v>T_114_len_250-299_turn_20-24_count_20</v>
      </c>
      <c r="B115" s="8" t="s">
        <v>177</v>
      </c>
      <c r="C115" s="7" t="s">
        <v>64</v>
      </c>
      <c r="D115" s="8" t="s">
        <v>65</v>
      </c>
      <c r="E115" s="7" t="str">
        <f>IFERROR(__xludf.DUMMYFUNCTION("TEXTJOIN("", "", TRUE, SORTN(column_value!$A$2:$A$105, 3, 0, RANDARRAY(COUNTA(column_value!A:A), 1), 1))"),"글쓰기, 인사, 카페")</f>
        <v>글쓰기, 인사, 카페</v>
      </c>
      <c r="F115" s="7" t="str">
        <f>IFERROR(__xludf.DUMMYFUNCTION("TEXTJOIN("", "", TRUE, SORTN(column_value!$B$2:$B$105, 3, 0, RANDARRAY(COUNTA(column_value!B:B), 1), 1))"),"냉담하게, 방어적으로, 진취적으로")</f>
        <v>냉담하게, 방어적으로, 진취적으로</v>
      </c>
      <c r="G115" s="7" t="str">
        <f>IFERROR(__xludf.DUMMYFUNCTION("TEXTJOIN("", "", TRUE, SORTN(column_value!$C$2:$C$105, 3, 0, RANDARRAY(COUNTA(column_value!C:C), 1), 1))"),"손주, 농부, 정치인")</f>
        <v>손주, 농부, 정치인</v>
      </c>
      <c r="H115" s="7" t="str">
        <f>IFERROR(__xludf.DUMMYFUNCTION("TEXTJOIN("", "", TRUE, SORTN(column_value!$D$2:$D$105, 3, 0, RANDARRAY(COUNTA(column_value!D:D), 1), 1))"),"농부, 간호사, 요가 강사")</f>
        <v>농부, 간호사, 요가 강사</v>
      </c>
      <c r="I115" s="7">
        <v>20.0</v>
      </c>
      <c r="J115" s="9" t="str">
        <f t="shared" si="2"/>
        <v>[조건]
- 문자 길이: 250-299 구간 내
- 턴 수: 20-24 구간 내
- 주제: 글쓰기, 인사, 카페
- 톤: 냉담하게, 방어적으로, 진취적으로
- 화자A: 손주, 농부, 정치인
- 화자B: 농부, 간호사, 요가 강사
- 생성 대화수: 20</v>
      </c>
    </row>
    <row r="116">
      <c r="A116" s="7" t="str">
        <f t="shared" si="1"/>
        <v>T_115_len_250-299_turn_20-24_count_18</v>
      </c>
      <c r="B116" s="8" t="s">
        <v>178</v>
      </c>
      <c r="C116" s="7" t="s">
        <v>64</v>
      </c>
      <c r="D116" s="8" t="s">
        <v>65</v>
      </c>
      <c r="E116" s="7" t="str">
        <f>IFERROR(__xludf.DUMMYFUNCTION("TEXTJOIN("", "", TRUE, SORTN(column_value!$A$2:$A$105, 3, 0, RANDARRAY(COUNTA(column_value!A:A), 1), 1))"),"여행, 사회, 재테크")</f>
        <v>여행, 사회, 재테크</v>
      </c>
      <c r="F116" s="7" t="str">
        <f>IFERROR(__xludf.DUMMYFUNCTION("TEXTJOIN("", "", TRUE, SORTN(column_value!$B$2:$B$105, 3, 0, RANDARRAY(COUNTA(column_value!B:B), 1), 1))"),"협조적으로, 기대하며, 감성적으로")</f>
        <v>협조적으로, 기대하며, 감성적으로</v>
      </c>
      <c r="G116" s="7" t="str">
        <f>IFERROR(__xludf.DUMMYFUNCTION("TEXTJOIN("", "", TRUE, SORTN(column_value!$C$2:$C$105, 3, 0, RANDARRAY(COUNTA(column_value!C:C), 1), 1))"),"프리랜서, 군대 후임, 정치인")</f>
        <v>프리랜서, 군대 후임, 정치인</v>
      </c>
      <c r="H116" s="7" t="str">
        <f>IFERROR(__xludf.DUMMYFUNCTION("TEXTJOIN("", "", TRUE, SORTN(column_value!$D$2:$D$105, 3, 0, RANDARRAY(COUNTA(column_value!D:D), 1), 1))"),"개발자, 경찰관, 작가")</f>
        <v>개발자, 경찰관, 작가</v>
      </c>
      <c r="I116" s="7">
        <v>18.0</v>
      </c>
      <c r="J116" s="9" t="str">
        <f t="shared" si="2"/>
        <v>[조건]
- 문자 길이: 250-299 구간 내
- 턴 수: 20-24 구간 내
- 주제: 여행, 사회, 재테크
- 톤: 협조적으로, 기대하며, 감성적으로
- 화자A: 프리랜서, 군대 후임, 정치인
- 화자B: 개발자, 경찰관, 작가
- 생성 대화수: 18</v>
      </c>
    </row>
    <row r="117">
      <c r="A117" s="7" t="str">
        <f t="shared" si="1"/>
        <v>T_116_len_300-349_turn_25-29_count_20</v>
      </c>
      <c r="B117" s="8" t="s">
        <v>179</v>
      </c>
      <c r="C117" s="7" t="s">
        <v>68</v>
      </c>
      <c r="D117" s="8" t="s">
        <v>69</v>
      </c>
      <c r="E117" s="7" t="str">
        <f>IFERROR(__xludf.DUMMYFUNCTION("TEXTJOIN("", "", TRUE, SORTN(column_value!$A$2:$A$105, 3, 0, RANDARRAY(COUNTA(column_value!A:A), 1), 1))"),"결혼, 화학, 회계")</f>
        <v>결혼, 화학, 회계</v>
      </c>
      <c r="F117" s="7" t="str">
        <f>IFERROR(__xludf.DUMMYFUNCTION("TEXTJOIN("", "", TRUE, SORTN(column_value!$B$2:$B$105, 3, 0, RANDARRAY(COUNTA(column_value!B:B), 1), 1))"),"소심하게, 진지하게, 비웃듯이")</f>
        <v>소심하게, 진지하게, 비웃듯이</v>
      </c>
      <c r="G117" s="7" t="str">
        <f>IFERROR(__xludf.DUMMYFUNCTION("TEXTJOIN("", "", TRUE, SORTN(column_value!$C$2:$C$105, 3, 0, RANDARRAY(COUNTA(column_value!C:C), 1), 1))"),"가이드, 응급구조사, 건축가")</f>
        <v>가이드, 응급구조사, 건축가</v>
      </c>
      <c r="H117" s="7" t="str">
        <f>IFERROR(__xludf.DUMMYFUNCTION("TEXTJOIN("", "", TRUE, SORTN(column_value!$D$2:$D$105, 3, 0, RANDARRAY(COUNTA(column_value!D:D), 1), 1))"),"약사, 조종사, 목수")</f>
        <v>약사, 조종사, 목수</v>
      </c>
      <c r="I117" s="7">
        <v>20.0</v>
      </c>
      <c r="J117" s="9" t="str">
        <f t="shared" si="2"/>
        <v>[조건]
- 문자 길이: 300-349 구간 내
- 턴 수: 25-29 구간 내
- 주제: 결혼, 화학, 회계
- 톤: 소심하게, 진지하게, 비웃듯이
- 화자A: 가이드, 응급구조사, 건축가
- 화자B: 약사, 조종사, 목수
- 생성 대화수: 20</v>
      </c>
    </row>
    <row r="118">
      <c r="A118" s="7" t="str">
        <f t="shared" si="1"/>
        <v>T_117_len_350-399_turn_30-34_count_13</v>
      </c>
      <c r="B118" s="8" t="s">
        <v>180</v>
      </c>
      <c r="C118" s="7" t="s">
        <v>71</v>
      </c>
      <c r="D118" s="8" t="s">
        <v>72</v>
      </c>
      <c r="E118" s="7" t="str">
        <f>IFERROR(__xludf.DUMMYFUNCTION("TEXTJOIN("", "", TRUE, SORTN(column_value!$A$2:$A$105, 3, 0, RANDARRAY(COUNTA(column_value!A:A), 1), 1))"),"주식, 인테리어, 반려동물")</f>
        <v>주식, 인테리어, 반려동물</v>
      </c>
      <c r="F118" s="7" t="str">
        <f>IFERROR(__xludf.DUMMYFUNCTION("TEXTJOIN("", "", TRUE, SORTN(column_value!$B$2:$B$105, 3, 0, RANDARRAY(COUNTA(column_value!B:B), 1), 1))"),"열정적으로, 존경심을 담아, 상냥하게")</f>
        <v>열정적으로, 존경심을 담아, 상냥하게</v>
      </c>
      <c r="G118" s="7" t="str">
        <f>IFERROR(__xludf.DUMMYFUNCTION("TEXTJOIN("", "", TRUE, SORTN(column_value!$C$2:$C$105, 3, 0, RANDARRAY(COUNTA(column_value!C:C), 1), 1))"),"고등학생, 시니어, 주니어")</f>
        <v>고등학생, 시니어, 주니어</v>
      </c>
      <c r="H118" s="7" t="str">
        <f>IFERROR(__xludf.DUMMYFUNCTION("TEXTJOIN("", "", TRUE, SORTN(column_value!$D$2:$D$105, 3, 0, RANDARRAY(COUNTA(column_value!D:D), 1), 1))"),"건축가, CEO, 예술가")</f>
        <v>건축가, CEO, 예술가</v>
      </c>
      <c r="I118" s="7">
        <v>13.0</v>
      </c>
      <c r="J118" s="9" t="str">
        <f t="shared" si="2"/>
        <v>[조건]
- 문자 길이: 350-399 구간 내
- 턴 수: 30-34 구간 내
- 주제: 주식, 인테리어, 반려동물
- 톤: 열정적으로, 존경심을 담아, 상냥하게
- 화자A: 고등학생, 시니어, 주니어
- 화자B: 건축가, CEO, 예술가
- 생성 대화수: 13</v>
      </c>
    </row>
    <row r="119">
      <c r="A119" s="7" t="str">
        <f t="shared" si="1"/>
        <v>T_118_len_400-449_turn_35-39_count_7</v>
      </c>
      <c r="B119" s="8" t="s">
        <v>181</v>
      </c>
      <c r="C119" s="7" t="s">
        <v>74</v>
      </c>
      <c r="D119" s="8" t="s">
        <v>75</v>
      </c>
      <c r="E119" s="7" t="str">
        <f>IFERROR(__xludf.DUMMYFUNCTION("TEXTJOIN("", "", TRUE, SORTN(column_value!$A$2:$A$105, 3, 0, RANDARRAY(COUNTA(column_value!A:A), 1), 1))"),"맛집, 낚시, 철학")</f>
        <v>맛집, 낚시, 철학</v>
      </c>
      <c r="F119" s="7" t="str">
        <f>IFERROR(__xludf.DUMMYFUNCTION("TEXTJOIN("", "", TRUE, SORTN(column_value!$B$2:$B$105, 3, 0, RANDARRAY(COUNTA(column_value!B:B), 1), 1))"),"엄격하게, 묵묵하게, 부드럽게")</f>
        <v>엄격하게, 묵묵하게, 부드럽게</v>
      </c>
      <c r="G119" s="7" t="str">
        <f>IFERROR(__xludf.DUMMYFUNCTION("TEXTJOIN("", "", TRUE, SORTN(column_value!$C$2:$C$105, 3, 0, RANDARRAY(COUNTA(column_value!C:C), 1), 1))"),"부모, 응급구조사, 바리스타")</f>
        <v>부모, 응급구조사, 바리스타</v>
      </c>
      <c r="H119" s="7" t="str">
        <f>IFERROR(__xludf.DUMMYFUNCTION("TEXTJOIN("", "", TRUE, SORTN(column_value!$D$2:$D$105, 3, 0, RANDARRAY(COUNTA(column_value!D:D), 1), 1))"),"프리랜서, 소방관, 미용사")</f>
        <v>프리랜서, 소방관, 미용사</v>
      </c>
      <c r="I119" s="7">
        <v>7.0</v>
      </c>
      <c r="J119" s="9" t="str">
        <f t="shared" si="2"/>
        <v>[조건]
- 문자 길이: 400-449 구간 내
- 턴 수: 35-39 구간 내
- 주제: 맛집, 낚시, 철학
- 톤: 엄격하게, 묵묵하게, 부드럽게
- 화자A: 부모, 응급구조사, 바리스타
- 화자B: 프리랜서, 소방관, 미용사
- 생성 대화수: 7</v>
      </c>
    </row>
    <row r="120">
      <c r="A120" s="7" t="str">
        <f t="shared" si="1"/>
        <v>T_119_len_450-499_turn_40-44_count_5</v>
      </c>
      <c r="B120" s="8" t="s">
        <v>182</v>
      </c>
      <c r="C120" s="7" t="s">
        <v>77</v>
      </c>
      <c r="D120" s="8" t="s">
        <v>78</v>
      </c>
      <c r="E120" s="7" t="str">
        <f>IFERROR(__xludf.DUMMYFUNCTION("TEXTJOIN("", "", TRUE, SORTN(column_value!$A$2:$A$105, 3, 0, RANDARRAY(COUNTA(column_value!A:A), 1), 1))"),"운동, 여행, 보험")</f>
        <v>운동, 여행, 보험</v>
      </c>
      <c r="F120" s="7" t="str">
        <f>IFERROR(__xludf.DUMMYFUNCTION("TEXTJOIN("", "", TRUE, SORTN(column_value!$B$2:$B$105, 3, 0, RANDARRAY(COUNTA(column_value!B:B), 1), 1))"),"중립적으로, 거만하게, 냉담하게")</f>
        <v>중립적으로, 거만하게, 냉담하게</v>
      </c>
      <c r="G120" s="7" t="str">
        <f>IFERROR(__xludf.DUMMYFUNCTION("TEXTJOIN("", "", TRUE, SORTN(column_value!$C$2:$C$105, 3, 0, RANDARRAY(COUNTA(column_value!C:C), 1), 1))"),"인플루언서, 주부, 어부")</f>
        <v>인플루언서, 주부, 어부</v>
      </c>
      <c r="H120" s="7" t="str">
        <f>IFERROR(__xludf.DUMMYFUNCTION("TEXTJOIN("", "", TRUE, SORTN(column_value!$D$2:$D$105, 3, 0, RANDARRAY(COUNTA(column_value!D:D), 1), 1))"),"후배, 방송인, 은행원")</f>
        <v>후배, 방송인, 은행원</v>
      </c>
      <c r="I120" s="7">
        <v>5.0</v>
      </c>
      <c r="J120" s="9" t="str">
        <f t="shared" si="2"/>
        <v>[조건]
- 문자 길이: 450-499 구간 내
- 턴 수: 40-44 구간 내
- 주제: 운동, 여행, 보험
- 톤: 중립적으로, 거만하게, 냉담하게
- 화자A: 인플루언서, 주부, 어부
- 화자B: 후배, 방송인, 은행원
- 생성 대화수: 5</v>
      </c>
    </row>
    <row r="121">
      <c r="A121" s="7" t="str">
        <f t="shared" si="1"/>
        <v>T_120_len_500-549_turn_45-49_count_12</v>
      </c>
      <c r="B121" s="8" t="s">
        <v>183</v>
      </c>
      <c r="C121" s="7" t="s">
        <v>80</v>
      </c>
      <c r="D121" s="8" t="s">
        <v>81</v>
      </c>
      <c r="E121" s="7" t="str">
        <f>IFERROR(__xludf.DUMMYFUNCTION("TEXTJOIN("", "", TRUE, SORTN(column_value!$A$2:$A$105, 3, 0, RANDARRAY(COUNTA(column_value!A:A), 1), 1))"),"건설업, 수산업, 정치")</f>
        <v>건설업, 수산업, 정치</v>
      </c>
      <c r="F121" s="7" t="str">
        <f>IFERROR(__xludf.DUMMYFUNCTION("TEXTJOIN("", "", TRUE, SORTN(column_value!$B$2:$B$105, 3, 0, RANDARRAY(COUNTA(column_value!B:B), 1), 1))"),"진지하게, 애틋하게, 현실적으로")</f>
        <v>진지하게, 애틋하게, 현실적으로</v>
      </c>
      <c r="G121" s="7" t="str">
        <f>IFERROR(__xludf.DUMMYFUNCTION("TEXTJOIN("", "", TRUE, SORTN(column_value!$C$2:$C$105, 3, 0, RANDARRAY(COUNTA(column_value!C:C), 1), 1))"),"바리스타, 손주, 배우")</f>
        <v>바리스타, 손주, 배우</v>
      </c>
      <c r="H121" s="7" t="str">
        <f>IFERROR(__xludf.DUMMYFUNCTION("TEXTJOIN("", "", TRUE, SORTN(column_value!$D$2:$D$105, 3, 0, RANDARRAY(COUNTA(column_value!D:D), 1), 1))"),"공무원, 고등학생, 이웃")</f>
        <v>공무원, 고등학생, 이웃</v>
      </c>
      <c r="I121" s="7">
        <v>12.0</v>
      </c>
      <c r="J121" s="9" t="str">
        <f t="shared" si="2"/>
        <v>[조건]
- 문자 길이: 500-549 구간 내
- 턴 수: 45-49 구간 내
- 주제: 건설업, 수산업, 정치
- 톤: 진지하게, 애틋하게, 현실적으로
- 화자A: 바리스타, 손주, 배우
- 화자B: 공무원, 고등학생, 이웃
- 생성 대화수: 12</v>
      </c>
    </row>
    <row r="122">
      <c r="A122" s="7" t="str">
        <f t="shared" si="1"/>
        <v>T_121_len_50-99_turn_0-4_count_5</v>
      </c>
      <c r="B122" s="8" t="s">
        <v>184</v>
      </c>
      <c r="C122" s="7" t="s">
        <v>43</v>
      </c>
      <c r="D122" s="8" t="s">
        <v>44</v>
      </c>
      <c r="E122" s="7" t="str">
        <f>IFERROR(__xludf.DUMMYFUNCTION("TEXTJOIN("", "", TRUE, SORTN(column_value!$A$2:$A$105, 3, 0, RANDARRAY(COUNTA(column_value!A:A), 1), 1))"),"AI, 낚시, 물리학")</f>
        <v>AI, 낚시, 물리학</v>
      </c>
      <c r="F122" s="7" t="str">
        <f>IFERROR(__xludf.DUMMYFUNCTION("TEXTJOIN("", "", TRUE, SORTN(column_value!$B$2:$B$105, 3, 0, RANDARRAY(COUNTA(column_value!B:B), 1), 1))"),"현실적으로, 감탄하며, 박장대소하며")</f>
        <v>현실적으로, 감탄하며, 박장대소하며</v>
      </c>
      <c r="G122" s="7" t="str">
        <f>IFERROR(__xludf.DUMMYFUNCTION("TEXTJOIN("", "", TRUE, SORTN(column_value!$C$2:$C$105, 3, 0, RANDARRAY(COUNTA(column_value!C:C), 1), 1))"),"군대 동기, 대학생, 주부")</f>
        <v>군대 동기, 대학생, 주부</v>
      </c>
      <c r="H122" s="7" t="str">
        <f>IFERROR(__xludf.DUMMYFUNCTION("TEXTJOIN("", "", TRUE, SORTN(column_value!$D$2:$D$105, 3, 0, RANDARRAY(COUNTA(column_value!D:D), 1), 1))"),"모델, 교사, 신입사원")</f>
        <v>모델, 교사, 신입사원</v>
      </c>
      <c r="I122" s="7">
        <v>5.0</v>
      </c>
      <c r="J122" s="9" t="str">
        <f t="shared" si="2"/>
        <v>[조건]
- 문자 길이: 50-99 구간 내
- 턴 수: 0-4 구간 내
- 주제: AI, 낚시, 물리학
- 톤: 현실적으로, 감탄하며, 박장대소하며
- 화자A: 군대 동기, 대학생, 주부
- 화자B: 모델, 교사, 신입사원
- 생성 대화수: 5</v>
      </c>
    </row>
    <row r="123">
      <c r="A123" s="7" t="str">
        <f t="shared" si="1"/>
        <v>T_122_len_100-149_turn_5-9_count_20</v>
      </c>
      <c r="B123" s="8" t="s">
        <v>185</v>
      </c>
      <c r="C123" s="7" t="s">
        <v>46</v>
      </c>
      <c r="D123" s="8" t="s">
        <v>47</v>
      </c>
      <c r="E123" s="7" t="str">
        <f>IFERROR(__xludf.DUMMYFUNCTION("TEXTJOIN("", "", TRUE, SORTN(column_value!$A$2:$A$105, 3, 0, RANDARRAY(COUNTA(column_value!A:A), 1), 1))"),"과학, 글쓰기, 우주")</f>
        <v>과학, 글쓰기, 우주</v>
      </c>
      <c r="F123" s="7" t="str">
        <f>IFERROR(__xludf.DUMMYFUNCTION("TEXTJOIN("", "", TRUE, SORTN(column_value!$B$2:$B$105, 3, 0, RANDARRAY(COUNTA(column_value!B:B), 1), 1))"),"감탄하며, 날카롭게, 유머러스하게")</f>
        <v>감탄하며, 날카롭게, 유머러스하게</v>
      </c>
      <c r="G123" s="7" t="str">
        <f>IFERROR(__xludf.DUMMYFUNCTION("TEXTJOIN("", "", TRUE, SORTN(column_value!$C$2:$C$105, 3, 0, RANDARRAY(COUNTA(column_value!C:C), 1), 1))"),"번역가, 음악가, 택시 기사")</f>
        <v>번역가, 음악가, 택시 기사</v>
      </c>
      <c r="H123" s="7" t="str">
        <f>IFERROR(__xludf.DUMMYFUNCTION("TEXTJOIN("", "", TRUE, SORTN(column_value!$D$2:$D$105, 3, 0, RANDARRAY(COUNTA(column_value!D:D), 1), 1))"),"군대 동기, 작가, 엔지니어")</f>
        <v>군대 동기, 작가, 엔지니어</v>
      </c>
      <c r="I123" s="7">
        <v>20.0</v>
      </c>
      <c r="J123" s="9" t="str">
        <f t="shared" si="2"/>
        <v>[조건]
- 문자 길이: 100-149 구간 내
- 턴 수: 5-9 구간 내
- 주제: 과학, 글쓰기, 우주
- 톤: 감탄하며, 날카롭게, 유머러스하게
- 화자A: 번역가, 음악가, 택시 기사
- 화자B: 군대 동기, 작가, 엔지니어
- 생성 대화수: 20</v>
      </c>
    </row>
    <row r="124">
      <c r="A124" s="7" t="str">
        <f t="shared" si="1"/>
        <v>T_123_len_100-149_turn_5-9_count_20</v>
      </c>
      <c r="B124" s="8" t="s">
        <v>186</v>
      </c>
      <c r="C124" s="7" t="s">
        <v>46</v>
      </c>
      <c r="D124" s="8" t="s">
        <v>47</v>
      </c>
      <c r="E124" s="7" t="str">
        <f>IFERROR(__xludf.DUMMYFUNCTION("TEXTJOIN("", "", TRUE, SORTN(column_value!$A$2:$A$105, 3, 0, RANDARRAY(COUNTA(column_value!A:A), 1), 1))"),"영업, 부동산, 낚시")</f>
        <v>영업, 부동산, 낚시</v>
      </c>
      <c r="F124" s="7" t="str">
        <f>IFERROR(__xludf.DUMMYFUNCTION("TEXTJOIN("", "", TRUE, SORTN(column_value!$B$2:$B$105, 3, 0, RANDARRAY(COUNTA(column_value!B:B), 1), 1))"),"혁신적으로, 불안하게, 건조하게")</f>
        <v>혁신적으로, 불안하게, 건조하게</v>
      </c>
      <c r="G124" s="7" t="str">
        <f>IFERROR(__xludf.DUMMYFUNCTION("TEXTJOIN("", "", TRUE, SORTN(column_value!$C$2:$C$105, 3, 0, RANDARRAY(COUNTA(column_value!C:C), 1), 1))"),"군인, 명상가, 신혼부부")</f>
        <v>군인, 명상가, 신혼부부</v>
      </c>
      <c r="H124" s="7" t="str">
        <f>IFERROR(__xludf.DUMMYFUNCTION("TEXTJOIN("", "", TRUE, SORTN(column_value!$D$2:$D$105, 3, 0, RANDARRAY(COUNTA(column_value!D:D), 1), 1))"),"택시 기사, 엔지니어, 유튜버")</f>
        <v>택시 기사, 엔지니어, 유튜버</v>
      </c>
      <c r="I124" s="7">
        <v>20.0</v>
      </c>
      <c r="J124" s="9" t="str">
        <f t="shared" si="2"/>
        <v>[조건]
- 문자 길이: 100-149 구간 내
- 턴 수: 5-9 구간 내
- 주제: 영업, 부동산, 낚시
- 톤: 혁신적으로, 불안하게, 건조하게
- 화자A: 군인, 명상가, 신혼부부
- 화자B: 택시 기사, 엔지니어, 유튜버
- 생성 대화수: 20</v>
      </c>
    </row>
    <row r="125">
      <c r="A125" s="7" t="str">
        <f t="shared" si="1"/>
        <v>T_124_len_100-149_turn_5-9_count_5</v>
      </c>
      <c r="B125" s="8" t="s">
        <v>187</v>
      </c>
      <c r="C125" s="7" t="s">
        <v>46</v>
      </c>
      <c r="D125" s="8" t="s">
        <v>47</v>
      </c>
      <c r="E125" s="7" t="str">
        <f>IFERROR(__xludf.DUMMYFUNCTION("TEXTJOIN("", "", TRUE, SORTN(column_value!$A$2:$A$105, 3, 0, RANDARRAY(COUNTA(column_value!A:A), 1), 1))"),"물리학, 봉사, 봉사활동")</f>
        <v>물리학, 봉사, 봉사활동</v>
      </c>
      <c r="F125" s="7" t="str">
        <f>IFERROR(__xludf.DUMMYFUNCTION("TEXTJOIN("", "", TRUE, SORTN(column_value!$B$2:$B$105, 3, 0, RANDARRAY(COUNTA(column_value!B:B), 1), 1))"),"수동적으로, 염세적으로, 쾌활하게")</f>
        <v>수동적으로, 염세적으로, 쾌활하게</v>
      </c>
      <c r="G125" s="7" t="str">
        <f>IFERROR(__xludf.DUMMYFUNCTION("TEXTJOIN("", "", TRUE, SORTN(column_value!$C$2:$C$105, 3, 0, RANDARRAY(COUNTA(column_value!C:C), 1), 1))"),"주부, 버스 기사, 개발자")</f>
        <v>주부, 버스 기사, 개발자</v>
      </c>
      <c r="H125" s="7" t="str">
        <f>IFERROR(__xludf.DUMMYFUNCTION("TEXTJOIN("", "", TRUE, SORTN(column_value!$D$2:$D$105, 3, 0, RANDARRAY(COUNTA(column_value!D:D), 1), 1))"),"간호사, 군대 후임, 고등학생")</f>
        <v>간호사, 군대 후임, 고등학생</v>
      </c>
      <c r="I125" s="7">
        <v>5.0</v>
      </c>
      <c r="J125" s="9" t="str">
        <f t="shared" si="2"/>
        <v>[조건]
- 문자 길이: 100-149 구간 내
- 턴 수: 5-9 구간 내
- 주제: 물리학, 봉사, 봉사활동
- 톤: 수동적으로, 염세적으로, 쾌활하게
- 화자A: 주부, 버스 기사, 개발자
- 화자B: 간호사, 군대 후임, 고등학생
- 생성 대화수: 5</v>
      </c>
    </row>
    <row r="126">
      <c r="A126" s="7" t="str">
        <f t="shared" si="1"/>
        <v>T_125_len_150-199_turn_10-14_count_20</v>
      </c>
      <c r="B126" s="8" t="s">
        <v>188</v>
      </c>
      <c r="C126" s="7" t="s">
        <v>51</v>
      </c>
      <c r="D126" s="8" t="s">
        <v>52</v>
      </c>
      <c r="E126" s="7" t="str">
        <f>IFERROR(__xludf.DUMMYFUNCTION("TEXTJOIN("", "", TRUE, SORTN(column_value!$A$2:$A$105, 3, 0, RANDARRAY(COUNTA(column_value!A:A), 1), 1))"),"AI, 카페, 제약")</f>
        <v>AI, 카페, 제약</v>
      </c>
      <c r="F126" s="7" t="str">
        <f>IFERROR(__xludf.DUMMYFUNCTION("TEXTJOIN("", "", TRUE, SORTN(column_value!$B$2:$B$105, 3, 0, RANDARRAY(COUNTA(column_value!B:B), 1), 1))"),"천진난만하게, 진취적으로, 차분하게")</f>
        <v>천진난만하게, 진취적으로, 차분하게</v>
      </c>
      <c r="G126" s="7" t="str">
        <f>IFERROR(__xludf.DUMMYFUNCTION("TEXTJOIN("", "", TRUE, SORTN(column_value!$C$2:$C$105, 3, 0, RANDARRAY(COUNTA(column_value!C:C), 1), 1))"),"소설 작가, 소믈리에, 교수")</f>
        <v>소설 작가, 소믈리에, 교수</v>
      </c>
      <c r="H126" s="7" t="str">
        <f>IFERROR(__xludf.DUMMYFUNCTION("TEXTJOIN("", "", TRUE, SORTN(column_value!$D$2:$D$105, 3, 0, RANDARRAY(COUNTA(column_value!D:D), 1), 1))"),"번역가, 사진작가, 헬스 트레이너")</f>
        <v>번역가, 사진작가, 헬스 트레이너</v>
      </c>
      <c r="I126" s="7">
        <v>20.0</v>
      </c>
      <c r="J126" s="9" t="str">
        <f t="shared" si="2"/>
        <v>[조건]
- 문자 길이: 150-199 구간 내
- 턴 수: 10-14 구간 내
- 주제: AI, 카페, 제약
- 톤: 천진난만하게, 진취적으로, 차분하게
- 화자A: 소설 작가, 소믈리에, 교수
- 화자B: 번역가, 사진작가, 헬스 트레이너
- 생성 대화수: 20</v>
      </c>
    </row>
    <row r="127">
      <c r="A127" s="7" t="str">
        <f t="shared" si="1"/>
        <v>T_126_len_150-199_turn_10-14_count_20</v>
      </c>
      <c r="B127" s="8" t="s">
        <v>189</v>
      </c>
      <c r="C127" s="7" t="s">
        <v>51</v>
      </c>
      <c r="D127" s="8" t="s">
        <v>52</v>
      </c>
      <c r="E127" s="7" t="str">
        <f>IFERROR(__xludf.DUMMYFUNCTION("TEXTJOIN("", "", TRUE, SORTN(column_value!$A$2:$A$105, 3, 0, RANDARRAY(COUNTA(column_value!A:A), 1), 1))"),"교육, 게임, 과학")</f>
        <v>교육, 게임, 과학</v>
      </c>
      <c r="F127" s="7" t="str">
        <f>IFERROR(__xludf.DUMMYFUNCTION("TEXTJOIN("", "", TRUE, SORTN(column_value!$B$2:$B$105, 3, 0, RANDARRAY(COUNTA(column_value!B:B), 1), 1))"),"조롱하며, 겸허하게, 안타깝게")</f>
        <v>조롱하며, 겸허하게, 안타깝게</v>
      </c>
      <c r="G127" s="7" t="str">
        <f>IFERROR(__xludf.DUMMYFUNCTION("TEXTJOIN("", "", TRUE, SORTN(column_value!$C$2:$C$105, 3, 0, RANDARRAY(COUNTA(column_value!C:C), 1), 1))"),"배우, CEO, 멘토")</f>
        <v>배우, CEO, 멘토</v>
      </c>
      <c r="H127" s="7" t="str">
        <f>IFERROR(__xludf.DUMMYFUNCTION("TEXTJOIN("", "", TRUE, SORTN(column_value!$D$2:$D$105, 3, 0, RANDARRAY(COUNTA(column_value!D:D), 1), 1))"),"소방관, 디자이너, 집주인")</f>
        <v>소방관, 디자이너, 집주인</v>
      </c>
      <c r="I127" s="7">
        <v>20.0</v>
      </c>
      <c r="J127" s="9" t="str">
        <f t="shared" si="2"/>
        <v>[조건]
- 문자 길이: 150-199 구간 내
- 턴 수: 10-14 구간 내
- 주제: 교육, 게임, 과학
- 톤: 조롱하며, 겸허하게, 안타깝게
- 화자A: 배우, CEO, 멘토
- 화자B: 소방관, 디자이너, 집주인
- 생성 대화수: 20</v>
      </c>
    </row>
    <row r="128">
      <c r="A128" s="7" t="str">
        <f t="shared" si="1"/>
        <v>T_127_len_150-199_turn_10-14_count_20</v>
      </c>
      <c r="B128" s="8" t="s">
        <v>190</v>
      </c>
      <c r="C128" s="7" t="s">
        <v>51</v>
      </c>
      <c r="D128" s="8" t="s">
        <v>52</v>
      </c>
      <c r="E128" s="7" t="str">
        <f>IFERROR(__xludf.DUMMYFUNCTION("TEXTJOIN("", "", TRUE, SORTN(column_value!$A$2:$A$105, 3, 0, RANDARRAY(COUNTA(column_value!A:A), 1), 1))"),"연애, 책, 부동산")</f>
        <v>연애, 책, 부동산</v>
      </c>
      <c r="F128" s="7" t="str">
        <f>IFERROR(__xludf.DUMMYFUNCTION("TEXTJOIN("", "", TRUE, SORTN(column_value!$B$2:$B$105, 3, 0, RANDARRAY(COUNTA(column_value!B:B), 1), 1))"),"능청스럽게, 품위있게, 정중하게")</f>
        <v>능청스럽게, 품위있게, 정중하게</v>
      </c>
      <c r="G128" s="7" t="str">
        <f>IFERROR(__xludf.DUMMYFUNCTION("TEXTJOIN("", "", TRUE, SORTN(column_value!$C$2:$C$105, 3, 0, RANDARRAY(COUNTA(column_value!C:C), 1), 1))"),"집주인, 이웃, 방송인")</f>
        <v>집주인, 이웃, 방송인</v>
      </c>
      <c r="H128" s="7" t="str">
        <f>IFERROR(__xludf.DUMMYFUNCTION("TEXTJOIN("", "", TRUE, SORTN(column_value!$D$2:$D$105, 3, 0, RANDARRAY(COUNTA(column_value!D:D), 1), 1))"),"회계사, 세입자, 군대 선임")</f>
        <v>회계사, 세입자, 군대 선임</v>
      </c>
      <c r="I128" s="7">
        <v>20.0</v>
      </c>
      <c r="J128" s="9" t="str">
        <f t="shared" si="2"/>
        <v>[조건]
- 문자 길이: 150-199 구간 내
- 턴 수: 10-14 구간 내
- 주제: 연애, 책, 부동산
- 톤: 능청스럽게, 품위있게, 정중하게
- 화자A: 집주인, 이웃, 방송인
- 화자B: 회계사, 세입자, 군대 선임
- 생성 대화수: 20</v>
      </c>
    </row>
    <row r="129">
      <c r="A129" s="7" t="str">
        <f t="shared" si="1"/>
        <v>T_128_len_150-199_turn_10-14_count_20</v>
      </c>
      <c r="B129" s="8" t="s">
        <v>191</v>
      </c>
      <c r="C129" s="7" t="s">
        <v>51</v>
      </c>
      <c r="D129" s="8" t="s">
        <v>52</v>
      </c>
      <c r="E129" s="7" t="str">
        <f>IFERROR(__xludf.DUMMYFUNCTION("TEXTJOIN("", "", TRUE, SORTN(column_value!$A$2:$A$105, 3, 0, RANDARRAY(COUNTA(column_value!A:A), 1), 1))"),"음식, 물리학, 레시피")</f>
        <v>음식, 물리학, 레시피</v>
      </c>
      <c r="F129" s="7" t="str">
        <f>IFERROR(__xludf.DUMMYFUNCTION("TEXTJOIN("", "", TRUE, SORTN(column_value!$B$2:$B$105, 3, 0, RANDARRAY(COUNTA(column_value!B:B), 1), 1))"),"묵묵하게, 냉혹하게, 오만하게")</f>
        <v>묵묵하게, 냉혹하게, 오만하게</v>
      </c>
      <c r="G129" s="7" t="str">
        <f>IFERROR(__xludf.DUMMYFUNCTION("TEXTJOIN("", "", TRUE, SORTN(column_value!$C$2:$C$105, 3, 0, RANDARRAY(COUNTA(column_value!C:C), 1), 1))"),"사업가, 인턴, 과학자")</f>
        <v>사업가, 인턴, 과학자</v>
      </c>
      <c r="H129" s="7" t="str">
        <f>IFERROR(__xludf.DUMMYFUNCTION("TEXTJOIN("", "", TRUE, SORTN(column_value!$D$2:$D$105, 3, 0, RANDARRAY(COUNTA(column_value!D:D), 1), 1))"),"만화가, 번역가, 건축가")</f>
        <v>만화가, 번역가, 건축가</v>
      </c>
      <c r="I129" s="7">
        <v>20.0</v>
      </c>
      <c r="J129" s="9" t="str">
        <f t="shared" si="2"/>
        <v>[조건]
- 문자 길이: 150-199 구간 내
- 턴 수: 10-14 구간 내
- 주제: 음식, 물리학, 레시피
- 톤: 묵묵하게, 냉혹하게, 오만하게
- 화자A: 사업가, 인턴, 과학자
- 화자B: 만화가, 번역가, 건축가
- 생성 대화수: 20</v>
      </c>
    </row>
    <row r="130">
      <c r="A130" s="7" t="str">
        <f t="shared" si="1"/>
        <v>T_129_len_150-199_turn_10-14_count_6</v>
      </c>
      <c r="B130" s="8" t="s">
        <v>192</v>
      </c>
      <c r="C130" s="7" t="s">
        <v>51</v>
      </c>
      <c r="D130" s="8" t="s">
        <v>52</v>
      </c>
      <c r="E130" s="7" t="str">
        <f>IFERROR(__xludf.DUMMYFUNCTION("TEXTJOIN("", "", TRUE, SORTN(column_value!$A$2:$A$105, 3, 0, RANDARRAY(COUNTA(column_value!A:A), 1), 1))"),"재테크, 정치, 키보드")</f>
        <v>재테크, 정치, 키보드</v>
      </c>
      <c r="F130" s="7" t="str">
        <f>IFERROR(__xludf.DUMMYFUNCTION("TEXTJOIN("", "", TRUE, SORTN(column_value!$B$2:$B$105, 3, 0, RANDARRAY(COUNTA(column_value!B:B), 1), 1))"),"소심하게, 감성적으로, 차갑게")</f>
        <v>소심하게, 감성적으로, 차갑게</v>
      </c>
      <c r="G130" s="7" t="str">
        <f>IFERROR(__xludf.DUMMYFUNCTION("TEXTJOIN("", "", TRUE, SORTN(column_value!$C$2:$C$105, 3, 0, RANDARRAY(COUNTA(column_value!C:C), 1), 1))"),"공무원, 의사, 신혼부부")</f>
        <v>공무원, 의사, 신혼부부</v>
      </c>
      <c r="H130" s="7" t="str">
        <f>IFERROR(__xludf.DUMMYFUNCTION("TEXTJOIN("", "", TRUE, SORTN(column_value!$D$2:$D$105, 3, 0, RANDARRAY(COUNTA(column_value!D:D), 1), 1))"),"공무원, 트럭 기사, 심리치료사")</f>
        <v>공무원, 트럭 기사, 심리치료사</v>
      </c>
      <c r="I130" s="7">
        <v>6.0</v>
      </c>
      <c r="J130" s="9" t="str">
        <f t="shared" si="2"/>
        <v>[조건]
- 문자 길이: 150-199 구간 내
- 턴 수: 10-14 구간 내
- 주제: 재테크, 정치, 키보드
- 톤: 소심하게, 감성적으로, 차갑게
- 화자A: 공무원, 의사, 신혼부부
- 화자B: 공무원, 트럭 기사, 심리치료사
- 생성 대화수: 6</v>
      </c>
    </row>
    <row r="131">
      <c r="A131" s="7" t="str">
        <f t="shared" si="1"/>
        <v>T_130_len_200-249_turn_15-19_count_20</v>
      </c>
      <c r="B131" s="8" t="s">
        <v>193</v>
      </c>
      <c r="C131" s="7" t="s">
        <v>58</v>
      </c>
      <c r="D131" s="8" t="s">
        <v>59</v>
      </c>
      <c r="E131" s="7" t="str">
        <f>IFERROR(__xludf.DUMMYFUNCTION("TEXTJOIN("", "", TRUE, SORTN(column_value!$A$2:$A$105, 3, 0, RANDARRAY(COUNTA(column_value!A:A), 1), 1))"),"인테리어, 회계, 레시피")</f>
        <v>인테리어, 회계, 레시피</v>
      </c>
      <c r="F131" s="7" t="str">
        <f>IFERROR(__xludf.DUMMYFUNCTION("TEXTJOIN("", "", TRUE, SORTN(column_value!$B$2:$B$105, 3, 0, RANDARRAY(COUNTA(column_value!B:B), 1), 1))"),"실망하며, 염세적으로, 천진난만하게")</f>
        <v>실망하며, 염세적으로, 천진난만하게</v>
      </c>
      <c r="G131" s="7" t="str">
        <f>IFERROR(__xludf.DUMMYFUNCTION("TEXTJOIN("", "", TRUE, SORTN(column_value!$C$2:$C$105, 3, 0, RANDARRAY(COUNTA(column_value!C:C), 1), 1))"),"번역가, 통역사, 마케터")</f>
        <v>번역가, 통역사, 마케터</v>
      </c>
      <c r="H131" s="7" t="str">
        <f>IFERROR(__xludf.DUMMYFUNCTION("TEXTJOIN("", "", TRUE, SORTN(column_value!$D$2:$D$105, 3, 0, RANDARRAY(COUNTA(column_value!D:D), 1), 1))"),"약사, 승무원, 어부")</f>
        <v>약사, 승무원, 어부</v>
      </c>
      <c r="I131" s="7">
        <v>20.0</v>
      </c>
      <c r="J131" s="9" t="str">
        <f t="shared" si="2"/>
        <v>[조건]
- 문자 길이: 200-249 구간 내
- 턴 수: 15-19 구간 내
- 주제: 인테리어, 회계, 레시피
- 톤: 실망하며, 염세적으로, 천진난만하게
- 화자A: 번역가, 통역사, 마케터
- 화자B: 약사, 승무원, 어부
- 생성 대화수: 20</v>
      </c>
    </row>
    <row r="132">
      <c r="A132" s="7" t="str">
        <f t="shared" si="1"/>
        <v>T_131_len_200-249_turn_15-19_count_20</v>
      </c>
      <c r="B132" s="8" t="s">
        <v>194</v>
      </c>
      <c r="C132" s="7" t="s">
        <v>58</v>
      </c>
      <c r="D132" s="8" t="s">
        <v>59</v>
      </c>
      <c r="E132" s="7" t="str">
        <f>IFERROR(__xludf.DUMMYFUNCTION("TEXTJOIN("", "", TRUE, SORTN(column_value!$A$2:$A$105, 3, 0, RANDARRAY(COUNTA(column_value!A:A), 1), 1))"),"건강, 기술, 클라우드")</f>
        <v>건강, 기술, 클라우드</v>
      </c>
      <c r="F132" s="7" t="str">
        <f>IFERROR(__xludf.DUMMYFUNCTION("TEXTJOIN("", "", TRUE, SORTN(column_value!$B$2:$B$105, 3, 0, RANDARRAY(COUNTA(column_value!B:B), 1), 1))"),"존경심을 담아, 사려 깊게, 경쾌하게")</f>
        <v>존경심을 담아, 사려 깊게, 경쾌하게</v>
      </c>
      <c r="G132" s="7" t="str">
        <f>IFERROR(__xludf.DUMMYFUNCTION("TEXTJOIN("", "", TRUE, SORTN(column_value!$C$2:$C$105, 3, 0, RANDARRAY(COUNTA(column_value!C:C), 1), 1))"),"승무원, 소방관, 성우")</f>
        <v>승무원, 소방관, 성우</v>
      </c>
      <c r="H132" s="7" t="str">
        <f>IFERROR(__xludf.DUMMYFUNCTION("TEXTJOIN("", "", TRUE, SORTN(column_value!$D$2:$D$105, 3, 0, RANDARRAY(COUNTA(column_value!D:D), 1), 1))"),"군대 선임, 부모, 주니어")</f>
        <v>군대 선임, 부모, 주니어</v>
      </c>
      <c r="I132" s="7">
        <v>20.0</v>
      </c>
      <c r="J132" s="9" t="str">
        <f t="shared" si="2"/>
        <v>[조건]
- 문자 길이: 200-249 구간 내
- 턴 수: 15-19 구간 내
- 주제: 건강, 기술, 클라우드
- 톤: 존경심을 담아, 사려 깊게, 경쾌하게
- 화자A: 승무원, 소방관, 성우
- 화자B: 군대 선임, 부모, 주니어
- 생성 대화수: 20</v>
      </c>
    </row>
    <row r="133">
      <c r="A133" s="7" t="str">
        <f t="shared" si="1"/>
        <v>T_132_len_200-249_turn_15-19_count_20</v>
      </c>
      <c r="B133" s="8" t="s">
        <v>195</v>
      </c>
      <c r="C133" s="7" t="s">
        <v>58</v>
      </c>
      <c r="D133" s="8" t="s">
        <v>59</v>
      </c>
      <c r="E133" s="7" t="str">
        <f>IFERROR(__xludf.DUMMYFUNCTION("TEXTJOIN("", "", TRUE, SORTN(column_value!$A$2:$A$105, 3, 0, RANDARRAY(COUNTA(column_value!A:A), 1), 1))"),"수학, 자동차, 드라이브")</f>
        <v>수학, 자동차, 드라이브</v>
      </c>
      <c r="F133" s="7" t="str">
        <f>IFERROR(__xludf.DUMMYFUNCTION("TEXTJOIN("", "", TRUE, SORTN(column_value!$B$2:$B$105, 3, 0, RANDARRAY(COUNTA(column_value!B:B), 1), 1))"),"상냥하게, 냉담하게, 정중하게")</f>
        <v>상냥하게, 냉담하게, 정중하게</v>
      </c>
      <c r="G133" s="7" t="str">
        <f>IFERROR(__xludf.DUMMYFUNCTION("TEXTJOIN("", "", TRUE, SORTN(column_value!$C$2:$C$105, 3, 0, RANDARRAY(COUNTA(column_value!C:C), 1), 1))"),"방송인, 인플루언서, 이웃")</f>
        <v>방송인, 인플루언서, 이웃</v>
      </c>
      <c r="H133" s="7" t="str">
        <f>IFERROR(__xludf.DUMMYFUNCTION("TEXTJOIN("", "", TRUE, SORTN(column_value!$D$2:$D$105, 3, 0, RANDARRAY(COUNTA(column_value!D:D), 1), 1))"),"어부, 미용사, 고등학생")</f>
        <v>어부, 미용사, 고등학생</v>
      </c>
      <c r="I133" s="7">
        <v>20.0</v>
      </c>
      <c r="J133" s="9" t="str">
        <f t="shared" si="2"/>
        <v>[조건]
- 문자 길이: 200-249 구간 내
- 턴 수: 15-19 구간 내
- 주제: 수학, 자동차, 드라이브
- 톤: 상냥하게, 냉담하게, 정중하게
- 화자A: 방송인, 인플루언서, 이웃
- 화자B: 어부, 미용사, 고등학생
- 생성 대화수: 20</v>
      </c>
    </row>
    <row r="134">
      <c r="A134" s="7" t="str">
        <f t="shared" si="1"/>
        <v>T_133_len_200-249_turn_15-19_count_9</v>
      </c>
      <c r="B134" s="8" t="s">
        <v>196</v>
      </c>
      <c r="C134" s="7" t="s">
        <v>58</v>
      </c>
      <c r="D134" s="8" t="s">
        <v>59</v>
      </c>
      <c r="E134" s="7" t="str">
        <f>IFERROR(__xludf.DUMMYFUNCTION("TEXTJOIN("", "", TRUE, SORTN(column_value!$A$2:$A$105, 3, 0, RANDARRAY(COUNTA(column_value!A:A), 1), 1))"),"건축, 과학, 레시피")</f>
        <v>건축, 과학, 레시피</v>
      </c>
      <c r="F134" s="7" t="str">
        <f>IFERROR(__xludf.DUMMYFUNCTION("TEXTJOIN("", "", TRUE, SORTN(column_value!$B$2:$B$105, 3, 0, RANDARRAY(COUNTA(column_value!B:B), 1), 1))"),"방어적으로, 신중하게, 덤덤하게")</f>
        <v>방어적으로, 신중하게, 덤덤하게</v>
      </c>
      <c r="G134" s="7" t="str">
        <f>IFERROR(__xludf.DUMMYFUNCTION("TEXTJOIN("", "", TRUE, SORTN(column_value!$C$2:$C$105, 3, 0, RANDARRAY(COUNTA(column_value!C:C), 1), 1))"),"작가, 버스 기사, 소방관")</f>
        <v>작가, 버스 기사, 소방관</v>
      </c>
      <c r="H134" s="7" t="str">
        <f>IFERROR(__xludf.DUMMYFUNCTION("TEXTJOIN("", "", TRUE, SORTN(column_value!$D$2:$D$105, 3, 0, RANDARRAY(COUNTA(column_value!D:D), 1), 1))"),"교사, 프리랜서, 군대 선임")</f>
        <v>교사, 프리랜서, 군대 선임</v>
      </c>
      <c r="I134" s="7">
        <v>9.0</v>
      </c>
      <c r="J134" s="9" t="str">
        <f t="shared" si="2"/>
        <v>[조건]
- 문자 길이: 200-249 구간 내
- 턴 수: 15-19 구간 내
- 주제: 건축, 과학, 레시피
- 톤: 방어적으로, 신중하게, 덤덤하게
- 화자A: 작가, 버스 기사, 소방관
- 화자B: 교사, 프리랜서, 군대 선임
- 생성 대화수: 9</v>
      </c>
    </row>
    <row r="135">
      <c r="A135" s="7" t="str">
        <f t="shared" si="1"/>
        <v>T_134_len_250-299_turn_20-24_count_20</v>
      </c>
      <c r="B135" s="8" t="s">
        <v>197</v>
      </c>
      <c r="C135" s="7" t="s">
        <v>64</v>
      </c>
      <c r="D135" s="8" t="s">
        <v>65</v>
      </c>
      <c r="E135" s="7" t="str">
        <f>IFERROR(__xludf.DUMMYFUNCTION("TEXTJOIN("", "", TRUE, SORTN(column_value!$A$2:$A$105, 3, 0, RANDARRAY(COUNTA(column_value!A:A), 1), 1))"),"뉴스, 카페, 다이어트")</f>
        <v>뉴스, 카페, 다이어트</v>
      </c>
      <c r="F135" s="7" t="str">
        <f>IFERROR(__xludf.DUMMYFUNCTION("TEXTJOIN("", "", TRUE, SORTN(column_value!$B$2:$B$105, 3, 0, RANDARRAY(COUNTA(column_value!B:B), 1), 1))"),"비관적으로, 엄격하게, 쾌활하게")</f>
        <v>비관적으로, 엄격하게, 쾌활하게</v>
      </c>
      <c r="G135" s="7" t="str">
        <f>IFERROR(__xludf.DUMMYFUNCTION("TEXTJOIN("", "", TRUE, SORTN(column_value!$C$2:$C$105, 3, 0, RANDARRAY(COUNTA(column_value!C:C), 1), 1))"),"과학자, 여행가, 친구")</f>
        <v>과학자, 여행가, 친구</v>
      </c>
      <c r="H135" s="7" t="str">
        <f>IFERROR(__xludf.DUMMYFUNCTION("TEXTJOIN("", "", TRUE, SORTN(column_value!$D$2:$D$105, 3, 0, RANDARRAY(COUNTA(column_value!D:D), 1), 1))"),"CEO, 모델, 부모")</f>
        <v>CEO, 모델, 부모</v>
      </c>
      <c r="I135" s="7">
        <v>20.0</v>
      </c>
      <c r="J135" s="9" t="str">
        <f t="shared" si="2"/>
        <v>[조건]
- 문자 길이: 250-299 구간 내
- 턴 수: 20-24 구간 내
- 주제: 뉴스, 카페, 다이어트
- 톤: 비관적으로, 엄격하게, 쾌활하게
- 화자A: 과학자, 여행가, 친구
- 화자B: CEO, 모델, 부모
- 생성 대화수: 20</v>
      </c>
    </row>
    <row r="136">
      <c r="A136" s="7" t="str">
        <f t="shared" si="1"/>
        <v>T_135_len_250-299_turn_20-24_count_18</v>
      </c>
      <c r="B136" s="8" t="s">
        <v>198</v>
      </c>
      <c r="C136" s="7" t="s">
        <v>64</v>
      </c>
      <c r="D136" s="8" t="s">
        <v>65</v>
      </c>
      <c r="E136" s="7" t="str">
        <f>IFERROR(__xludf.DUMMYFUNCTION("TEXTJOIN("", "", TRUE, SORTN(column_value!$A$2:$A$105, 3, 0, RANDARRAY(COUNTA(column_value!A:A), 1), 1))"),"사회, 디자인, 기술")</f>
        <v>사회, 디자인, 기술</v>
      </c>
      <c r="F136" s="7" t="str">
        <f>IFERROR(__xludf.DUMMYFUNCTION("TEXTJOIN("", "", TRUE, SORTN(column_value!$B$2:$B$105, 3, 0, RANDARRAY(COUNTA(column_value!B:B), 1), 1))"),"애교있게, 놀라며, 단호하게")</f>
        <v>애교있게, 놀라며, 단호하게</v>
      </c>
      <c r="G136" s="7" t="str">
        <f>IFERROR(__xludf.DUMMYFUNCTION("TEXTJOIN("", "", TRUE, SORTN(column_value!$C$2:$C$105, 3, 0, RANDARRAY(COUNTA(column_value!C:C), 1), 1))"),"인플루언서, 주부, 번역가")</f>
        <v>인플루언서, 주부, 번역가</v>
      </c>
      <c r="H136" s="7" t="str">
        <f>IFERROR(__xludf.DUMMYFUNCTION("TEXTJOIN("", "", TRUE, SORTN(column_value!$D$2:$D$105, 3, 0, RANDARRAY(COUNTA(column_value!D:D), 1), 1))"),"승무원, 인턴, 소설 작가")</f>
        <v>승무원, 인턴, 소설 작가</v>
      </c>
      <c r="I136" s="7">
        <v>18.0</v>
      </c>
      <c r="J136" s="9" t="str">
        <f t="shared" si="2"/>
        <v>[조건]
- 문자 길이: 250-299 구간 내
- 턴 수: 20-24 구간 내
- 주제: 사회, 디자인, 기술
- 톤: 애교있게, 놀라며, 단호하게
- 화자A: 인플루언서, 주부, 번역가
- 화자B: 승무원, 인턴, 소설 작가
- 생성 대화수: 18</v>
      </c>
    </row>
    <row r="137">
      <c r="A137" s="7" t="str">
        <f t="shared" si="1"/>
        <v>T_136_len_300-349_turn_25-29_count_20</v>
      </c>
      <c r="B137" s="8" t="s">
        <v>199</v>
      </c>
      <c r="C137" s="7" t="s">
        <v>68</v>
      </c>
      <c r="D137" s="8" t="s">
        <v>69</v>
      </c>
      <c r="E137" s="7" t="str">
        <f>IFERROR(__xludf.DUMMYFUNCTION("TEXTJOIN("", "", TRUE, SORTN(column_value!$A$2:$A$105, 3, 0, RANDARRAY(COUNTA(column_value!A:A), 1), 1))"),"글쓰기, 서비스업, 정치")</f>
        <v>글쓰기, 서비스업, 정치</v>
      </c>
      <c r="F137" s="7" t="str">
        <f>IFERROR(__xludf.DUMMYFUNCTION("TEXTJOIN("", "", TRUE, SORTN(column_value!$B$2:$B$105, 3, 0, RANDARRAY(COUNTA(column_value!B:B), 1), 1))"),"냉혹하게, 격식없이, 재치있게")</f>
        <v>냉혹하게, 격식없이, 재치있게</v>
      </c>
      <c r="G137" s="7" t="str">
        <f>IFERROR(__xludf.DUMMYFUNCTION("TEXTJOIN("", "", TRUE, SORTN(column_value!$C$2:$C$105, 3, 0, RANDARRAY(COUNTA(column_value!C:C), 1), 1))"),"음악가, 약사, 배우")</f>
        <v>음악가, 약사, 배우</v>
      </c>
      <c r="H137" s="7" t="str">
        <f>IFERROR(__xludf.DUMMYFUNCTION("TEXTJOIN("", "", TRUE, SORTN(column_value!$D$2:$D$105, 3, 0, RANDARRAY(COUNTA(column_value!D:D), 1), 1))"),"군대 동기, 예술가, 집주인")</f>
        <v>군대 동기, 예술가, 집주인</v>
      </c>
      <c r="I137" s="7">
        <v>20.0</v>
      </c>
      <c r="J137" s="9" t="str">
        <f t="shared" si="2"/>
        <v>[조건]
- 문자 길이: 300-349 구간 내
- 턴 수: 25-29 구간 내
- 주제: 글쓰기, 서비스업, 정치
- 톤: 냉혹하게, 격식없이, 재치있게
- 화자A: 음악가, 약사, 배우
- 화자B: 군대 동기, 예술가, 집주인
- 생성 대화수: 20</v>
      </c>
    </row>
    <row r="138">
      <c r="A138" s="7" t="str">
        <f t="shared" si="1"/>
        <v>T_137_len_350-399_turn_30-34_count_13</v>
      </c>
      <c r="B138" s="8" t="s">
        <v>200</v>
      </c>
      <c r="C138" s="7" t="s">
        <v>71</v>
      </c>
      <c r="D138" s="8" t="s">
        <v>72</v>
      </c>
      <c r="E138" s="7" t="str">
        <f>IFERROR(__xludf.DUMMYFUNCTION("TEXTJOIN("", "", TRUE, SORTN(column_value!$A$2:$A$105, 3, 0, RANDARRAY(COUNTA(column_value!A:A), 1), 1))"),"이별, 철학, 맛집")</f>
        <v>이별, 철학, 맛집</v>
      </c>
      <c r="F138" s="7" t="str">
        <f>IFERROR(__xludf.DUMMYFUNCTION("TEXTJOIN("", "", TRUE, SORTN(column_value!$B$2:$B$105, 3, 0, RANDARRAY(COUNTA(column_value!B:B), 1), 1))"),"소심하게, 중립적으로, 무심하게")</f>
        <v>소심하게, 중립적으로, 무심하게</v>
      </c>
      <c r="G138" s="7" t="str">
        <f>IFERROR(__xludf.DUMMYFUNCTION("TEXTJOIN("", "", TRUE, SORTN(column_value!$C$2:$C$105, 3, 0, RANDARRAY(COUNTA(column_value!C:C), 1), 1))"),"자녀, 배우, 예술가")</f>
        <v>자녀, 배우, 예술가</v>
      </c>
      <c r="H138" s="7" t="str">
        <f>IFERROR(__xludf.DUMMYFUNCTION("TEXTJOIN("", "", TRUE, SORTN(column_value!$D$2:$D$105, 3, 0, RANDARRAY(COUNTA(column_value!D:D), 1), 1))"),"변호사, 디자이너, 사진작가")</f>
        <v>변호사, 디자이너, 사진작가</v>
      </c>
      <c r="I138" s="7">
        <v>13.0</v>
      </c>
      <c r="J138" s="9" t="str">
        <f t="shared" si="2"/>
        <v>[조건]
- 문자 길이: 350-399 구간 내
- 턴 수: 30-34 구간 내
- 주제: 이별, 철학, 맛집
- 톤: 소심하게, 중립적으로, 무심하게
- 화자A: 자녀, 배우, 예술가
- 화자B: 변호사, 디자이너, 사진작가
- 생성 대화수: 13</v>
      </c>
    </row>
    <row r="139">
      <c r="A139" s="7" t="str">
        <f t="shared" si="1"/>
        <v>T_138_len_400-449_turn_35-39_count_7</v>
      </c>
      <c r="B139" s="8" t="s">
        <v>201</v>
      </c>
      <c r="C139" s="7" t="s">
        <v>74</v>
      </c>
      <c r="D139" s="8" t="s">
        <v>75</v>
      </c>
      <c r="E139" s="7" t="str">
        <f>IFERROR(__xludf.DUMMYFUNCTION("TEXTJOIN("", "", TRUE, SORTN(column_value!$A$2:$A$105, 3, 0, RANDARRAY(COUNTA(column_value!A:A), 1), 1))"),"물리학, 육아, 영화")</f>
        <v>물리학, 육아, 영화</v>
      </c>
      <c r="F139" s="7" t="str">
        <f>IFERROR(__xludf.DUMMYFUNCTION("TEXTJOIN("", "", TRUE, SORTN(column_value!$B$2:$B$105, 3, 0, RANDARRAY(COUNTA(column_value!B:B), 1), 1))"),"유머러스하게, 겸손하게, 애정을 담아")</f>
        <v>유머러스하게, 겸손하게, 애정을 담아</v>
      </c>
      <c r="G139" s="7" t="str">
        <f>IFERROR(__xludf.DUMMYFUNCTION("TEXTJOIN("", "", TRUE, SORTN(column_value!$C$2:$C$105, 3, 0, RANDARRAY(COUNTA(column_value!C:C), 1), 1))"),"멘토, 알바생, 요리사")</f>
        <v>멘토, 알바생, 요리사</v>
      </c>
      <c r="H139" s="7" t="str">
        <f>IFERROR(__xludf.DUMMYFUNCTION("TEXTJOIN("", "", TRUE, SORTN(column_value!$D$2:$D$105, 3, 0, RANDARRAY(COUNTA(column_value!D:D), 1), 1))"),"심리치료사, 프리랜서, 경찰관")</f>
        <v>심리치료사, 프리랜서, 경찰관</v>
      </c>
      <c r="I139" s="7">
        <v>7.0</v>
      </c>
      <c r="J139" s="9" t="str">
        <f t="shared" si="2"/>
        <v>[조건]
- 문자 길이: 400-449 구간 내
- 턴 수: 35-39 구간 내
- 주제: 물리학, 육아, 영화
- 톤: 유머러스하게, 겸손하게, 애정을 담아
- 화자A: 멘토, 알바생, 요리사
- 화자B: 심리치료사, 프리랜서, 경찰관
- 생성 대화수: 7</v>
      </c>
    </row>
    <row r="140">
      <c r="A140" s="7" t="str">
        <f t="shared" si="1"/>
        <v>T_139_len_450-499_turn_40-44_count_5</v>
      </c>
      <c r="B140" s="8" t="s">
        <v>202</v>
      </c>
      <c r="C140" s="7" t="s">
        <v>77</v>
      </c>
      <c r="D140" s="8" t="s">
        <v>78</v>
      </c>
      <c r="E140" s="7" t="str">
        <f>IFERROR(__xludf.DUMMYFUNCTION("TEXTJOIN("", "", TRUE, SORTN(column_value!$A$2:$A$105, 3, 0, RANDARRAY(COUNTA(column_value!A:A), 1), 1))"),"문화, 보험, 맛집")</f>
        <v>문화, 보험, 맛집</v>
      </c>
      <c r="F140" s="7" t="str">
        <f>IFERROR(__xludf.DUMMYFUNCTION("TEXTJOIN("", "", TRUE, SORTN(column_value!$B$2:$B$105, 3, 0, RANDARRAY(COUNTA(column_value!B:B), 1), 1))"),"방어적으로, 부드럽게, 슬프게")</f>
        <v>방어적으로, 부드럽게, 슬프게</v>
      </c>
      <c r="G140" s="7" t="str">
        <f>IFERROR(__xludf.DUMMYFUNCTION("TEXTJOIN("", "", TRUE, SORTN(column_value!$C$2:$C$105, 3, 0, RANDARRAY(COUNTA(column_value!C:C), 1), 1))"),"시니어, 번역가, 신혼부부")</f>
        <v>시니어, 번역가, 신혼부부</v>
      </c>
      <c r="H140" s="7" t="str">
        <f>IFERROR(__xludf.DUMMYFUNCTION("TEXTJOIN("", "", TRUE, SORTN(column_value!$D$2:$D$105, 3, 0, RANDARRAY(COUNTA(column_value!D:D), 1), 1))"),"필라테스 강사, 군인, 군대 후임")</f>
        <v>필라테스 강사, 군인, 군대 후임</v>
      </c>
      <c r="I140" s="7">
        <v>5.0</v>
      </c>
      <c r="J140" s="9" t="str">
        <f t="shared" si="2"/>
        <v>[조건]
- 문자 길이: 450-499 구간 내
- 턴 수: 40-44 구간 내
- 주제: 문화, 보험, 맛집
- 톤: 방어적으로, 부드럽게, 슬프게
- 화자A: 시니어, 번역가, 신혼부부
- 화자B: 필라테스 강사, 군인, 군대 후임
- 생성 대화수: 5</v>
      </c>
    </row>
    <row r="141">
      <c r="A141" s="7" t="str">
        <f t="shared" si="1"/>
        <v>T_140_len_500-549_turn_45-49_count_12</v>
      </c>
      <c r="B141" s="8" t="s">
        <v>203</v>
      </c>
      <c r="C141" s="7" t="s">
        <v>80</v>
      </c>
      <c r="D141" s="8" t="s">
        <v>81</v>
      </c>
      <c r="E141" s="7" t="str">
        <f>IFERROR(__xludf.DUMMYFUNCTION("TEXTJOIN("", "", TRUE, SORTN(column_value!$A$2:$A$105, 3, 0, RANDARRAY(COUNTA(column_value!A:A), 1), 1))"),"캠핑, 인사, 사회")</f>
        <v>캠핑, 인사, 사회</v>
      </c>
      <c r="F141" s="7" t="str">
        <f>IFERROR(__xludf.DUMMYFUNCTION("TEXTJOIN("", "", TRUE, SORTN(column_value!$B$2:$B$105, 3, 0, RANDARRAY(COUNTA(column_value!B:B), 1), 1))"),"담담하게, 조롱하며, 쾌활하게")</f>
        <v>담담하게, 조롱하며, 쾌활하게</v>
      </c>
      <c r="G141" s="7" t="str">
        <f>IFERROR(__xludf.DUMMYFUNCTION("TEXTJOIN("", "", TRUE, SORTN(column_value!$C$2:$C$105, 3, 0, RANDARRAY(COUNTA(column_value!C:C), 1), 1))"),"멘토, 군대 동기, 미용사")</f>
        <v>멘토, 군대 동기, 미용사</v>
      </c>
      <c r="H141" s="7" t="str">
        <f>IFERROR(__xludf.DUMMYFUNCTION("TEXTJOIN("", "", TRUE, SORTN(column_value!$D$2:$D$105, 3, 0, RANDARRAY(COUNTA(column_value!D:D), 1), 1))"),"버스 기사, 배우, 은행원")</f>
        <v>버스 기사, 배우, 은행원</v>
      </c>
      <c r="I141" s="7">
        <v>12.0</v>
      </c>
      <c r="J141" s="9" t="str">
        <f t="shared" si="2"/>
        <v>[조건]
- 문자 길이: 500-549 구간 내
- 턴 수: 45-49 구간 내
- 주제: 캠핑, 인사, 사회
- 톤: 담담하게, 조롱하며, 쾌활하게
- 화자A: 멘토, 군대 동기, 미용사
- 화자B: 버스 기사, 배우, 은행원
- 생성 대화수: 12</v>
      </c>
    </row>
    <row r="142">
      <c r="A142" s="7" t="str">
        <f t="shared" si="1"/>
        <v>T_141_len_50-99_turn_0-4_count_5</v>
      </c>
      <c r="B142" s="8" t="s">
        <v>204</v>
      </c>
      <c r="C142" s="7" t="s">
        <v>43</v>
      </c>
      <c r="D142" s="8" t="s">
        <v>44</v>
      </c>
      <c r="E142" s="7" t="str">
        <f>IFERROR(__xludf.DUMMYFUNCTION("TEXTJOIN("", "", TRUE, SORTN(column_value!$A$2:$A$105, 3, 0, RANDARRAY(COUNTA(column_value!A:A), 1), 1))"),"드라이브, 반려동물, 레시피")</f>
        <v>드라이브, 반려동물, 레시피</v>
      </c>
      <c r="F142" s="7" t="str">
        <f>IFERROR(__xludf.DUMMYFUNCTION("TEXTJOIN("", "", TRUE, SORTN(column_value!$B$2:$B$105, 3, 0, RANDARRAY(COUNTA(column_value!B:B), 1), 1))"),"담담하게, 감탄하며, 사납게")</f>
        <v>담담하게, 감탄하며, 사납게</v>
      </c>
      <c r="G142" s="7" t="str">
        <f>IFERROR(__xludf.DUMMYFUNCTION("TEXTJOIN("", "", TRUE, SORTN(column_value!$C$2:$C$105, 3, 0, RANDARRAY(COUNTA(column_value!C:C), 1), 1))"),"탐정, 요가 강사, 애니메이터")</f>
        <v>탐정, 요가 강사, 애니메이터</v>
      </c>
      <c r="H142" s="7" t="str">
        <f>IFERROR(__xludf.DUMMYFUNCTION("TEXTJOIN("", "", TRUE, SORTN(column_value!$D$2:$D$105, 3, 0, RANDARRAY(COUNTA(column_value!D:D), 1), 1))"),"소방관, 택시 기사, 유치원 교사")</f>
        <v>소방관, 택시 기사, 유치원 교사</v>
      </c>
      <c r="I142" s="7">
        <v>5.0</v>
      </c>
      <c r="J142" s="9" t="str">
        <f t="shared" si="2"/>
        <v>[조건]
- 문자 길이: 50-99 구간 내
- 턴 수: 0-4 구간 내
- 주제: 드라이브, 반려동물, 레시피
- 톤: 담담하게, 감탄하며, 사납게
- 화자A: 탐정, 요가 강사, 애니메이터
- 화자B: 소방관, 택시 기사, 유치원 교사
- 생성 대화수: 5</v>
      </c>
    </row>
    <row r="143">
      <c r="A143" s="7" t="str">
        <f t="shared" si="1"/>
        <v>T_142_len_100-149_turn_5-9_count_20</v>
      </c>
      <c r="B143" s="8" t="s">
        <v>205</v>
      </c>
      <c r="C143" s="7" t="s">
        <v>46</v>
      </c>
      <c r="D143" s="8" t="s">
        <v>47</v>
      </c>
      <c r="E143" s="7" t="str">
        <f>IFERROR(__xludf.DUMMYFUNCTION("TEXTJOIN("", "", TRUE, SORTN(column_value!$A$2:$A$105, 3, 0, RANDARRAY(COUNTA(column_value!A:A), 1), 1))"),"음악, 회계, 인사")</f>
        <v>음악, 회계, 인사</v>
      </c>
      <c r="F143" s="7" t="str">
        <f>IFERROR(__xludf.DUMMYFUNCTION("TEXTJOIN("", "", TRUE, SORTN(column_value!$B$2:$B$105, 3, 0, RANDARRAY(COUNTA(column_value!B:B), 1), 1))"),"사려 깊게, 평온하게, 무심하게")</f>
        <v>사려 깊게, 평온하게, 무심하게</v>
      </c>
      <c r="G143" s="7" t="str">
        <f>IFERROR(__xludf.DUMMYFUNCTION("TEXTJOIN("", "", TRUE, SORTN(column_value!$C$2:$C$105, 3, 0, RANDARRAY(COUNTA(column_value!C:C), 1), 1))"),"소방관, 마케터, 유치원 교사")</f>
        <v>소방관, 마케터, 유치원 교사</v>
      </c>
      <c r="H143" s="7" t="str">
        <f>IFERROR(__xludf.DUMMYFUNCTION("TEXTJOIN("", "", TRUE, SORTN(column_value!$D$2:$D$105, 3, 0, RANDARRAY(COUNTA(column_value!D:D), 1), 1))"),"사육사, 가수, 여행가")</f>
        <v>사육사, 가수, 여행가</v>
      </c>
      <c r="I143" s="7">
        <v>20.0</v>
      </c>
      <c r="J143" s="9" t="str">
        <f t="shared" si="2"/>
        <v>[조건]
- 문자 길이: 100-149 구간 내
- 턴 수: 5-9 구간 내
- 주제: 음악, 회계, 인사
- 톤: 사려 깊게, 평온하게, 무심하게
- 화자A: 소방관, 마케터, 유치원 교사
- 화자B: 사육사, 가수, 여행가
- 생성 대화수: 20</v>
      </c>
    </row>
    <row r="144">
      <c r="A144" s="7" t="str">
        <f t="shared" si="1"/>
        <v>T_143_len_100-149_turn_5-9_count_20</v>
      </c>
      <c r="B144" s="8" t="s">
        <v>206</v>
      </c>
      <c r="C144" s="7" t="s">
        <v>46</v>
      </c>
      <c r="D144" s="8" t="s">
        <v>47</v>
      </c>
      <c r="E144" s="7" t="str">
        <f>IFERROR(__xludf.DUMMYFUNCTION("TEXTJOIN("", "", TRUE, SORTN(column_value!$A$2:$A$105, 3, 0, RANDARRAY(COUNTA(column_value!A:A), 1), 1))"),"교육, 뉴스, 사회")</f>
        <v>교육, 뉴스, 사회</v>
      </c>
      <c r="F144" s="7" t="str">
        <f>IFERROR(__xludf.DUMMYFUNCTION("TEXTJOIN("", "", TRUE, SORTN(column_value!$B$2:$B$105, 3, 0, RANDARRAY(COUNTA(column_value!B:B), 1), 1))"),"존경심을 담아, 자신감 있게, 위트있게")</f>
        <v>존경심을 담아, 자신감 있게, 위트있게</v>
      </c>
      <c r="G144" s="7" t="str">
        <f>IFERROR(__xludf.DUMMYFUNCTION("TEXTJOIN("", "", TRUE, SORTN(column_value!$C$2:$C$105, 3, 0, RANDARRAY(COUNTA(column_value!C:C), 1), 1))"),"자영업자, 신부, 사회복지사")</f>
        <v>자영업자, 신부, 사회복지사</v>
      </c>
      <c r="H144" s="7" t="str">
        <f>IFERROR(__xludf.DUMMYFUNCTION("TEXTJOIN("", "", TRUE, SORTN(column_value!$D$2:$D$105, 3, 0, RANDARRAY(COUNTA(column_value!D:D), 1), 1))"),"고등학생, 세입자, 모델")</f>
        <v>고등학생, 세입자, 모델</v>
      </c>
      <c r="I144" s="7">
        <v>20.0</v>
      </c>
      <c r="J144" s="9" t="str">
        <f t="shared" si="2"/>
        <v>[조건]
- 문자 길이: 100-149 구간 내
- 턴 수: 5-9 구간 내
- 주제: 교육, 뉴스, 사회
- 톤: 존경심을 담아, 자신감 있게, 위트있게
- 화자A: 자영업자, 신부, 사회복지사
- 화자B: 고등학생, 세입자, 모델
- 생성 대화수: 20</v>
      </c>
    </row>
    <row r="145">
      <c r="A145" s="7" t="str">
        <f t="shared" si="1"/>
        <v>T_144_len_100-149_turn_5-9_count_5</v>
      </c>
      <c r="B145" s="8" t="s">
        <v>207</v>
      </c>
      <c r="C145" s="7" t="s">
        <v>46</v>
      </c>
      <c r="D145" s="8" t="s">
        <v>47</v>
      </c>
      <c r="E145" s="7" t="str">
        <f>IFERROR(__xludf.DUMMYFUNCTION("TEXTJOIN("", "", TRUE, SORTN(column_value!$A$2:$A$105, 3, 0, RANDARRAY(COUNTA(column_value!A:A), 1), 1))"),"명상, 철학, 문화")</f>
        <v>명상, 철학, 문화</v>
      </c>
      <c r="F145" s="7" t="str">
        <f>IFERROR(__xludf.DUMMYFUNCTION("TEXTJOIN("", "", TRUE, SORTN(column_value!$B$2:$B$105, 3, 0, RANDARRAY(COUNTA(column_value!B:B), 1), 1))"),"경쟁적으로, 쾌활하게, 재치있게")</f>
        <v>경쟁적으로, 쾌활하게, 재치있게</v>
      </c>
      <c r="G145" s="7" t="str">
        <f>IFERROR(__xludf.DUMMYFUNCTION("TEXTJOIN("", "", TRUE, SORTN(column_value!$C$2:$C$105, 3, 0, RANDARRAY(COUNTA(column_value!C:C), 1), 1))"),"필라테스 강사, 개발자, 시니어")</f>
        <v>필라테스 강사, 개발자, 시니어</v>
      </c>
      <c r="H145" s="7" t="str">
        <f>IFERROR(__xludf.DUMMYFUNCTION("TEXTJOIN("", "", TRUE, SORTN(column_value!$D$2:$D$105, 3, 0, RANDARRAY(COUNTA(column_value!D:D), 1), 1))"),"승무원, 작가, 신입사원")</f>
        <v>승무원, 작가, 신입사원</v>
      </c>
      <c r="I145" s="7">
        <v>5.0</v>
      </c>
      <c r="J145" s="9" t="str">
        <f t="shared" si="2"/>
        <v>[조건]
- 문자 길이: 100-149 구간 내
- 턴 수: 5-9 구간 내
- 주제: 명상, 철학, 문화
- 톤: 경쟁적으로, 쾌활하게, 재치있게
- 화자A: 필라테스 강사, 개발자, 시니어
- 화자B: 승무원, 작가, 신입사원
- 생성 대화수: 5</v>
      </c>
    </row>
    <row r="146">
      <c r="A146" s="7" t="str">
        <f t="shared" si="1"/>
        <v>T_145_len_150-199_turn_10-14_count_20</v>
      </c>
      <c r="B146" s="8" t="s">
        <v>208</v>
      </c>
      <c r="C146" s="7" t="s">
        <v>51</v>
      </c>
      <c r="D146" s="8" t="s">
        <v>52</v>
      </c>
      <c r="E146" s="7" t="str">
        <f>IFERROR(__xludf.DUMMYFUNCTION("TEXTJOIN("", "", TRUE, SORTN(column_value!$A$2:$A$105, 3, 0, RANDARRAY(COUNTA(column_value!A:A), 1), 1))"),"문화, 이별, 경영")</f>
        <v>문화, 이별, 경영</v>
      </c>
      <c r="F146" s="7" t="str">
        <f>IFERROR(__xludf.DUMMYFUNCTION("TEXTJOIN("", "", TRUE, SORTN(column_value!$B$2:$B$105, 3, 0, RANDARRAY(COUNTA(column_value!B:B), 1), 1))"),"친근하게, 수동적으로, 진지하게")</f>
        <v>친근하게, 수동적으로, 진지하게</v>
      </c>
      <c r="G146" s="7" t="str">
        <f>IFERROR(__xludf.DUMMYFUNCTION("TEXTJOIN("", "", TRUE, SORTN(column_value!$C$2:$C$105, 3, 0, RANDARRAY(COUNTA(column_value!C:C), 1), 1))"),"소설 작가, 통역사, 농부")</f>
        <v>소설 작가, 통역사, 농부</v>
      </c>
      <c r="H146" s="7" t="str">
        <f>IFERROR(__xludf.DUMMYFUNCTION("TEXTJOIN("", "", TRUE, SORTN(column_value!$D$2:$D$105, 3, 0, RANDARRAY(COUNTA(column_value!D:D), 1), 1))"),"자녀, 세입자, 종교인")</f>
        <v>자녀, 세입자, 종교인</v>
      </c>
      <c r="I146" s="7">
        <v>20.0</v>
      </c>
      <c r="J146" s="9" t="str">
        <f t="shared" si="2"/>
        <v>[조건]
- 문자 길이: 150-199 구간 내
- 턴 수: 10-14 구간 내
- 주제: 문화, 이별, 경영
- 톤: 친근하게, 수동적으로, 진지하게
- 화자A: 소설 작가, 통역사, 농부
- 화자B: 자녀, 세입자, 종교인
- 생성 대화수: 20</v>
      </c>
    </row>
    <row r="147">
      <c r="A147" s="7" t="str">
        <f t="shared" si="1"/>
        <v>T_146_len_150-199_turn_10-14_count_20</v>
      </c>
      <c r="B147" s="8" t="s">
        <v>209</v>
      </c>
      <c r="C147" s="7" t="s">
        <v>51</v>
      </c>
      <c r="D147" s="8" t="s">
        <v>52</v>
      </c>
      <c r="E147" s="7" t="str">
        <f>IFERROR(__xludf.DUMMYFUNCTION("TEXTJOIN("", "", TRUE, SORTN(column_value!$A$2:$A$105, 3, 0, RANDARRAY(COUNTA(column_value!A:A), 1), 1))"),"경영, 철학, 키보드")</f>
        <v>경영, 철학, 키보드</v>
      </c>
      <c r="F147" s="7" t="str">
        <f>IFERROR(__xludf.DUMMYFUNCTION("TEXTJOIN("", "", TRUE, SORTN(column_value!$B$2:$B$105, 3, 0, RANDARRAY(COUNTA(column_value!B:B), 1), 1))"),"감탄하며, 공격적으로, 낭만적으로")</f>
        <v>감탄하며, 공격적으로, 낭만적으로</v>
      </c>
      <c r="G147" s="7" t="str">
        <f>IFERROR(__xludf.DUMMYFUNCTION("TEXTJOIN("", "", TRUE, SORTN(column_value!$C$2:$C$105, 3, 0, RANDARRAY(COUNTA(column_value!C:C), 1), 1))"),"애니메이터, 헬스 트레이너, 예술가")</f>
        <v>애니메이터, 헬스 트레이너, 예술가</v>
      </c>
      <c r="H147" s="7" t="str">
        <f>IFERROR(__xludf.DUMMYFUNCTION("TEXTJOIN("", "", TRUE, SORTN(column_value!$D$2:$D$105, 3, 0, RANDARRAY(COUNTA(column_value!D:D), 1), 1))"),"선배, 사업가, 집주인")</f>
        <v>선배, 사업가, 집주인</v>
      </c>
      <c r="I147" s="7">
        <v>20.0</v>
      </c>
      <c r="J147" s="9" t="str">
        <f t="shared" si="2"/>
        <v>[조건]
- 문자 길이: 150-199 구간 내
- 턴 수: 10-14 구간 내
- 주제: 경영, 철학, 키보드
- 톤: 감탄하며, 공격적으로, 낭만적으로
- 화자A: 애니메이터, 헬스 트레이너, 예술가
- 화자B: 선배, 사업가, 집주인
- 생성 대화수: 20</v>
      </c>
    </row>
    <row r="148">
      <c r="A148" s="7" t="str">
        <f t="shared" si="1"/>
        <v>T_147_len_150-199_turn_10-14_count_20</v>
      </c>
      <c r="B148" s="8" t="s">
        <v>210</v>
      </c>
      <c r="C148" s="7" t="s">
        <v>51</v>
      </c>
      <c r="D148" s="8" t="s">
        <v>52</v>
      </c>
      <c r="E148" s="7" t="str">
        <f>IFERROR(__xludf.DUMMYFUNCTION("TEXTJOIN("", "", TRUE, SORTN(column_value!$A$2:$A$105, 3, 0, RANDARRAY(COUNTA(column_value!A:A), 1), 1))"),"운동, 피아노, 사회")</f>
        <v>운동, 피아노, 사회</v>
      </c>
      <c r="F148" s="7" t="str">
        <f>IFERROR(__xludf.DUMMYFUNCTION("TEXTJOIN("", "", TRUE, SORTN(column_value!$B$2:$B$105, 3, 0, RANDARRAY(COUNTA(column_value!B:B), 1), 1))"),"평온하게, 시크하게, 낙관적으로")</f>
        <v>평온하게, 시크하게, 낙관적으로</v>
      </c>
      <c r="G148" s="7" t="str">
        <f>IFERROR(__xludf.DUMMYFUNCTION("TEXTJOIN("", "", TRUE, SORTN(column_value!$C$2:$C$105, 3, 0, RANDARRAY(COUNTA(column_value!C:C), 1), 1))"),"군대 후임, 상담사, 변호사")</f>
        <v>군대 후임, 상담사, 변호사</v>
      </c>
      <c r="H148" s="7" t="str">
        <f>IFERROR(__xludf.DUMMYFUNCTION("TEXTJOIN("", "", TRUE, SORTN(column_value!$D$2:$D$105, 3, 0, RANDARRAY(COUNTA(column_value!D:D), 1), 1))"),"택시 기사, 버스 기사, 사육사")</f>
        <v>택시 기사, 버스 기사, 사육사</v>
      </c>
      <c r="I148" s="7">
        <v>20.0</v>
      </c>
      <c r="J148" s="9" t="str">
        <f t="shared" si="2"/>
        <v>[조건]
- 문자 길이: 150-199 구간 내
- 턴 수: 10-14 구간 내
- 주제: 운동, 피아노, 사회
- 톤: 평온하게, 시크하게, 낙관적으로
- 화자A: 군대 후임, 상담사, 변호사
- 화자B: 택시 기사, 버스 기사, 사육사
- 생성 대화수: 20</v>
      </c>
    </row>
    <row r="149">
      <c r="A149" s="7" t="str">
        <f t="shared" si="1"/>
        <v>T_148_len_150-199_turn_10-14_count_20</v>
      </c>
      <c r="B149" s="8" t="s">
        <v>211</v>
      </c>
      <c r="C149" s="7" t="s">
        <v>51</v>
      </c>
      <c r="D149" s="8" t="s">
        <v>52</v>
      </c>
      <c r="E149" s="7" t="str">
        <f>IFERROR(__xludf.DUMMYFUNCTION("TEXTJOIN("", "", TRUE, SORTN(column_value!$A$2:$A$105, 3, 0, RANDARRAY(COUNTA(column_value!A:A), 1), 1))"),"미술, 철학, 교육")</f>
        <v>미술, 철학, 교육</v>
      </c>
      <c r="F149" s="7" t="str">
        <f>IFERROR(__xludf.DUMMYFUNCTION("TEXTJOIN("", "", TRUE, SORTN(column_value!$B$2:$B$105, 3, 0, RANDARRAY(COUNTA(column_value!B:B), 1), 1))"),"격앙되게, 단호하게, 냉정하게")</f>
        <v>격앙되게, 단호하게, 냉정하게</v>
      </c>
      <c r="G149" s="7" t="str">
        <f>IFERROR(__xludf.DUMMYFUNCTION("TEXTJOIN("", "", TRUE, SORTN(column_value!$C$2:$C$105, 3, 0, RANDARRAY(COUNTA(column_value!C:C), 1), 1))"),"사회복지사, 마케터, 군대 동기")</f>
        <v>사회복지사, 마케터, 군대 동기</v>
      </c>
      <c r="H149" s="7" t="str">
        <f>IFERROR(__xludf.DUMMYFUNCTION("TEXTJOIN("", "", TRUE, SORTN(column_value!$D$2:$D$105, 3, 0, RANDARRAY(COUNTA(column_value!D:D), 1), 1))"),"농부, 가이드, 기자")</f>
        <v>농부, 가이드, 기자</v>
      </c>
      <c r="I149" s="7">
        <v>20.0</v>
      </c>
      <c r="J149" s="9" t="str">
        <f t="shared" si="2"/>
        <v>[조건]
- 문자 길이: 150-199 구간 내
- 턴 수: 10-14 구간 내
- 주제: 미술, 철학, 교육
- 톤: 격앙되게, 단호하게, 냉정하게
- 화자A: 사회복지사, 마케터, 군대 동기
- 화자B: 농부, 가이드, 기자
- 생성 대화수: 20</v>
      </c>
    </row>
    <row r="150">
      <c r="A150" s="7" t="str">
        <f t="shared" si="1"/>
        <v>T_149_len_150-199_turn_10-14_count_6</v>
      </c>
      <c r="B150" s="8" t="s">
        <v>212</v>
      </c>
      <c r="C150" s="7" t="s">
        <v>51</v>
      </c>
      <c r="D150" s="8" t="s">
        <v>52</v>
      </c>
      <c r="E150" s="7" t="str">
        <f>IFERROR(__xludf.DUMMYFUNCTION("TEXTJOIN("", "", TRUE, SORTN(column_value!$A$2:$A$105, 3, 0, RANDARRAY(COUNTA(column_value!A:A), 1), 1))"),"클라우드, 우주, 요가")</f>
        <v>클라우드, 우주, 요가</v>
      </c>
      <c r="F150" s="7" t="str">
        <f>IFERROR(__xludf.DUMMYFUNCTION("TEXTJOIN("", "", TRUE, SORTN(column_value!$B$2:$B$105, 3, 0, RANDARRAY(COUNTA(column_value!B:B), 1), 1))"),"염세적으로, 쾌활하게, 차분하게")</f>
        <v>염세적으로, 쾌활하게, 차분하게</v>
      </c>
      <c r="G150" s="7" t="str">
        <f>IFERROR(__xludf.DUMMYFUNCTION("TEXTJOIN("", "", TRUE, SORTN(column_value!$C$2:$C$105, 3, 0, RANDARRAY(COUNTA(column_value!C:C), 1), 1))"),"조종사, 여행가, 군대 동기")</f>
        <v>조종사, 여행가, 군대 동기</v>
      </c>
      <c r="H150" s="7" t="str">
        <f>IFERROR(__xludf.DUMMYFUNCTION("TEXTJOIN("", "", TRUE, SORTN(column_value!$D$2:$D$105, 3, 0, RANDARRAY(COUNTA(column_value!D:D), 1), 1))"),"목수, 멘토, 알바생")</f>
        <v>목수, 멘토, 알바생</v>
      </c>
      <c r="I150" s="7">
        <v>6.0</v>
      </c>
      <c r="J150" s="9" t="str">
        <f t="shared" si="2"/>
        <v>[조건]
- 문자 길이: 150-199 구간 내
- 턴 수: 10-14 구간 내
- 주제: 클라우드, 우주, 요가
- 톤: 염세적으로, 쾌활하게, 차분하게
- 화자A: 조종사, 여행가, 군대 동기
- 화자B: 목수, 멘토, 알바생
- 생성 대화수: 6</v>
      </c>
    </row>
    <row r="151">
      <c r="A151" s="7" t="str">
        <f t="shared" si="1"/>
        <v>T_150_len_200-249_turn_15-19_count_20</v>
      </c>
      <c r="B151" s="8" t="s">
        <v>213</v>
      </c>
      <c r="C151" s="7" t="s">
        <v>58</v>
      </c>
      <c r="D151" s="8" t="s">
        <v>59</v>
      </c>
      <c r="E151" s="7" t="str">
        <f>IFERROR(__xludf.DUMMYFUNCTION("TEXTJOIN("", "", TRUE, SORTN(column_value!$A$2:$A$105, 3, 0, RANDARRAY(COUNTA(column_value!A:A), 1), 1))"),"정치, 사회, 교통")</f>
        <v>정치, 사회, 교통</v>
      </c>
      <c r="F151" s="7" t="str">
        <f>IFERROR(__xludf.DUMMYFUNCTION("TEXTJOIN("", "", TRUE, SORTN(column_value!$B$2:$B$105, 3, 0, RANDARRAY(COUNTA(column_value!B:B), 1), 1))"),"품위있게, 시니컬하게, 다정하게")</f>
        <v>품위있게, 시니컬하게, 다정하게</v>
      </c>
      <c r="G151" s="7" t="str">
        <f>IFERROR(__xludf.DUMMYFUNCTION("TEXTJOIN("", "", TRUE, SORTN(column_value!$C$2:$C$105, 3, 0, RANDARRAY(COUNTA(column_value!C:C), 1), 1))"),"인플루언서, 소믈리에, 호텔리어")</f>
        <v>인플루언서, 소믈리에, 호텔리어</v>
      </c>
      <c r="H151" s="7" t="str">
        <f>IFERROR(__xludf.DUMMYFUNCTION("TEXTJOIN("", "", TRUE, SORTN(column_value!$D$2:$D$105, 3, 0, RANDARRAY(COUNTA(column_value!D:D), 1), 1))"),"예술가, 이웃, 트럭 기사")</f>
        <v>예술가, 이웃, 트럭 기사</v>
      </c>
      <c r="I151" s="7">
        <v>20.0</v>
      </c>
      <c r="J151" s="9" t="str">
        <f t="shared" si="2"/>
        <v>[조건]
- 문자 길이: 200-249 구간 내
- 턴 수: 15-19 구간 내
- 주제: 정치, 사회, 교통
- 톤: 품위있게, 시니컬하게, 다정하게
- 화자A: 인플루언서, 소믈리에, 호텔리어
- 화자B: 예술가, 이웃, 트럭 기사
- 생성 대화수: 20</v>
      </c>
    </row>
    <row r="152">
      <c r="A152" s="7" t="str">
        <f t="shared" si="1"/>
        <v>T_151_len_200-249_turn_15-19_count_20</v>
      </c>
      <c r="B152" s="8" t="s">
        <v>214</v>
      </c>
      <c r="C152" s="7" t="s">
        <v>58</v>
      </c>
      <c r="D152" s="8" t="s">
        <v>59</v>
      </c>
      <c r="E152" s="7" t="str">
        <f>IFERROR(__xludf.DUMMYFUNCTION("TEXTJOIN("", "", TRUE, SORTN(column_value!$A$2:$A$105, 3, 0, RANDARRAY(COUNTA(column_value!A:A), 1), 1))"),"술, 세무, 프로그래밍")</f>
        <v>술, 세무, 프로그래밍</v>
      </c>
      <c r="F152" s="7" t="str">
        <f>IFERROR(__xludf.DUMMYFUNCTION("TEXTJOIN("", "", TRUE, SORTN(column_value!$B$2:$B$105, 3, 0, RANDARRAY(COUNTA(column_value!B:B), 1), 1))"),"관대하게, 놀라며, 따뜻하게")</f>
        <v>관대하게, 놀라며, 따뜻하게</v>
      </c>
      <c r="G152" s="7" t="str">
        <f>IFERROR(__xludf.DUMMYFUNCTION("TEXTJOIN("", "", TRUE, SORTN(column_value!$C$2:$C$105, 3, 0, RANDARRAY(COUNTA(column_value!C:C), 1), 1))"),"동료, 요리사, 변호사")</f>
        <v>동료, 요리사, 변호사</v>
      </c>
      <c r="H152" s="7" t="str">
        <f>IFERROR(__xludf.DUMMYFUNCTION("TEXTJOIN("", "", TRUE, SORTN(column_value!$D$2:$D$105, 3, 0, RANDARRAY(COUNTA(column_value!D:D), 1), 1))"),"사육사, 소설 작가, 번역가")</f>
        <v>사육사, 소설 작가, 번역가</v>
      </c>
      <c r="I152" s="7">
        <v>20.0</v>
      </c>
      <c r="J152" s="9" t="str">
        <f t="shared" si="2"/>
        <v>[조건]
- 문자 길이: 200-249 구간 내
- 턴 수: 15-19 구간 내
- 주제: 술, 세무, 프로그래밍
- 톤: 관대하게, 놀라며, 따뜻하게
- 화자A: 동료, 요리사, 변호사
- 화자B: 사육사, 소설 작가, 번역가
- 생성 대화수: 20</v>
      </c>
    </row>
    <row r="153">
      <c r="A153" s="7" t="str">
        <f t="shared" si="1"/>
        <v>T_152_len_200-249_turn_15-19_count_20</v>
      </c>
      <c r="B153" s="8" t="s">
        <v>215</v>
      </c>
      <c r="C153" s="7" t="s">
        <v>58</v>
      </c>
      <c r="D153" s="8" t="s">
        <v>59</v>
      </c>
      <c r="E153" s="7" t="str">
        <f>IFERROR(__xludf.DUMMYFUNCTION("TEXTJOIN("", "", TRUE, SORTN(column_value!$A$2:$A$105, 3, 0, RANDARRAY(COUNTA(column_value!A:A), 1), 1))"),"사회, 육아, 날씨")</f>
        <v>사회, 육아, 날씨</v>
      </c>
      <c r="F153" s="7" t="str">
        <f>IFERROR(__xludf.DUMMYFUNCTION("TEXTJOIN("", "", TRUE, SORTN(column_value!$B$2:$B$105, 3, 0, RANDARRAY(COUNTA(column_value!B:B), 1), 1))"),"시크하게, 무관심하게, 보수적으로")</f>
        <v>시크하게, 무관심하게, 보수적으로</v>
      </c>
      <c r="G153" s="7" t="str">
        <f>IFERROR(__xludf.DUMMYFUNCTION("TEXTJOIN("", "", TRUE, SORTN(column_value!$C$2:$C$105, 3, 0, RANDARRAY(COUNTA(column_value!C:C), 1), 1))"),"운동선수, 사회복지사, 주부")</f>
        <v>운동선수, 사회복지사, 주부</v>
      </c>
      <c r="H153" s="7" t="str">
        <f>IFERROR(__xludf.DUMMYFUNCTION("TEXTJOIN("", "", TRUE, SORTN(column_value!$D$2:$D$105, 3, 0, RANDARRAY(COUNTA(column_value!D:D), 1), 1))"),"작가, 경찰관, 바리스타")</f>
        <v>작가, 경찰관, 바리스타</v>
      </c>
      <c r="I153" s="7">
        <v>20.0</v>
      </c>
      <c r="J153" s="9" t="str">
        <f t="shared" si="2"/>
        <v>[조건]
- 문자 길이: 200-249 구간 내
- 턴 수: 15-19 구간 내
- 주제: 사회, 육아, 날씨
- 톤: 시크하게, 무관심하게, 보수적으로
- 화자A: 운동선수, 사회복지사, 주부
- 화자B: 작가, 경찰관, 바리스타
- 생성 대화수: 20</v>
      </c>
    </row>
    <row r="154">
      <c r="A154" s="7" t="str">
        <f t="shared" si="1"/>
        <v>T_153_len_200-249_turn_15-19_count_9</v>
      </c>
      <c r="B154" s="8" t="s">
        <v>216</v>
      </c>
      <c r="C154" s="7" t="s">
        <v>58</v>
      </c>
      <c r="D154" s="8" t="s">
        <v>59</v>
      </c>
      <c r="E154" s="7" t="str">
        <f>IFERROR(__xludf.DUMMYFUNCTION("TEXTJOIN("", "", TRUE, SORTN(column_value!$A$2:$A$105, 3, 0, RANDARRAY(COUNTA(column_value!A:A), 1), 1))"),"다이어트, 취미, 마케팅")</f>
        <v>다이어트, 취미, 마케팅</v>
      </c>
      <c r="F154" s="7" t="str">
        <f>IFERROR(__xludf.DUMMYFUNCTION("TEXTJOIN("", "", TRUE, SORTN(column_value!$B$2:$B$105, 3, 0, RANDARRAY(COUNTA(column_value!B:B), 1), 1))"),"평온하게, 무뚝뚝하게, 날카롭게")</f>
        <v>평온하게, 무뚝뚝하게, 날카롭게</v>
      </c>
      <c r="G154" s="7" t="str">
        <f>IFERROR(__xludf.DUMMYFUNCTION("TEXTJOIN("", "", TRUE, SORTN(column_value!$C$2:$C$105, 3, 0, RANDARRAY(COUNTA(column_value!C:C), 1), 1))"),"교수, 소믈리에, 세입자")</f>
        <v>교수, 소믈리에, 세입자</v>
      </c>
      <c r="H154" s="7" t="str">
        <f>IFERROR(__xludf.DUMMYFUNCTION("TEXTJOIN("", "", TRUE, SORTN(column_value!$D$2:$D$105, 3, 0, RANDARRAY(COUNTA(column_value!D:D), 1), 1))"),"정치인, 사업가, 소믈리에")</f>
        <v>정치인, 사업가, 소믈리에</v>
      </c>
      <c r="I154" s="7">
        <v>9.0</v>
      </c>
      <c r="J154" s="9" t="str">
        <f t="shared" si="2"/>
        <v>[조건]
- 문자 길이: 200-249 구간 내
- 턴 수: 15-19 구간 내
- 주제: 다이어트, 취미, 마케팅
- 톤: 평온하게, 무뚝뚝하게, 날카롭게
- 화자A: 교수, 소믈리에, 세입자
- 화자B: 정치인, 사업가, 소믈리에
- 생성 대화수: 9</v>
      </c>
    </row>
    <row r="155">
      <c r="A155" s="7" t="str">
        <f t="shared" si="1"/>
        <v>T_154_len_250-299_turn_20-24_count_20</v>
      </c>
      <c r="B155" s="8" t="s">
        <v>217</v>
      </c>
      <c r="C155" s="7" t="s">
        <v>64</v>
      </c>
      <c r="D155" s="8" t="s">
        <v>65</v>
      </c>
      <c r="E155" s="7" t="str">
        <f>IFERROR(__xludf.DUMMYFUNCTION("TEXTJOIN("", "", TRUE, SORTN(column_value!$A$2:$A$105, 3, 0, RANDARRAY(COUNTA(column_value!A:A), 1), 1))"),"직업, 주식, 프로그래밍")</f>
        <v>직업, 주식, 프로그래밍</v>
      </c>
      <c r="F155" s="7" t="str">
        <f>IFERROR(__xludf.DUMMYFUNCTION("TEXTJOIN("", "", TRUE, SORTN(column_value!$B$2:$B$105, 3, 0, RANDARRAY(COUNTA(column_value!B:B), 1), 1))"),"쾌활하게, 친근하게, 정중하게")</f>
        <v>쾌활하게, 친근하게, 정중하게</v>
      </c>
      <c r="G155" s="7" t="str">
        <f>IFERROR(__xludf.DUMMYFUNCTION("TEXTJOIN("", "", TRUE, SORTN(column_value!$C$2:$C$105, 3, 0, RANDARRAY(COUNTA(column_value!C:C), 1), 1))"),"멘티, 은행원, 소방관")</f>
        <v>멘티, 은행원, 소방관</v>
      </c>
      <c r="H155" s="7" t="str">
        <f>IFERROR(__xludf.DUMMYFUNCTION("TEXTJOIN("", "", TRUE, SORTN(column_value!$D$2:$D$105, 3, 0, RANDARRAY(COUNTA(column_value!D:D), 1), 1))"),"가이드, 후배, 멘티")</f>
        <v>가이드, 후배, 멘티</v>
      </c>
      <c r="I155" s="7">
        <v>20.0</v>
      </c>
      <c r="J155" s="9" t="str">
        <f t="shared" si="2"/>
        <v>[조건]
- 문자 길이: 250-299 구간 내
- 턴 수: 20-24 구간 내
- 주제: 직업, 주식, 프로그래밍
- 톤: 쾌활하게, 친근하게, 정중하게
- 화자A: 멘티, 은행원, 소방관
- 화자B: 가이드, 후배, 멘티
- 생성 대화수: 20</v>
      </c>
    </row>
    <row r="156">
      <c r="A156" s="7" t="str">
        <f t="shared" si="1"/>
        <v>T_155_len_250-299_turn_20-24_count_18</v>
      </c>
      <c r="B156" s="8" t="s">
        <v>218</v>
      </c>
      <c r="C156" s="7" t="s">
        <v>64</v>
      </c>
      <c r="D156" s="8" t="s">
        <v>65</v>
      </c>
      <c r="E156" s="7" t="str">
        <f>IFERROR(__xludf.DUMMYFUNCTION("TEXTJOIN("", "", TRUE, SORTN(column_value!$A$2:$A$105, 3, 0, RANDARRAY(COUNTA(column_value!A:A), 1), 1))"),"영업, 법률, 우주")</f>
        <v>영업, 법률, 우주</v>
      </c>
      <c r="F156" s="7" t="str">
        <f>IFERROR(__xludf.DUMMYFUNCTION("TEXTJOIN("", "", TRUE, SORTN(column_value!$B$2:$B$105, 3, 0, RANDARRAY(COUNTA(column_value!B:B), 1), 1))"),"냉소적으로, 단호하게, 중립적으로")</f>
        <v>냉소적으로, 단호하게, 중립적으로</v>
      </c>
      <c r="G156" s="7" t="str">
        <f>IFERROR(__xludf.DUMMYFUNCTION("TEXTJOIN("", "", TRUE, SORTN(column_value!$C$2:$C$105, 3, 0, RANDARRAY(COUNTA(column_value!C:C), 1), 1))"),"엔지니어, 팀장, 소설 작가")</f>
        <v>엔지니어, 팀장, 소설 작가</v>
      </c>
      <c r="H156" s="7" t="str">
        <f>IFERROR(__xludf.DUMMYFUNCTION("TEXTJOIN("", "", TRUE, SORTN(column_value!$D$2:$D$105, 3, 0, RANDARRAY(COUNTA(column_value!D:D), 1), 1))"),"트럭 기사, 공무원, 필라테스 강사")</f>
        <v>트럭 기사, 공무원, 필라테스 강사</v>
      </c>
      <c r="I156" s="7">
        <v>18.0</v>
      </c>
      <c r="J156" s="9" t="str">
        <f t="shared" si="2"/>
        <v>[조건]
- 문자 길이: 250-299 구간 내
- 턴 수: 20-24 구간 내
- 주제: 영업, 법률, 우주
- 톤: 냉소적으로, 단호하게, 중립적으로
- 화자A: 엔지니어, 팀장, 소설 작가
- 화자B: 트럭 기사, 공무원, 필라테스 강사
- 생성 대화수: 18</v>
      </c>
    </row>
    <row r="157">
      <c r="A157" s="7" t="str">
        <f t="shared" si="1"/>
        <v>T_156_len_300-349_turn_25-29_count_20</v>
      </c>
      <c r="B157" s="8" t="s">
        <v>219</v>
      </c>
      <c r="C157" s="7" t="s">
        <v>68</v>
      </c>
      <c r="D157" s="8" t="s">
        <v>69</v>
      </c>
      <c r="E157" s="7" t="str">
        <f>IFERROR(__xludf.DUMMYFUNCTION("TEXTJOIN("", "", TRUE, SORTN(column_value!$A$2:$A$105, 3, 0, RANDARRAY(COUNTA(column_value!A:A), 1), 1))"),"심리학, 철학, 자전거")</f>
        <v>심리학, 철학, 자전거</v>
      </c>
      <c r="F157" s="7" t="str">
        <f>IFERROR(__xludf.DUMMYFUNCTION("TEXTJOIN("", "", TRUE, SORTN(column_value!$B$2:$B$105, 3, 0, RANDARRAY(COUNTA(column_value!B:B), 1), 1))"),"냉담하게, 보수적으로, 시크하게")</f>
        <v>냉담하게, 보수적으로, 시크하게</v>
      </c>
      <c r="G157" s="7" t="str">
        <f>IFERROR(__xludf.DUMMYFUNCTION("TEXTJOIN("", "", TRUE, SORTN(column_value!$C$2:$C$105, 3, 0, RANDARRAY(COUNTA(column_value!C:C), 1), 1))"),"가이드, 소방관, 택시 기사")</f>
        <v>가이드, 소방관, 택시 기사</v>
      </c>
      <c r="H157" s="7" t="str">
        <f>IFERROR(__xludf.DUMMYFUNCTION("TEXTJOIN("", "", TRUE, SORTN(column_value!$D$2:$D$105, 3, 0, RANDARRAY(COUNTA(column_value!D:D), 1), 1))"),"개발자, 요가 강사, 만화가")</f>
        <v>개발자, 요가 강사, 만화가</v>
      </c>
      <c r="I157" s="7">
        <v>20.0</v>
      </c>
      <c r="J157" s="9" t="str">
        <f t="shared" si="2"/>
        <v>[조건]
- 문자 길이: 300-349 구간 내
- 턴 수: 25-29 구간 내
- 주제: 심리학, 철학, 자전거
- 톤: 냉담하게, 보수적으로, 시크하게
- 화자A: 가이드, 소방관, 택시 기사
- 화자B: 개발자, 요가 강사, 만화가
- 생성 대화수: 20</v>
      </c>
    </row>
    <row r="158">
      <c r="A158" s="7" t="str">
        <f t="shared" si="1"/>
        <v>T_157_len_350-399_turn_30-34_count_13</v>
      </c>
      <c r="B158" s="8" t="s">
        <v>220</v>
      </c>
      <c r="C158" s="7" t="s">
        <v>71</v>
      </c>
      <c r="D158" s="8" t="s">
        <v>72</v>
      </c>
      <c r="E158" s="7" t="str">
        <f>IFERROR(__xludf.DUMMYFUNCTION("TEXTJOIN("", "", TRUE, SORTN(column_value!$A$2:$A$105, 3, 0, RANDARRAY(COUNTA(column_value!A:A), 1), 1))"),"육아, 제조업, 물리학")</f>
        <v>육아, 제조업, 물리학</v>
      </c>
      <c r="F158" s="7" t="str">
        <f>IFERROR(__xludf.DUMMYFUNCTION("TEXTJOIN("", "", TRUE, SORTN(column_value!$B$2:$B$105, 3, 0, RANDARRAY(COUNTA(column_value!B:B), 1), 1))"),"단호하게, 협조적으로, 당황하며")</f>
        <v>단호하게, 협조적으로, 당황하며</v>
      </c>
      <c r="G158" s="7" t="str">
        <f>IFERROR(__xludf.DUMMYFUNCTION("TEXTJOIN("", "", TRUE, SORTN(column_value!$C$2:$C$105, 3, 0, RANDARRAY(COUNTA(column_value!C:C), 1), 1))"),"디자이너, 인턴, 자영업자")</f>
        <v>디자이너, 인턴, 자영업자</v>
      </c>
      <c r="H158" s="7" t="str">
        <f>IFERROR(__xludf.DUMMYFUNCTION("TEXTJOIN("", "", TRUE, SORTN(column_value!$D$2:$D$105, 3, 0, RANDARRAY(COUNTA(column_value!D:D), 1), 1))"),"요가 강사, 모델, 정치인")</f>
        <v>요가 강사, 모델, 정치인</v>
      </c>
      <c r="I158" s="7">
        <v>13.0</v>
      </c>
      <c r="J158" s="9" t="str">
        <f t="shared" si="2"/>
        <v>[조건]
- 문자 길이: 350-399 구간 내
- 턴 수: 30-34 구간 내
- 주제: 육아, 제조업, 물리학
- 톤: 단호하게, 협조적으로, 당황하며
- 화자A: 디자이너, 인턴, 자영업자
- 화자B: 요가 강사, 모델, 정치인
- 생성 대화수: 13</v>
      </c>
    </row>
    <row r="159">
      <c r="A159" s="7" t="str">
        <f t="shared" si="1"/>
        <v>T_158_len_400-449_turn_35-39_count_7</v>
      </c>
      <c r="B159" s="8" t="s">
        <v>221</v>
      </c>
      <c r="C159" s="7" t="s">
        <v>74</v>
      </c>
      <c r="D159" s="8" t="s">
        <v>75</v>
      </c>
      <c r="E159" s="7" t="str">
        <f>IFERROR(__xludf.DUMMYFUNCTION("TEXTJOIN("", "", TRUE, SORTN(column_value!$A$2:$A$105, 3, 0, RANDARRAY(COUNTA(column_value!A:A), 1), 1))"),"유통, 카페, 키보드")</f>
        <v>유통, 카페, 키보드</v>
      </c>
      <c r="F159" s="7" t="str">
        <f>IFERROR(__xludf.DUMMYFUNCTION("TEXTJOIN("", "", TRUE, SORTN(column_value!$B$2:$B$105, 3, 0, RANDARRAY(COUNTA(column_value!B:B), 1), 1))"),"활발하게, 공격적으로, 기대하며")</f>
        <v>활발하게, 공격적으로, 기대하며</v>
      </c>
      <c r="G159" s="7" t="str">
        <f>IFERROR(__xludf.DUMMYFUNCTION("TEXTJOIN("", "", TRUE, SORTN(column_value!$C$2:$C$105, 3, 0, RANDARRAY(COUNTA(column_value!C:C), 1), 1))"),"동료, 트럭 기사, 친구")</f>
        <v>동료, 트럭 기사, 친구</v>
      </c>
      <c r="H159" s="7" t="str">
        <f>IFERROR(__xludf.DUMMYFUNCTION("TEXTJOIN("", "", TRUE, SORTN(column_value!$D$2:$D$105, 3, 0, RANDARRAY(COUNTA(column_value!D:D), 1), 1))"),"성우, 신부, 기자")</f>
        <v>성우, 신부, 기자</v>
      </c>
      <c r="I159" s="7">
        <v>7.0</v>
      </c>
      <c r="J159" s="9" t="str">
        <f t="shared" si="2"/>
        <v>[조건]
- 문자 길이: 400-449 구간 내
- 턴 수: 35-39 구간 내
- 주제: 유통, 카페, 키보드
- 톤: 활발하게, 공격적으로, 기대하며
- 화자A: 동료, 트럭 기사, 친구
- 화자B: 성우, 신부, 기자
- 생성 대화수: 7</v>
      </c>
    </row>
    <row r="160">
      <c r="A160" s="7" t="str">
        <f t="shared" si="1"/>
        <v>T_159_len_450-499_turn_40-44_count_5</v>
      </c>
      <c r="B160" s="8" t="s">
        <v>222</v>
      </c>
      <c r="C160" s="7" t="s">
        <v>77</v>
      </c>
      <c r="D160" s="8" t="s">
        <v>78</v>
      </c>
      <c r="E160" s="7" t="str">
        <f>IFERROR(__xludf.DUMMYFUNCTION("TEXTJOIN("", "", TRUE, SORTN(column_value!$A$2:$A$105, 3, 0, RANDARRAY(COUNTA(column_value!A:A), 1), 1))"),"개발, 교육, 문화")</f>
        <v>개발, 교육, 문화</v>
      </c>
      <c r="F160" s="7" t="str">
        <f>IFERROR(__xludf.DUMMYFUNCTION("TEXTJOIN("", "", TRUE, SORTN(column_value!$B$2:$B$105, 3, 0, RANDARRAY(COUNTA(column_value!B:B), 1), 1))"),"위트있게, 편협하게, 쾌활하게")</f>
        <v>위트있게, 편협하게, 쾌활하게</v>
      </c>
      <c r="G160" s="7" t="str">
        <f>IFERROR(__xludf.DUMMYFUNCTION("TEXTJOIN("", "", TRUE, SORTN(column_value!$C$2:$C$105, 3, 0, RANDARRAY(COUNTA(column_value!C:C), 1), 1))"),"응급구조사, 간호사, 소설 작가")</f>
        <v>응급구조사, 간호사, 소설 작가</v>
      </c>
      <c r="H160" s="7" t="str">
        <f>IFERROR(__xludf.DUMMYFUNCTION("TEXTJOIN("", "", TRUE, SORTN(column_value!$D$2:$D$105, 3, 0, RANDARRAY(COUNTA(column_value!D:D), 1), 1))"),"호텔리어, 모델, 헬스 트레이너")</f>
        <v>호텔리어, 모델, 헬스 트레이너</v>
      </c>
      <c r="I160" s="7">
        <v>5.0</v>
      </c>
      <c r="J160" s="9" t="str">
        <f t="shared" si="2"/>
        <v>[조건]
- 문자 길이: 450-499 구간 내
- 턴 수: 40-44 구간 내
- 주제: 개발, 교육, 문화
- 톤: 위트있게, 편협하게, 쾌활하게
- 화자A: 응급구조사, 간호사, 소설 작가
- 화자B: 호텔리어, 모델, 헬스 트레이너
- 생성 대화수: 5</v>
      </c>
    </row>
    <row r="161">
      <c r="A161" s="7" t="str">
        <f t="shared" si="1"/>
        <v>T_160_len_500-549_turn_45-49_count_12</v>
      </c>
      <c r="B161" s="8" t="s">
        <v>223</v>
      </c>
      <c r="C161" s="7" t="s">
        <v>80</v>
      </c>
      <c r="D161" s="8" t="s">
        <v>81</v>
      </c>
      <c r="E161" s="7" t="str">
        <f>IFERROR(__xludf.DUMMYFUNCTION("TEXTJOIN("", "", TRUE, SORTN(column_value!$A$2:$A$105, 3, 0, RANDARRAY(COUNTA(column_value!A:A), 1), 1))"),"낚시, 법률, 종교")</f>
        <v>낚시, 법률, 종교</v>
      </c>
      <c r="F161" s="7" t="str">
        <f>IFERROR(__xludf.DUMMYFUNCTION("TEXTJOIN("", "", TRUE, SORTN(column_value!$B$2:$B$105, 3, 0, RANDARRAY(COUNTA(column_value!B:B), 1), 1))"),"슬프게, 낙관적으로, 열정적으로")</f>
        <v>슬프게, 낙관적으로, 열정적으로</v>
      </c>
      <c r="G161" s="7" t="str">
        <f>IFERROR(__xludf.DUMMYFUNCTION("TEXTJOIN("", "", TRUE, SORTN(column_value!$C$2:$C$105, 3, 0, RANDARRAY(COUNTA(column_value!C:C), 1), 1))"),"시니어, 소믈리에, 목사")</f>
        <v>시니어, 소믈리에, 목사</v>
      </c>
      <c r="H161" s="7" t="str">
        <f>IFERROR(__xludf.DUMMYFUNCTION("TEXTJOIN("", "", TRUE, SORTN(column_value!$D$2:$D$105, 3, 0, RANDARRAY(COUNTA(column_value!D:D), 1), 1))"),"대학생, 사진작가, 음악가")</f>
        <v>대학생, 사진작가, 음악가</v>
      </c>
      <c r="I161" s="7">
        <v>12.0</v>
      </c>
      <c r="J161" s="9" t="str">
        <f t="shared" si="2"/>
        <v>[조건]
- 문자 길이: 500-549 구간 내
- 턴 수: 45-49 구간 내
- 주제: 낚시, 법률, 종교
- 톤: 슬프게, 낙관적으로, 열정적으로
- 화자A: 시니어, 소믈리에, 목사
- 화자B: 대학생, 사진작가, 음악가
- 생성 대화수: 12</v>
      </c>
    </row>
    <row r="162">
      <c r="A162" s="7" t="str">
        <f t="shared" si="1"/>
        <v>T_161_len_50-99_turn_0-4_count_5</v>
      </c>
      <c r="B162" s="8" t="s">
        <v>224</v>
      </c>
      <c r="C162" s="7" t="s">
        <v>43</v>
      </c>
      <c r="D162" s="8" t="s">
        <v>44</v>
      </c>
      <c r="E162" s="7" t="str">
        <f>IFERROR(__xludf.DUMMYFUNCTION("TEXTJOIN("", "", TRUE, SORTN(column_value!$A$2:$A$105, 3, 0, RANDARRAY(COUNTA(column_value!A:A), 1), 1))"),"환경, 연예, 쇼핑")</f>
        <v>환경, 연예, 쇼핑</v>
      </c>
      <c r="F162" s="7" t="str">
        <f>IFERROR(__xludf.DUMMYFUNCTION("TEXTJOIN("", "", TRUE, SORTN(column_value!$B$2:$B$105, 3, 0, RANDARRAY(COUNTA(column_value!B:B), 1), 1))"),"건조하게, 당황하며, 재치있게")</f>
        <v>건조하게, 당황하며, 재치있게</v>
      </c>
      <c r="G162" s="7" t="str">
        <f>IFERROR(__xludf.DUMMYFUNCTION("TEXTJOIN("", "", TRUE, SORTN(column_value!$C$2:$C$105, 3, 0, RANDARRAY(COUNTA(column_value!C:C), 1), 1))"),"자녀, 고등학생, 애니메이터")</f>
        <v>자녀, 고등학생, 애니메이터</v>
      </c>
      <c r="H162" s="7" t="str">
        <f>IFERROR(__xludf.DUMMYFUNCTION("TEXTJOIN("", "", TRUE, SORTN(column_value!$D$2:$D$105, 3, 0, RANDARRAY(COUNTA(column_value!D:D), 1), 1))"),"소방관, 고객, 변호사")</f>
        <v>소방관, 고객, 변호사</v>
      </c>
      <c r="I162" s="7">
        <v>5.0</v>
      </c>
      <c r="J162" s="9" t="str">
        <f t="shared" si="2"/>
        <v>[조건]
- 문자 길이: 50-99 구간 내
- 턴 수: 0-4 구간 내
- 주제: 환경, 연예, 쇼핑
- 톤: 건조하게, 당황하며, 재치있게
- 화자A: 자녀, 고등학생, 애니메이터
- 화자B: 소방관, 고객, 변호사
- 생성 대화수: 5</v>
      </c>
    </row>
    <row r="163">
      <c r="A163" s="7" t="str">
        <f t="shared" si="1"/>
        <v>T_162_len_100-149_turn_5-9_count_20</v>
      </c>
      <c r="B163" s="8" t="s">
        <v>225</v>
      </c>
      <c r="C163" s="7" t="s">
        <v>46</v>
      </c>
      <c r="D163" s="8" t="s">
        <v>47</v>
      </c>
      <c r="E163" s="7" t="str">
        <f>IFERROR(__xludf.DUMMYFUNCTION("TEXTJOIN("", "", TRUE, SORTN(column_value!$A$2:$A$105, 3, 0, RANDARRAY(COUNTA(column_value!A:A), 1), 1))"),"레시피, 교통, 맛집")</f>
        <v>레시피, 교통, 맛집</v>
      </c>
      <c r="F163" s="7" t="str">
        <f>IFERROR(__xludf.DUMMYFUNCTION("TEXTJOIN("", "", TRUE, SORTN(column_value!$B$2:$B$105, 3, 0, RANDARRAY(COUNTA(column_value!B:B), 1), 1))"),"유머러스하게, 황당해하며, 건조하게")</f>
        <v>유머러스하게, 황당해하며, 건조하게</v>
      </c>
      <c r="G163" s="7" t="str">
        <f>IFERROR(__xludf.DUMMYFUNCTION("TEXTJOIN("", "", TRUE, SORTN(column_value!$C$2:$C$105, 3, 0, RANDARRAY(COUNTA(column_value!C:C), 1), 1))"),"택시 기사, 기자, 종교인")</f>
        <v>택시 기사, 기자, 종교인</v>
      </c>
      <c r="H163" s="7" t="str">
        <f>IFERROR(__xludf.DUMMYFUNCTION("TEXTJOIN("", "", TRUE, SORTN(column_value!$D$2:$D$105, 3, 0, RANDARRAY(COUNTA(column_value!D:D), 1), 1))"),"유튜버, 택시 기사, 신부")</f>
        <v>유튜버, 택시 기사, 신부</v>
      </c>
      <c r="I163" s="7">
        <v>20.0</v>
      </c>
      <c r="J163" s="9" t="str">
        <f t="shared" si="2"/>
        <v>[조건]
- 문자 길이: 100-149 구간 내
- 턴 수: 5-9 구간 내
- 주제: 레시피, 교통, 맛집
- 톤: 유머러스하게, 황당해하며, 건조하게
- 화자A: 택시 기사, 기자, 종교인
- 화자B: 유튜버, 택시 기사, 신부
- 생성 대화수: 20</v>
      </c>
    </row>
    <row r="164">
      <c r="A164" s="7" t="str">
        <f t="shared" si="1"/>
        <v>T_163_len_100-149_turn_5-9_count_20</v>
      </c>
      <c r="B164" s="8" t="s">
        <v>226</v>
      </c>
      <c r="C164" s="7" t="s">
        <v>46</v>
      </c>
      <c r="D164" s="8" t="s">
        <v>47</v>
      </c>
      <c r="E164" s="7" t="str">
        <f>IFERROR(__xludf.DUMMYFUNCTION("TEXTJOIN("", "", TRUE, SORTN(column_value!$A$2:$A$105, 3, 0, RANDARRAY(COUNTA(column_value!A:A), 1), 1))"),"역사, 수산업, 문화")</f>
        <v>역사, 수산업, 문화</v>
      </c>
      <c r="F164" s="7" t="str">
        <f>IFERROR(__xludf.DUMMYFUNCTION("TEXTJOIN("", "", TRUE, SORTN(column_value!$B$2:$B$105, 3, 0, RANDARRAY(COUNTA(column_value!B:B), 1), 1))"),"격식없이, 감탄하며, 위트있게")</f>
        <v>격식없이, 감탄하며, 위트있게</v>
      </c>
      <c r="G164" s="7" t="str">
        <f>IFERROR(__xludf.DUMMYFUNCTION("TEXTJOIN("", "", TRUE, SORTN(column_value!$C$2:$C$105, 3, 0, RANDARRAY(COUNTA(column_value!C:C), 1), 1))"),"후배, 교사, 필라테스 강사")</f>
        <v>후배, 교사, 필라테스 강사</v>
      </c>
      <c r="H164" s="7" t="str">
        <f>IFERROR(__xludf.DUMMYFUNCTION("TEXTJOIN("", "", TRUE, SORTN(column_value!$D$2:$D$105, 3, 0, RANDARRAY(COUNTA(column_value!D:D), 1), 1))"),"대학생, CEO, 네일 아티스트")</f>
        <v>대학생, CEO, 네일 아티스트</v>
      </c>
      <c r="I164" s="7">
        <v>20.0</v>
      </c>
      <c r="J164" s="9" t="str">
        <f t="shared" si="2"/>
        <v>[조건]
- 문자 길이: 100-149 구간 내
- 턴 수: 5-9 구간 내
- 주제: 역사, 수산업, 문화
- 톤: 격식없이, 감탄하며, 위트있게
- 화자A: 후배, 교사, 필라테스 강사
- 화자B: 대학생, CEO, 네일 아티스트
- 생성 대화수: 20</v>
      </c>
    </row>
    <row r="165">
      <c r="A165" s="7" t="str">
        <f t="shared" si="1"/>
        <v>T_164_len_100-149_turn_5-9_count_5</v>
      </c>
      <c r="B165" s="8" t="s">
        <v>227</v>
      </c>
      <c r="C165" s="7" t="s">
        <v>46</v>
      </c>
      <c r="D165" s="8" t="s">
        <v>47</v>
      </c>
      <c r="E165" s="7" t="str">
        <f>IFERROR(__xludf.DUMMYFUNCTION("TEXTJOIN("", "", TRUE, SORTN(column_value!$A$2:$A$105, 3, 0, RANDARRAY(COUNTA(column_value!A:A), 1), 1))"),"맛집, 유통, 법률")</f>
        <v>맛집, 유통, 법률</v>
      </c>
      <c r="F165" s="7" t="str">
        <f>IFERROR(__xludf.DUMMYFUNCTION("TEXTJOIN("", "", TRUE, SORTN(column_value!$B$2:$B$105, 3, 0, RANDARRAY(COUNTA(column_value!B:B), 1), 1))"),"친근하게, 궁금해하며, 꼼꼼하게")</f>
        <v>친근하게, 궁금해하며, 꼼꼼하게</v>
      </c>
      <c r="G165" s="7" t="str">
        <f>IFERROR(__xludf.DUMMYFUNCTION("TEXTJOIN("", "", TRUE, SORTN(column_value!$C$2:$C$105, 3, 0, RANDARRAY(COUNTA(column_value!C:C), 1), 1))"),"택시 기사, 소방관, 필라테스 강사")</f>
        <v>택시 기사, 소방관, 필라테스 강사</v>
      </c>
      <c r="H165" s="7" t="str">
        <f>IFERROR(__xludf.DUMMYFUNCTION("TEXTJOIN("", "", TRUE, SORTN(column_value!$D$2:$D$105, 3, 0, RANDARRAY(COUNTA(column_value!D:D), 1), 1))"),"대학생, 점원, 사업가")</f>
        <v>대학생, 점원, 사업가</v>
      </c>
      <c r="I165" s="7">
        <v>5.0</v>
      </c>
      <c r="J165" s="9" t="str">
        <f t="shared" si="2"/>
        <v>[조건]
- 문자 길이: 100-149 구간 내
- 턴 수: 5-9 구간 내
- 주제: 맛집, 유통, 법률
- 톤: 친근하게, 궁금해하며, 꼼꼼하게
- 화자A: 택시 기사, 소방관, 필라테스 강사
- 화자B: 대학생, 점원, 사업가
- 생성 대화수: 5</v>
      </c>
    </row>
    <row r="166">
      <c r="A166" s="7" t="str">
        <f t="shared" si="1"/>
        <v>T_165_len_150-199_turn_10-14_count_20</v>
      </c>
      <c r="B166" s="8" t="s">
        <v>228</v>
      </c>
      <c r="C166" s="7" t="s">
        <v>51</v>
      </c>
      <c r="D166" s="8" t="s">
        <v>52</v>
      </c>
      <c r="E166" s="7" t="str">
        <f>IFERROR(__xludf.DUMMYFUNCTION("TEXTJOIN("", "", TRUE, SORTN(column_value!$A$2:$A$105, 3, 0, RANDARRAY(COUNTA(column_value!A:A), 1), 1))"),"물류, 투자, 음악")</f>
        <v>물류, 투자, 음악</v>
      </c>
      <c r="F166" s="7" t="str">
        <f>IFERROR(__xludf.DUMMYFUNCTION("TEXTJOIN("", "", TRUE, SORTN(column_value!$B$2:$B$105, 3, 0, RANDARRAY(COUNTA(column_value!B:B), 1), 1))"),"무뚝뚝하게, 비웃듯이, 주도적으로")</f>
        <v>무뚝뚝하게, 비웃듯이, 주도적으로</v>
      </c>
      <c r="G166" s="7" t="str">
        <f>IFERROR(__xludf.DUMMYFUNCTION("TEXTJOIN("", "", TRUE, SORTN(column_value!$C$2:$C$105, 3, 0, RANDARRAY(COUNTA(column_value!C:C), 1), 1))"),"사육사, 정치인, 부모")</f>
        <v>사육사, 정치인, 부모</v>
      </c>
      <c r="H166" s="7" t="str">
        <f>IFERROR(__xludf.DUMMYFUNCTION("TEXTJOIN("", "", TRUE, SORTN(column_value!$D$2:$D$105, 3, 0, RANDARRAY(COUNTA(column_value!D:D), 1), 1))"),"통역사, 어부, 마케터")</f>
        <v>통역사, 어부, 마케터</v>
      </c>
      <c r="I166" s="7">
        <v>20.0</v>
      </c>
      <c r="J166" s="9" t="str">
        <f t="shared" si="2"/>
        <v>[조건]
- 문자 길이: 150-199 구간 내
- 턴 수: 10-14 구간 내
- 주제: 물류, 투자, 음악
- 톤: 무뚝뚝하게, 비웃듯이, 주도적으로
- 화자A: 사육사, 정치인, 부모
- 화자B: 통역사, 어부, 마케터
- 생성 대화수: 20</v>
      </c>
    </row>
    <row r="167">
      <c r="A167" s="7" t="str">
        <f t="shared" si="1"/>
        <v>T_166_len_150-199_turn_10-14_count_20</v>
      </c>
      <c r="B167" s="8" t="s">
        <v>229</v>
      </c>
      <c r="C167" s="7" t="s">
        <v>51</v>
      </c>
      <c r="D167" s="8" t="s">
        <v>52</v>
      </c>
      <c r="E167" s="7" t="str">
        <f>IFERROR(__xludf.DUMMYFUNCTION("TEXTJOIN("", "", TRUE, SORTN(column_value!$A$2:$A$105, 3, 0, RANDARRAY(COUNTA(column_value!A:A), 1), 1))"),"날씨, 개발, 봉사")</f>
        <v>날씨, 개발, 봉사</v>
      </c>
      <c r="F167" s="7" t="str">
        <f>IFERROR(__xludf.DUMMYFUNCTION("TEXTJOIN("", "", TRUE, SORTN(column_value!$B$2:$B$105, 3, 0, RANDARRAY(COUNTA(column_value!B:B), 1), 1))"),"존경심을 담아, 사랑스럽게, 소심하게")</f>
        <v>존경심을 담아, 사랑스럽게, 소심하게</v>
      </c>
      <c r="G167" s="7" t="str">
        <f>IFERROR(__xludf.DUMMYFUNCTION("TEXTJOIN("", "", TRUE, SORTN(column_value!$C$2:$C$105, 3, 0, RANDARRAY(COUNTA(column_value!C:C), 1), 1))"),"음악가, 인턴, 의사")</f>
        <v>음악가, 인턴, 의사</v>
      </c>
      <c r="H167" s="7" t="str">
        <f>IFERROR(__xludf.DUMMYFUNCTION("TEXTJOIN("", "", TRUE, SORTN(column_value!$D$2:$D$105, 3, 0, RANDARRAY(COUNTA(column_value!D:D), 1), 1))"),"엔지니어, 종교인, 소방관")</f>
        <v>엔지니어, 종교인, 소방관</v>
      </c>
      <c r="I167" s="7">
        <v>20.0</v>
      </c>
      <c r="J167" s="9" t="str">
        <f t="shared" si="2"/>
        <v>[조건]
- 문자 길이: 150-199 구간 내
- 턴 수: 10-14 구간 내
- 주제: 날씨, 개발, 봉사
- 톤: 존경심을 담아, 사랑스럽게, 소심하게
- 화자A: 음악가, 인턴, 의사
- 화자B: 엔지니어, 종교인, 소방관
- 생성 대화수: 20</v>
      </c>
    </row>
    <row r="168">
      <c r="A168" s="7" t="str">
        <f t="shared" si="1"/>
        <v>T_167_len_150-199_turn_10-14_count_20</v>
      </c>
      <c r="B168" s="8" t="s">
        <v>230</v>
      </c>
      <c r="C168" s="7" t="s">
        <v>51</v>
      </c>
      <c r="D168" s="8" t="s">
        <v>52</v>
      </c>
      <c r="E168" s="7" t="str">
        <f>IFERROR(__xludf.DUMMYFUNCTION("TEXTJOIN("", "", TRUE, SORTN(column_value!$A$2:$A$105, 3, 0, RANDARRAY(COUNTA(column_value!A:A), 1), 1))"),"건강, 마케팅, 봉사활동")</f>
        <v>건강, 마케팅, 봉사활동</v>
      </c>
      <c r="F168" s="7" t="str">
        <f>IFERROR(__xludf.DUMMYFUNCTION("TEXTJOIN("", "", TRUE, SORTN(column_value!$B$2:$B$105, 3, 0, RANDARRAY(COUNTA(column_value!B:B), 1), 1))"),"무관심하게, 신중하게, 능청스럽게")</f>
        <v>무관심하게, 신중하게, 능청스럽게</v>
      </c>
      <c r="G168" s="7" t="str">
        <f>IFERROR(__xludf.DUMMYFUNCTION("TEXTJOIN("", "", TRUE, SORTN(column_value!$C$2:$C$105, 3, 0, RANDARRAY(COUNTA(column_value!C:C), 1), 1))"),"정치인, 소방관, 사진작가")</f>
        <v>정치인, 소방관, 사진작가</v>
      </c>
      <c r="H168" s="7" t="str">
        <f>IFERROR(__xludf.DUMMYFUNCTION("TEXTJOIN("", "", TRUE, SORTN(column_value!$D$2:$D$105, 3, 0, RANDARRAY(COUNTA(column_value!D:D), 1), 1))"),"음악가, 사진작가, 회계사")</f>
        <v>음악가, 사진작가, 회계사</v>
      </c>
      <c r="I168" s="7">
        <v>20.0</v>
      </c>
      <c r="J168" s="9" t="str">
        <f t="shared" si="2"/>
        <v>[조건]
- 문자 길이: 150-199 구간 내
- 턴 수: 10-14 구간 내
- 주제: 건강, 마케팅, 봉사활동
- 톤: 무관심하게, 신중하게, 능청스럽게
- 화자A: 정치인, 소방관, 사진작가
- 화자B: 음악가, 사진작가, 회계사
- 생성 대화수: 20</v>
      </c>
    </row>
    <row r="169">
      <c r="A169" s="7" t="str">
        <f t="shared" si="1"/>
        <v>T_168_len_150-199_turn_10-14_count_20</v>
      </c>
      <c r="B169" s="8" t="s">
        <v>231</v>
      </c>
      <c r="C169" s="7" t="s">
        <v>51</v>
      </c>
      <c r="D169" s="8" t="s">
        <v>52</v>
      </c>
      <c r="E169" s="7" t="str">
        <f>IFERROR(__xludf.DUMMYFUNCTION("TEXTJOIN("", "", TRUE, SORTN(column_value!$A$2:$A$105, 3, 0, RANDARRAY(COUNTA(column_value!A:A), 1), 1))"),"결혼, 자동차, 역사")</f>
        <v>결혼, 자동차, 역사</v>
      </c>
      <c r="F169" s="7" t="str">
        <f>IFERROR(__xludf.DUMMYFUNCTION("TEXTJOIN("", "", TRUE, SORTN(column_value!$B$2:$B$105, 3, 0, RANDARRAY(COUNTA(column_value!B:B), 1), 1))"),"놀라며, 정중하게, 궁금해하며")</f>
        <v>놀라며, 정중하게, 궁금해하며</v>
      </c>
      <c r="G169" s="7" t="str">
        <f>IFERROR(__xludf.DUMMYFUNCTION("TEXTJOIN("", "", TRUE, SORTN(column_value!$C$2:$C$105, 3, 0, RANDARRAY(COUNTA(column_value!C:C), 1), 1))"),"디자이너, 작가, 자영업자")</f>
        <v>디자이너, 작가, 자영업자</v>
      </c>
      <c r="H169" s="7" t="str">
        <f>IFERROR(__xludf.DUMMYFUNCTION("TEXTJOIN("", "", TRUE, SORTN(column_value!$D$2:$D$105, 3, 0, RANDARRAY(COUNTA(column_value!D:D), 1), 1))"),"주부, 가수, 버스 기사")</f>
        <v>주부, 가수, 버스 기사</v>
      </c>
      <c r="I169" s="7">
        <v>20.0</v>
      </c>
      <c r="J169" s="9" t="str">
        <f t="shared" si="2"/>
        <v>[조건]
- 문자 길이: 150-199 구간 내
- 턴 수: 10-14 구간 내
- 주제: 결혼, 자동차, 역사
- 톤: 놀라며, 정중하게, 궁금해하며
- 화자A: 디자이너, 작가, 자영업자
- 화자B: 주부, 가수, 버스 기사
- 생성 대화수: 20</v>
      </c>
    </row>
    <row r="170">
      <c r="A170" s="7" t="str">
        <f t="shared" si="1"/>
        <v>T_169_len_150-199_turn_10-14_count_6</v>
      </c>
      <c r="B170" s="8" t="s">
        <v>232</v>
      </c>
      <c r="C170" s="7" t="s">
        <v>51</v>
      </c>
      <c r="D170" s="8" t="s">
        <v>52</v>
      </c>
      <c r="E170" s="7" t="str">
        <f>IFERROR(__xludf.DUMMYFUNCTION("TEXTJOIN("", "", TRUE, SORTN(column_value!$A$2:$A$105, 3, 0, RANDARRAY(COUNTA(column_value!A:A), 1), 1))"),"AI, 로봇, 카페")</f>
        <v>AI, 로봇, 카페</v>
      </c>
      <c r="F170" s="7" t="str">
        <f>IFERROR(__xludf.DUMMYFUNCTION("TEXTJOIN("", "", TRUE, SORTN(column_value!$B$2:$B$105, 3, 0, RANDARRAY(COUNTA(column_value!B:B), 1), 1))"),"냉소적으로, 쾌활하게, 까칠하게")</f>
        <v>냉소적으로, 쾌활하게, 까칠하게</v>
      </c>
      <c r="G170" s="7" t="str">
        <f>IFERROR(__xludf.DUMMYFUNCTION("TEXTJOIN("", "", TRUE, SORTN(column_value!$C$2:$C$105, 3, 0, RANDARRAY(COUNTA(column_value!C:C), 1), 1))"),"과학자, 통역사, 개발자")</f>
        <v>과학자, 통역사, 개발자</v>
      </c>
      <c r="H170" s="7" t="str">
        <f>IFERROR(__xludf.DUMMYFUNCTION("TEXTJOIN("", "", TRUE, SORTN(column_value!$D$2:$D$105, 3, 0, RANDARRAY(COUNTA(column_value!D:D), 1), 1))"),"목사, 멘티, 요리사")</f>
        <v>목사, 멘티, 요리사</v>
      </c>
      <c r="I170" s="7">
        <v>6.0</v>
      </c>
      <c r="J170" s="9" t="str">
        <f t="shared" si="2"/>
        <v>[조건]
- 문자 길이: 150-199 구간 내
- 턴 수: 10-14 구간 내
- 주제: AI, 로봇, 카페
- 톤: 냉소적으로, 쾌활하게, 까칠하게
- 화자A: 과학자, 통역사, 개발자
- 화자B: 목사, 멘티, 요리사
- 생성 대화수: 6</v>
      </c>
    </row>
    <row r="171">
      <c r="A171" s="7" t="str">
        <f t="shared" si="1"/>
        <v>T_170_len_200-249_turn_15-19_count_20</v>
      </c>
      <c r="B171" s="8" t="s">
        <v>233</v>
      </c>
      <c r="C171" s="7" t="s">
        <v>58</v>
      </c>
      <c r="D171" s="8" t="s">
        <v>59</v>
      </c>
      <c r="E171" s="7" t="str">
        <f>IFERROR(__xludf.DUMMYFUNCTION("TEXTJOIN("", "", TRUE, SORTN(column_value!$A$2:$A$105, 3, 0, RANDARRAY(COUNTA(column_value!A:A), 1), 1))"),"여행, 교통, 건강")</f>
        <v>여행, 교통, 건강</v>
      </c>
      <c r="F171" s="7" t="str">
        <f>IFERROR(__xludf.DUMMYFUNCTION("TEXTJOIN("", "", TRUE, SORTN(column_value!$B$2:$B$105, 3, 0, RANDARRAY(COUNTA(column_value!B:B), 1), 1))"),"건조하게, 주도적으로, 조롱하며")</f>
        <v>건조하게, 주도적으로, 조롱하며</v>
      </c>
      <c r="G171" s="7" t="str">
        <f>IFERROR(__xludf.DUMMYFUNCTION("TEXTJOIN("", "", TRUE, SORTN(column_value!$C$2:$C$105, 3, 0, RANDARRAY(COUNTA(column_value!C:C), 1), 1))"),"CEO, 이웃, 예술가")</f>
        <v>CEO, 이웃, 예술가</v>
      </c>
      <c r="H171" s="7" t="str">
        <f>IFERROR(__xludf.DUMMYFUNCTION("TEXTJOIN("", "", TRUE, SORTN(column_value!$D$2:$D$105, 3, 0, RANDARRAY(COUNTA(column_value!D:D), 1), 1))"),"동료, 고등학생, 방송인")</f>
        <v>동료, 고등학생, 방송인</v>
      </c>
      <c r="I171" s="7">
        <v>20.0</v>
      </c>
      <c r="J171" s="9" t="str">
        <f t="shared" si="2"/>
        <v>[조건]
- 문자 길이: 200-249 구간 내
- 턴 수: 15-19 구간 내
- 주제: 여행, 교통, 건강
- 톤: 건조하게, 주도적으로, 조롱하며
- 화자A: CEO, 이웃, 예술가
- 화자B: 동료, 고등학생, 방송인
- 생성 대화수: 20</v>
      </c>
    </row>
    <row r="172">
      <c r="A172" s="7" t="str">
        <f t="shared" si="1"/>
        <v>T_171_len_200-249_turn_15-19_count_20</v>
      </c>
      <c r="B172" s="8" t="s">
        <v>234</v>
      </c>
      <c r="C172" s="7" t="s">
        <v>58</v>
      </c>
      <c r="D172" s="8" t="s">
        <v>59</v>
      </c>
      <c r="E172" s="7" t="str">
        <f>IFERROR(__xludf.DUMMYFUNCTION("TEXTJOIN("", "", TRUE, SORTN(column_value!$A$2:$A$105, 3, 0, RANDARRAY(COUNTA(column_value!A:A), 1), 1))"),"역사, 철학, 마케팅")</f>
        <v>역사, 철학, 마케팅</v>
      </c>
      <c r="F172" s="7" t="str">
        <f>IFERROR(__xludf.DUMMYFUNCTION("TEXTJOIN("", "", TRUE, SORTN(column_value!$B$2:$B$105, 3, 0, RANDARRAY(COUNTA(column_value!B:B), 1), 1))"),"능청스럽게, 놀라며, 주도적으로")</f>
        <v>능청스럽게, 놀라며, 주도적으로</v>
      </c>
      <c r="G172" s="7" t="str">
        <f>IFERROR(__xludf.DUMMYFUNCTION("TEXTJOIN("", "", TRUE, SORTN(column_value!$C$2:$C$105, 3, 0, RANDARRAY(COUNTA(column_value!C:C), 1), 1))"),"약사, 건축가, 유튜버")</f>
        <v>약사, 건축가, 유튜버</v>
      </c>
      <c r="H172" s="7" t="str">
        <f>IFERROR(__xludf.DUMMYFUNCTION("TEXTJOIN("", "", TRUE, SORTN(column_value!$D$2:$D$105, 3, 0, RANDARRAY(COUNTA(column_value!D:D), 1), 1))"),"주니어, 디자이너, 미용사")</f>
        <v>주니어, 디자이너, 미용사</v>
      </c>
      <c r="I172" s="7">
        <v>20.0</v>
      </c>
      <c r="J172" s="9" t="str">
        <f t="shared" si="2"/>
        <v>[조건]
- 문자 길이: 200-249 구간 내
- 턴 수: 15-19 구간 내
- 주제: 역사, 철학, 마케팅
- 톤: 능청스럽게, 놀라며, 주도적으로
- 화자A: 약사, 건축가, 유튜버
- 화자B: 주니어, 디자이너, 미용사
- 생성 대화수: 20</v>
      </c>
    </row>
    <row r="173">
      <c r="A173" s="7" t="str">
        <f t="shared" si="1"/>
        <v>T_172_len_200-249_turn_15-19_count_20</v>
      </c>
      <c r="B173" s="8" t="s">
        <v>235</v>
      </c>
      <c r="C173" s="7" t="s">
        <v>58</v>
      </c>
      <c r="D173" s="8" t="s">
        <v>59</v>
      </c>
      <c r="E173" s="7" t="str">
        <f>IFERROR(__xludf.DUMMYFUNCTION("TEXTJOIN("", "", TRUE, SORTN(column_value!$A$2:$A$105, 3, 0, RANDARRAY(COUNTA(column_value!A:A), 1), 1))"),"물리학, 군사, 자동차")</f>
        <v>물리학, 군사, 자동차</v>
      </c>
      <c r="F173" s="7" t="str">
        <f>IFERROR(__xludf.DUMMYFUNCTION("TEXTJOIN("", "", TRUE, SORTN(column_value!$B$2:$B$105, 3, 0, RANDARRAY(COUNTA(column_value!B:B), 1), 1))"),"꼼꼼하게, 슬프게, 혁신적으로")</f>
        <v>꼼꼼하게, 슬프게, 혁신적으로</v>
      </c>
      <c r="G173" s="7" t="str">
        <f>IFERROR(__xludf.DUMMYFUNCTION("TEXTJOIN("", "", TRUE, SORTN(column_value!$C$2:$C$105, 3, 0, RANDARRAY(COUNTA(column_value!C:C), 1), 1))"),"동료, 의사, 필라테스 강사")</f>
        <v>동료, 의사, 필라테스 강사</v>
      </c>
      <c r="H173" s="7" t="str">
        <f>IFERROR(__xludf.DUMMYFUNCTION("TEXTJOIN("", "", TRUE, SORTN(column_value!$D$2:$D$105, 3, 0, RANDARRAY(COUNTA(column_value!D:D), 1), 1))"),"승무원, 목수, 자영업자")</f>
        <v>승무원, 목수, 자영업자</v>
      </c>
      <c r="I173" s="7">
        <v>20.0</v>
      </c>
      <c r="J173" s="9" t="str">
        <f t="shared" si="2"/>
        <v>[조건]
- 문자 길이: 200-249 구간 내
- 턴 수: 15-19 구간 내
- 주제: 물리학, 군사, 자동차
- 톤: 꼼꼼하게, 슬프게, 혁신적으로
- 화자A: 동료, 의사, 필라테스 강사
- 화자B: 승무원, 목수, 자영업자
- 생성 대화수: 20</v>
      </c>
    </row>
    <row r="174">
      <c r="A174" s="7" t="str">
        <f t="shared" si="1"/>
        <v>T_173_len_200-249_turn_15-19_count_9</v>
      </c>
      <c r="B174" s="8" t="s">
        <v>236</v>
      </c>
      <c r="C174" s="7" t="s">
        <v>58</v>
      </c>
      <c r="D174" s="8" t="s">
        <v>59</v>
      </c>
      <c r="E174" s="7" t="str">
        <f>IFERROR(__xludf.DUMMYFUNCTION("TEXTJOIN("", "", TRUE, SORTN(column_value!$A$2:$A$105, 3, 0, RANDARRAY(COUNTA(column_value!A:A), 1), 1))"),"빅데이터, 건축, 낚시")</f>
        <v>빅데이터, 건축, 낚시</v>
      </c>
      <c r="F174" s="7" t="str">
        <f>IFERROR(__xludf.DUMMYFUNCTION("TEXTJOIN("", "", TRUE, SORTN(column_value!$B$2:$B$105, 3, 0, RANDARRAY(COUNTA(column_value!B:B), 1), 1))"),"소심하게, 화나게, 박장대소하며")</f>
        <v>소심하게, 화나게, 박장대소하며</v>
      </c>
      <c r="G174" s="7" t="str">
        <f>IFERROR(__xludf.DUMMYFUNCTION("TEXTJOIN("", "", TRUE, SORTN(column_value!$C$2:$C$105, 3, 0, RANDARRAY(COUNTA(column_value!C:C), 1), 1))"),"애니메이터, 택시 기사, 소믈리에")</f>
        <v>애니메이터, 택시 기사, 소믈리에</v>
      </c>
      <c r="H174" s="7" t="str">
        <f>IFERROR(__xludf.DUMMYFUNCTION("TEXTJOIN("", "", TRUE, SORTN(column_value!$D$2:$D$105, 3, 0, RANDARRAY(COUNTA(column_value!D:D), 1), 1))"),"배우, 변호사, 마케터")</f>
        <v>배우, 변호사, 마케터</v>
      </c>
      <c r="I174" s="7">
        <v>9.0</v>
      </c>
      <c r="J174" s="9" t="str">
        <f t="shared" si="2"/>
        <v>[조건]
- 문자 길이: 200-249 구간 내
- 턴 수: 15-19 구간 내
- 주제: 빅데이터, 건축, 낚시
- 톤: 소심하게, 화나게, 박장대소하며
- 화자A: 애니메이터, 택시 기사, 소믈리에
- 화자B: 배우, 변호사, 마케터
- 생성 대화수: 9</v>
      </c>
    </row>
    <row r="175">
      <c r="A175" s="7" t="str">
        <f t="shared" si="1"/>
        <v>T_174_len_250-299_turn_20-24_count_20</v>
      </c>
      <c r="B175" s="8" t="s">
        <v>237</v>
      </c>
      <c r="C175" s="7" t="s">
        <v>64</v>
      </c>
      <c r="D175" s="8" t="s">
        <v>65</v>
      </c>
      <c r="E175" s="7" t="str">
        <f>IFERROR(__xludf.DUMMYFUNCTION("TEXTJOIN("", "", TRUE, SORTN(column_value!$A$2:$A$105, 3, 0, RANDARRAY(COUNTA(column_value!A:A), 1), 1))"),"제약, 카페, 자동차")</f>
        <v>제약, 카페, 자동차</v>
      </c>
      <c r="F175" s="7" t="str">
        <f>IFERROR(__xludf.DUMMYFUNCTION("TEXTJOIN("", "", TRUE, SORTN(column_value!$B$2:$B$105, 3, 0, RANDARRAY(COUNTA(column_value!B:B), 1), 1))"),"덤덤하게, 시크하게, 묵묵하게")</f>
        <v>덤덤하게, 시크하게, 묵묵하게</v>
      </c>
      <c r="G175" s="7" t="str">
        <f>IFERROR(__xludf.DUMMYFUNCTION("TEXTJOIN("", "", TRUE, SORTN(column_value!$C$2:$C$105, 3, 0, RANDARRAY(COUNTA(column_value!C:C), 1), 1))"),"농부, 사진작가, 신부")</f>
        <v>농부, 사진작가, 신부</v>
      </c>
      <c r="H175" s="7" t="str">
        <f>IFERROR(__xludf.DUMMYFUNCTION("TEXTJOIN("", "", TRUE, SORTN(column_value!$D$2:$D$105, 3, 0, RANDARRAY(COUNTA(column_value!D:D), 1), 1))"),"탐정, 수의사, 요리사")</f>
        <v>탐정, 수의사, 요리사</v>
      </c>
      <c r="I175" s="7">
        <v>20.0</v>
      </c>
      <c r="J175" s="9" t="str">
        <f t="shared" si="2"/>
        <v>[조건]
- 문자 길이: 250-299 구간 내
- 턴 수: 20-24 구간 내
- 주제: 제약, 카페, 자동차
- 톤: 덤덤하게, 시크하게, 묵묵하게
- 화자A: 농부, 사진작가, 신부
- 화자B: 탐정, 수의사, 요리사
- 생성 대화수: 20</v>
      </c>
    </row>
    <row r="176">
      <c r="A176" s="7" t="str">
        <f t="shared" si="1"/>
        <v>T_175_len_250-299_turn_20-24_count_18</v>
      </c>
      <c r="B176" s="8" t="s">
        <v>238</v>
      </c>
      <c r="C176" s="7" t="s">
        <v>64</v>
      </c>
      <c r="D176" s="8" t="s">
        <v>65</v>
      </c>
      <c r="E176" s="7" t="str">
        <f>IFERROR(__xludf.DUMMYFUNCTION("TEXTJOIN("", "", TRUE, SORTN(column_value!$A$2:$A$105, 3, 0, RANDARRAY(COUNTA(column_value!A:A), 1), 1))"),"결혼, 음악, 연예")</f>
        <v>결혼, 음악, 연예</v>
      </c>
      <c r="F176" s="7" t="str">
        <f>IFERROR(__xludf.DUMMYFUNCTION("TEXTJOIN("", "", TRUE, SORTN(column_value!$B$2:$B$105, 3, 0, RANDARRAY(COUNTA(column_value!B:B), 1), 1))"),"무관심하게, 불안하게, 낙관적으로")</f>
        <v>무관심하게, 불안하게, 낙관적으로</v>
      </c>
      <c r="G176" s="7" t="str">
        <f>IFERROR(__xludf.DUMMYFUNCTION("TEXTJOIN("", "", TRUE, SORTN(column_value!$C$2:$C$105, 3, 0, RANDARRAY(COUNTA(column_value!C:C), 1), 1))"),"교수, 공무원, 트럭 기사")</f>
        <v>교수, 공무원, 트럭 기사</v>
      </c>
      <c r="H176" s="7" t="str">
        <f>IFERROR(__xludf.DUMMYFUNCTION("TEXTJOIN("", "", TRUE, SORTN(column_value!$D$2:$D$105, 3, 0, RANDARRAY(COUNTA(column_value!D:D), 1), 1))"),"유튜버, 시니어, 여행가")</f>
        <v>유튜버, 시니어, 여행가</v>
      </c>
      <c r="I176" s="7">
        <v>18.0</v>
      </c>
      <c r="J176" s="9" t="str">
        <f t="shared" si="2"/>
        <v>[조건]
- 문자 길이: 250-299 구간 내
- 턴 수: 20-24 구간 내
- 주제: 결혼, 음악, 연예
- 톤: 무관심하게, 불안하게, 낙관적으로
- 화자A: 교수, 공무원, 트럭 기사
- 화자B: 유튜버, 시니어, 여행가
- 생성 대화수: 18</v>
      </c>
    </row>
    <row r="177">
      <c r="A177" s="7" t="str">
        <f t="shared" si="1"/>
        <v>T_176_len_300-349_turn_25-29_count_20</v>
      </c>
      <c r="B177" s="8" t="s">
        <v>239</v>
      </c>
      <c r="C177" s="7" t="s">
        <v>68</v>
      </c>
      <c r="D177" s="8" t="s">
        <v>69</v>
      </c>
      <c r="E177" s="7" t="str">
        <f>IFERROR(__xludf.DUMMYFUNCTION("TEXTJOIN("", "", TRUE, SORTN(column_value!$A$2:$A$105, 3, 0, RANDARRAY(COUNTA(column_value!A:A), 1), 1))"),"건축, 군사, 캠핑")</f>
        <v>건축, 군사, 캠핑</v>
      </c>
      <c r="F177" s="7" t="str">
        <f>IFERROR(__xludf.DUMMYFUNCTION("TEXTJOIN("", "", TRUE, SORTN(column_value!$B$2:$B$105, 3, 0, RANDARRAY(COUNTA(column_value!B:B), 1), 1))"),"편협하게, 조롱하며, 화나게")</f>
        <v>편협하게, 조롱하며, 화나게</v>
      </c>
      <c r="G177" s="7" t="str">
        <f>IFERROR(__xludf.DUMMYFUNCTION("TEXTJOIN("", "", TRUE, SORTN(column_value!$C$2:$C$105, 3, 0, RANDARRAY(COUNTA(column_value!C:C), 1), 1))"),"건축가, 세입자, 네일 아티스트")</f>
        <v>건축가, 세입자, 네일 아티스트</v>
      </c>
      <c r="H177" s="7" t="str">
        <f>IFERROR(__xludf.DUMMYFUNCTION("TEXTJOIN("", "", TRUE, SORTN(column_value!$D$2:$D$105, 3, 0, RANDARRAY(COUNTA(column_value!D:D), 1), 1))"),"사육사, 스님, 사진작가")</f>
        <v>사육사, 스님, 사진작가</v>
      </c>
      <c r="I177" s="7">
        <v>20.0</v>
      </c>
      <c r="J177" s="9" t="str">
        <f t="shared" si="2"/>
        <v>[조건]
- 문자 길이: 300-349 구간 내
- 턴 수: 25-29 구간 내
- 주제: 건축, 군사, 캠핑
- 톤: 편협하게, 조롱하며, 화나게
- 화자A: 건축가, 세입자, 네일 아티스트
- 화자B: 사육사, 스님, 사진작가
- 생성 대화수: 20</v>
      </c>
    </row>
    <row r="178">
      <c r="A178" s="7" t="str">
        <f t="shared" si="1"/>
        <v>T_177_len_350-399_turn_30-34_count_13</v>
      </c>
      <c r="B178" s="8" t="s">
        <v>240</v>
      </c>
      <c r="C178" s="7" t="s">
        <v>71</v>
      </c>
      <c r="D178" s="8" t="s">
        <v>72</v>
      </c>
      <c r="E178" s="7" t="str">
        <f>IFERROR(__xludf.DUMMYFUNCTION("TEXTJOIN("", "", TRUE, SORTN(column_value!$A$2:$A$105, 3, 0, RANDARRAY(COUNTA(column_value!A:A), 1), 1))"),"영업, 게임, 키보드")</f>
        <v>영업, 게임, 키보드</v>
      </c>
      <c r="F178" s="7" t="str">
        <f>IFERROR(__xludf.DUMMYFUNCTION("TEXTJOIN("", "", TRUE, SORTN(column_value!$B$2:$B$105, 3, 0, RANDARRAY(COUNTA(column_value!B:B), 1), 1))"),"조롱하며, 존경심을 담아, 솔직하게")</f>
        <v>조롱하며, 존경심을 담아, 솔직하게</v>
      </c>
      <c r="G178" s="7" t="str">
        <f>IFERROR(__xludf.DUMMYFUNCTION("TEXTJOIN("", "", TRUE, SORTN(column_value!$C$2:$C$105, 3, 0, RANDARRAY(COUNTA(column_value!C:C), 1), 1))"),"개발자, 교사, 성우")</f>
        <v>개발자, 교사, 성우</v>
      </c>
      <c r="H178" s="7" t="str">
        <f>IFERROR(__xludf.DUMMYFUNCTION("TEXTJOIN("", "", TRUE, SORTN(column_value!$D$2:$D$105, 3, 0, RANDARRAY(COUNTA(column_value!D:D), 1), 1))"),"조종사, 응급구조사, 목수")</f>
        <v>조종사, 응급구조사, 목수</v>
      </c>
      <c r="I178" s="7">
        <v>13.0</v>
      </c>
      <c r="J178" s="9" t="str">
        <f t="shared" si="2"/>
        <v>[조건]
- 문자 길이: 350-399 구간 내
- 턴 수: 30-34 구간 내
- 주제: 영업, 게임, 키보드
- 톤: 조롱하며, 존경심을 담아, 솔직하게
- 화자A: 개발자, 교사, 성우
- 화자B: 조종사, 응급구조사, 목수
- 생성 대화수: 13</v>
      </c>
    </row>
    <row r="179">
      <c r="A179" s="7" t="str">
        <f t="shared" si="1"/>
        <v>T_178_len_400-449_turn_35-39_count_7</v>
      </c>
      <c r="B179" s="8" t="s">
        <v>241</v>
      </c>
      <c r="C179" s="7" t="s">
        <v>74</v>
      </c>
      <c r="D179" s="8" t="s">
        <v>75</v>
      </c>
      <c r="E179" s="7" t="str">
        <f>IFERROR(__xludf.DUMMYFUNCTION("TEXTJOIN("", "", TRUE, SORTN(column_value!$A$2:$A$105, 3, 0, RANDARRAY(COUNTA(column_value!A:A), 1), 1))"),"철학, 언어, 개발")</f>
        <v>철학, 언어, 개발</v>
      </c>
      <c r="F179" s="7" t="str">
        <f>IFERROR(__xludf.DUMMYFUNCTION("TEXTJOIN("", "", TRUE, SORTN(column_value!$B$2:$B$105, 3, 0, RANDARRAY(COUNTA(column_value!B:B), 1), 1))"),"단호하게, 방어적으로, 엄격하게")</f>
        <v>단호하게, 방어적으로, 엄격하게</v>
      </c>
      <c r="G179" s="7" t="str">
        <f>IFERROR(__xludf.DUMMYFUNCTION("TEXTJOIN("", "", TRUE, SORTN(column_value!$C$2:$C$105, 3, 0, RANDARRAY(COUNTA(column_value!C:C), 1), 1))"),"멘토, 조종사, 부모")</f>
        <v>멘토, 조종사, 부모</v>
      </c>
      <c r="H179" s="7" t="str">
        <f>IFERROR(__xludf.DUMMYFUNCTION("TEXTJOIN("", "", TRUE, SORTN(column_value!$D$2:$D$105, 3, 0, RANDARRAY(COUNTA(column_value!D:D), 1), 1))"),"연구원, 필라테스 강사, 주니어")</f>
        <v>연구원, 필라테스 강사, 주니어</v>
      </c>
      <c r="I179" s="7">
        <v>7.0</v>
      </c>
      <c r="J179" s="9" t="str">
        <f t="shared" si="2"/>
        <v>[조건]
- 문자 길이: 400-449 구간 내
- 턴 수: 35-39 구간 내
- 주제: 철학, 언어, 개발
- 톤: 단호하게, 방어적으로, 엄격하게
- 화자A: 멘토, 조종사, 부모
- 화자B: 연구원, 필라테스 강사, 주니어
- 생성 대화수: 7</v>
      </c>
    </row>
    <row r="180">
      <c r="A180" s="7" t="str">
        <f t="shared" si="1"/>
        <v>T_179_len_450-499_turn_40-44_count_5</v>
      </c>
      <c r="B180" s="8" t="s">
        <v>242</v>
      </c>
      <c r="C180" s="7" t="s">
        <v>77</v>
      </c>
      <c r="D180" s="8" t="s">
        <v>78</v>
      </c>
      <c r="E180" s="7" t="str">
        <f>IFERROR(__xludf.DUMMYFUNCTION("TEXTJOIN("", "", TRUE, SORTN(column_value!$A$2:$A$105, 3, 0, RANDARRAY(COUNTA(column_value!A:A), 1), 1))"),"유통, 세무, 봉사활동")</f>
        <v>유통, 세무, 봉사활동</v>
      </c>
      <c r="F180" s="7" t="str">
        <f>IFERROR(__xludf.DUMMYFUNCTION("TEXTJOIN("", "", TRUE, SORTN(column_value!$B$2:$B$105, 3, 0, RANDARRAY(COUNTA(column_value!B:B), 1), 1))"),"관대하게, 수동적으로, 공손하게")</f>
        <v>관대하게, 수동적으로, 공손하게</v>
      </c>
      <c r="G180" s="7" t="str">
        <f>IFERROR(__xludf.DUMMYFUNCTION("TEXTJOIN("", "", TRUE, SORTN(column_value!$C$2:$C$105, 3, 0, RANDARRAY(COUNTA(column_value!C:C), 1), 1))"),"성우, 군인, 신부")</f>
        <v>성우, 군인, 신부</v>
      </c>
      <c r="H180" s="7" t="str">
        <f>IFERROR(__xludf.DUMMYFUNCTION("TEXTJOIN("", "", TRUE, SORTN(column_value!$D$2:$D$105, 3, 0, RANDARRAY(COUNTA(column_value!D:D), 1), 1))"),"프리랜서, 유튜버, 신부")</f>
        <v>프리랜서, 유튜버, 신부</v>
      </c>
      <c r="I180" s="7">
        <v>5.0</v>
      </c>
      <c r="J180" s="9" t="str">
        <f t="shared" si="2"/>
        <v>[조건]
- 문자 길이: 450-499 구간 내
- 턴 수: 40-44 구간 내
- 주제: 유통, 세무, 봉사활동
- 톤: 관대하게, 수동적으로, 공손하게
- 화자A: 성우, 군인, 신부
- 화자B: 프리랜서, 유튜버, 신부
- 생성 대화수: 5</v>
      </c>
    </row>
    <row r="181">
      <c r="A181" s="7" t="str">
        <f t="shared" si="1"/>
        <v>T_180_len_500-549_turn_45-49_count_12</v>
      </c>
      <c r="B181" s="8" t="s">
        <v>243</v>
      </c>
      <c r="C181" s="7" t="s">
        <v>80</v>
      </c>
      <c r="D181" s="8" t="s">
        <v>81</v>
      </c>
      <c r="E181" s="7" t="str">
        <f>IFERROR(__xludf.DUMMYFUNCTION("TEXTJOIN("", "", TRUE, SORTN(column_value!$A$2:$A$105, 3, 0, RANDARRAY(COUNTA(column_value!A:A), 1), 1))"),"우주, 미술, 화학")</f>
        <v>우주, 미술, 화학</v>
      </c>
      <c r="F181" s="7" t="str">
        <f>IFERROR(__xludf.DUMMYFUNCTION("TEXTJOIN("", "", TRUE, SORTN(column_value!$B$2:$B$105, 3, 0, RANDARRAY(COUNTA(column_value!B:B), 1), 1))"),"비판적으로, 엄격하게, 초조하게")</f>
        <v>비판적으로, 엄격하게, 초조하게</v>
      </c>
      <c r="G181" s="7" t="str">
        <f>IFERROR(__xludf.DUMMYFUNCTION("TEXTJOIN("", "", TRUE, SORTN(column_value!$C$2:$C$105, 3, 0, RANDARRAY(COUNTA(column_value!C:C), 1), 1))"),"심리치료사, 부모, 경찰관")</f>
        <v>심리치료사, 부모, 경찰관</v>
      </c>
      <c r="H181" s="7" t="str">
        <f>IFERROR(__xludf.DUMMYFUNCTION("TEXTJOIN("", "", TRUE, SORTN(column_value!$D$2:$D$105, 3, 0, RANDARRAY(COUNTA(column_value!D:D), 1), 1))"),"승무원, 농부, 신입사원")</f>
        <v>승무원, 농부, 신입사원</v>
      </c>
      <c r="I181" s="7">
        <v>12.0</v>
      </c>
      <c r="J181" s="9" t="str">
        <f t="shared" si="2"/>
        <v>[조건]
- 문자 길이: 500-549 구간 내
- 턴 수: 45-49 구간 내
- 주제: 우주, 미술, 화학
- 톤: 비판적으로, 엄격하게, 초조하게
- 화자A: 심리치료사, 부모, 경찰관
- 화자B: 승무원, 농부, 신입사원
- 생성 대화수: 12</v>
      </c>
    </row>
    <row r="182">
      <c r="A182" s="7" t="str">
        <f t="shared" si="1"/>
        <v>T_181_len_50-99_turn_0-4_count_5</v>
      </c>
      <c r="B182" s="8" t="s">
        <v>244</v>
      </c>
      <c r="C182" s="7" t="s">
        <v>43</v>
      </c>
      <c r="D182" s="8" t="s">
        <v>44</v>
      </c>
      <c r="E182" s="7" t="str">
        <f>IFERROR(__xludf.DUMMYFUNCTION("TEXTJOIN("", "", TRUE, SORTN(column_value!$A$2:$A$105, 3, 0, RANDARRAY(COUNTA(column_value!A:A), 1), 1))"),"요가, 클라우드, 세무")</f>
        <v>요가, 클라우드, 세무</v>
      </c>
      <c r="F182" s="7" t="str">
        <f>IFERROR(__xludf.DUMMYFUNCTION("TEXTJOIN("", "", TRUE, SORTN(column_value!$B$2:$B$105, 3, 0, RANDARRAY(COUNTA(column_value!B:B), 1), 1))"),"공손하게, 애교있게, 귀여워하며")</f>
        <v>공손하게, 애교있게, 귀여워하며</v>
      </c>
      <c r="G182" s="7" t="str">
        <f>IFERROR(__xludf.DUMMYFUNCTION("TEXTJOIN("", "", TRUE, SORTN(column_value!$C$2:$C$105, 3, 0, RANDARRAY(COUNTA(column_value!C:C), 1), 1))"),"알바생, 택시 기사, 필라테스 강사")</f>
        <v>알바생, 택시 기사, 필라테스 강사</v>
      </c>
      <c r="H182" s="7" t="str">
        <f>IFERROR(__xludf.DUMMYFUNCTION("TEXTJOIN("", "", TRUE, SORTN(column_value!$D$2:$D$105, 3, 0, RANDARRAY(COUNTA(column_value!D:D), 1), 1))"),"미용사, 연구원, 교사")</f>
        <v>미용사, 연구원, 교사</v>
      </c>
      <c r="I182" s="7">
        <v>5.0</v>
      </c>
      <c r="J182" s="9" t="str">
        <f t="shared" si="2"/>
        <v>[조건]
- 문자 길이: 50-99 구간 내
- 턴 수: 0-4 구간 내
- 주제: 요가, 클라우드, 세무
- 톤: 공손하게, 애교있게, 귀여워하며
- 화자A: 알바생, 택시 기사, 필라테스 강사
- 화자B: 미용사, 연구원, 교사
- 생성 대화수: 5</v>
      </c>
    </row>
    <row r="183">
      <c r="A183" s="7" t="str">
        <f t="shared" si="1"/>
        <v>T_182_len_100-149_turn_5-9_count_20</v>
      </c>
      <c r="B183" s="8" t="s">
        <v>245</v>
      </c>
      <c r="C183" s="7" t="s">
        <v>46</v>
      </c>
      <c r="D183" s="8" t="s">
        <v>47</v>
      </c>
      <c r="E183" s="7" t="str">
        <f>IFERROR(__xludf.DUMMYFUNCTION("TEXTJOIN("", "", TRUE, SORTN(column_value!$A$2:$A$105, 3, 0, RANDARRAY(COUNTA(column_value!A:A), 1), 1))"),"세무, 게임, 결혼")</f>
        <v>세무, 게임, 결혼</v>
      </c>
      <c r="F183" s="7" t="str">
        <f>IFERROR(__xludf.DUMMYFUNCTION("TEXTJOIN("", "", TRUE, SORTN(column_value!$B$2:$B$105, 3, 0, RANDARRAY(COUNTA(column_value!B:B), 1), 1))"),"경쟁적으로, 오만하게, 애정을 담아")</f>
        <v>경쟁적으로, 오만하게, 애정을 담아</v>
      </c>
      <c r="G183" s="7" t="str">
        <f>IFERROR(__xludf.DUMMYFUNCTION("TEXTJOIN("", "", TRUE, SORTN(column_value!$C$2:$C$105, 3, 0, RANDARRAY(COUNTA(column_value!C:C), 1), 1))"),"후배, 공무원, 소믈리에")</f>
        <v>후배, 공무원, 소믈리에</v>
      </c>
      <c r="H183" s="7" t="str">
        <f>IFERROR(__xludf.DUMMYFUNCTION("TEXTJOIN("", "", TRUE, SORTN(column_value!$D$2:$D$105, 3, 0, RANDARRAY(COUNTA(column_value!D:D), 1), 1))"),"교사, 고객, 소믈리에")</f>
        <v>교사, 고객, 소믈리에</v>
      </c>
      <c r="I183" s="7">
        <v>20.0</v>
      </c>
      <c r="J183" s="9" t="str">
        <f t="shared" si="2"/>
        <v>[조건]
- 문자 길이: 100-149 구간 내
- 턴 수: 5-9 구간 내
- 주제: 세무, 게임, 결혼
- 톤: 경쟁적으로, 오만하게, 애정을 담아
- 화자A: 후배, 공무원, 소믈리에
- 화자B: 교사, 고객, 소믈리에
- 생성 대화수: 20</v>
      </c>
    </row>
    <row r="184">
      <c r="A184" s="7" t="str">
        <f t="shared" si="1"/>
        <v>T_183_len_100-149_turn_5-9_count_20</v>
      </c>
      <c r="B184" s="8" t="s">
        <v>246</v>
      </c>
      <c r="C184" s="7" t="s">
        <v>46</v>
      </c>
      <c r="D184" s="8" t="s">
        <v>47</v>
      </c>
      <c r="E184" s="7" t="str">
        <f>IFERROR(__xludf.DUMMYFUNCTION("TEXTJOIN("", "", TRUE, SORTN(column_value!$A$2:$A$105, 3, 0, RANDARRAY(COUNTA(column_value!A:A), 1), 1))"),"정치, 과학, 뉴스")</f>
        <v>정치, 과학, 뉴스</v>
      </c>
      <c r="F184" s="7" t="str">
        <f>IFERROR(__xludf.DUMMYFUNCTION("TEXTJOIN("", "", TRUE, SORTN(column_value!$B$2:$B$105, 3, 0, RANDARRAY(COUNTA(column_value!B:B), 1), 1))"),"슬프게, 간절하게, 귀여워하며")</f>
        <v>슬프게, 간절하게, 귀여워하며</v>
      </c>
      <c r="G184" s="7" t="str">
        <f>IFERROR(__xludf.DUMMYFUNCTION("TEXTJOIN("", "", TRUE, SORTN(column_value!$C$2:$C$105, 3, 0, RANDARRAY(COUNTA(column_value!C:C), 1), 1))"),"목사, 스님, 부모")</f>
        <v>목사, 스님, 부모</v>
      </c>
      <c r="H184" s="7" t="str">
        <f>IFERROR(__xludf.DUMMYFUNCTION("TEXTJOIN("", "", TRUE, SORTN(column_value!$D$2:$D$105, 3, 0, RANDARRAY(COUNTA(column_value!D:D), 1), 1))"),"엔지니어, 상담사, 사업가")</f>
        <v>엔지니어, 상담사, 사업가</v>
      </c>
      <c r="I184" s="7">
        <v>20.0</v>
      </c>
      <c r="J184" s="9" t="str">
        <f t="shared" si="2"/>
        <v>[조건]
- 문자 길이: 100-149 구간 내
- 턴 수: 5-9 구간 내
- 주제: 정치, 과학, 뉴스
- 톤: 슬프게, 간절하게, 귀여워하며
- 화자A: 목사, 스님, 부모
- 화자B: 엔지니어, 상담사, 사업가
- 생성 대화수: 20</v>
      </c>
    </row>
    <row r="185">
      <c r="A185" s="7" t="str">
        <f t="shared" si="1"/>
        <v>T_184_len_100-149_turn_5-9_count_5</v>
      </c>
      <c r="B185" s="8" t="s">
        <v>247</v>
      </c>
      <c r="C185" s="7" t="s">
        <v>46</v>
      </c>
      <c r="D185" s="8" t="s">
        <v>47</v>
      </c>
      <c r="E185" s="7" t="str">
        <f>IFERROR(__xludf.DUMMYFUNCTION("TEXTJOIN("", "", TRUE, SORTN(column_value!$A$2:$A$105, 3, 0, RANDARRAY(COUNTA(column_value!A:A), 1), 1))"),"e스포츠, 레시피, 항공")</f>
        <v>e스포츠, 레시피, 항공</v>
      </c>
      <c r="F185" s="7" t="str">
        <f>IFERROR(__xludf.DUMMYFUNCTION("TEXTJOIN("", "", TRUE, SORTN(column_value!$B$2:$B$105, 3, 0, RANDARRAY(COUNTA(column_value!B:B), 1), 1))"),"순수하게, 오만하게, 협조적으로")</f>
        <v>순수하게, 오만하게, 협조적으로</v>
      </c>
      <c r="G185" s="7" t="str">
        <f>IFERROR(__xludf.DUMMYFUNCTION("TEXTJOIN("", "", TRUE, SORTN(column_value!$C$2:$C$105, 3, 0, RANDARRAY(COUNTA(column_value!C:C), 1), 1))"),"은행원, 군대 동기, 배우")</f>
        <v>은행원, 군대 동기, 배우</v>
      </c>
      <c r="H185" s="7" t="str">
        <f>IFERROR(__xludf.DUMMYFUNCTION("TEXTJOIN("", "", TRUE, SORTN(column_value!$D$2:$D$105, 3, 0, RANDARRAY(COUNTA(column_value!D:D), 1), 1))"),"마케터, 간호사, 주니어")</f>
        <v>마케터, 간호사, 주니어</v>
      </c>
      <c r="I185" s="7">
        <v>5.0</v>
      </c>
      <c r="J185" s="9" t="str">
        <f t="shared" si="2"/>
        <v>[조건]
- 문자 길이: 100-149 구간 내
- 턴 수: 5-9 구간 내
- 주제: e스포츠, 레시피, 항공
- 톤: 순수하게, 오만하게, 협조적으로
- 화자A: 은행원, 군대 동기, 배우
- 화자B: 마케터, 간호사, 주니어
- 생성 대화수: 5</v>
      </c>
    </row>
    <row r="186">
      <c r="A186" s="7" t="str">
        <f t="shared" si="1"/>
        <v>T_185_len_150-199_turn_10-14_count_20</v>
      </c>
      <c r="B186" s="8" t="s">
        <v>248</v>
      </c>
      <c r="C186" s="7" t="s">
        <v>51</v>
      </c>
      <c r="D186" s="8" t="s">
        <v>52</v>
      </c>
      <c r="E186" s="7" t="str">
        <f>IFERROR(__xludf.DUMMYFUNCTION("TEXTJOIN("", "", TRUE, SORTN(column_value!$A$2:$A$105, 3, 0, RANDARRAY(COUNTA(column_value!A:A), 1), 1))"),"캠핑, 부동산, 인사")</f>
        <v>캠핑, 부동산, 인사</v>
      </c>
      <c r="F186" s="7" t="str">
        <f>IFERROR(__xludf.DUMMYFUNCTION("TEXTJOIN("", "", TRUE, SORTN(column_value!$B$2:$B$105, 3, 0, RANDARRAY(COUNTA(column_value!B:B), 1), 1))"),"따뜻하게, 활발하게, 진지하게")</f>
        <v>따뜻하게, 활발하게, 진지하게</v>
      </c>
      <c r="G186" s="7" t="str">
        <f>IFERROR(__xludf.DUMMYFUNCTION("TEXTJOIN("", "", TRUE, SORTN(column_value!$C$2:$C$105, 3, 0, RANDARRAY(COUNTA(column_value!C:C), 1), 1))"),"대학생, 고객, 연구원")</f>
        <v>대학생, 고객, 연구원</v>
      </c>
      <c r="H186" s="7" t="str">
        <f>IFERROR(__xludf.DUMMYFUNCTION("TEXTJOIN("", "", TRUE, SORTN(column_value!$D$2:$D$105, 3, 0, RANDARRAY(COUNTA(column_value!D:D), 1), 1))"),"승무원, 신입사원, 가수")</f>
        <v>승무원, 신입사원, 가수</v>
      </c>
      <c r="I186" s="7">
        <v>20.0</v>
      </c>
      <c r="J186" s="9" t="str">
        <f t="shared" si="2"/>
        <v>[조건]
- 문자 길이: 150-199 구간 내
- 턴 수: 10-14 구간 내
- 주제: 캠핑, 부동산, 인사
- 톤: 따뜻하게, 활발하게, 진지하게
- 화자A: 대학생, 고객, 연구원
- 화자B: 승무원, 신입사원, 가수
- 생성 대화수: 20</v>
      </c>
    </row>
    <row r="187">
      <c r="A187" s="7" t="str">
        <f t="shared" si="1"/>
        <v>T_186_len_150-199_turn_10-14_count_20</v>
      </c>
      <c r="B187" s="8" t="s">
        <v>249</v>
      </c>
      <c r="C187" s="7" t="s">
        <v>51</v>
      </c>
      <c r="D187" s="8" t="s">
        <v>52</v>
      </c>
      <c r="E187" s="7" t="str">
        <f>IFERROR(__xludf.DUMMYFUNCTION("TEXTJOIN("", "", TRUE, SORTN(column_value!$A$2:$A$105, 3, 0, RANDARRAY(COUNTA(column_value!A:A), 1), 1))"),"세무, 의료, 인사")</f>
        <v>세무, 의료, 인사</v>
      </c>
      <c r="F187" s="7" t="str">
        <f>IFERROR(__xludf.DUMMYFUNCTION("TEXTJOIN("", "", TRUE, SORTN(column_value!$B$2:$B$105, 3, 0, RANDARRAY(COUNTA(column_value!B:B), 1), 1))"),"능청스럽게, 진취적으로, 친근하게")</f>
        <v>능청스럽게, 진취적으로, 친근하게</v>
      </c>
      <c r="G187" s="7" t="str">
        <f>IFERROR(__xludf.DUMMYFUNCTION("TEXTJOIN("", "", TRUE, SORTN(column_value!$C$2:$C$105, 3, 0, RANDARRAY(COUNTA(column_value!C:C), 1), 1))"),"건축가, 개발자, 응급구조사")</f>
        <v>건축가, 개발자, 응급구조사</v>
      </c>
      <c r="H187" s="7" t="str">
        <f>IFERROR(__xludf.DUMMYFUNCTION("TEXTJOIN("", "", TRUE, SORTN(column_value!$D$2:$D$105, 3, 0, RANDARRAY(COUNTA(column_value!D:D), 1), 1))"),"소설 작가, 선배, 운동선수")</f>
        <v>소설 작가, 선배, 운동선수</v>
      </c>
      <c r="I187" s="7">
        <v>20.0</v>
      </c>
      <c r="J187" s="9" t="str">
        <f t="shared" si="2"/>
        <v>[조건]
- 문자 길이: 150-199 구간 내
- 턴 수: 10-14 구간 내
- 주제: 세무, 의료, 인사
- 톤: 능청스럽게, 진취적으로, 친근하게
- 화자A: 건축가, 개발자, 응급구조사
- 화자B: 소설 작가, 선배, 운동선수
- 생성 대화수: 20</v>
      </c>
    </row>
    <row r="188">
      <c r="A188" s="7" t="str">
        <f t="shared" si="1"/>
        <v>T_187_len_150-199_turn_10-14_count_20</v>
      </c>
      <c r="B188" s="8" t="s">
        <v>250</v>
      </c>
      <c r="C188" s="7" t="s">
        <v>51</v>
      </c>
      <c r="D188" s="8" t="s">
        <v>52</v>
      </c>
      <c r="E188" s="7" t="str">
        <f>IFERROR(__xludf.DUMMYFUNCTION("TEXTJOIN("", "", TRUE, SORTN(column_value!$A$2:$A$105, 3, 0, RANDARRAY(COUNTA(column_value!A:A), 1), 1))"),"뉴스, 이별, 수산업")</f>
        <v>뉴스, 이별, 수산업</v>
      </c>
      <c r="F188" s="7" t="str">
        <f>IFERROR(__xludf.DUMMYFUNCTION("TEXTJOIN("", "", TRUE, SORTN(column_value!$B$2:$B$105, 3, 0, RANDARRAY(COUNTA(column_value!B:B), 1), 1))"),"정중하게, 사려 깊게, 감탄하며")</f>
        <v>정중하게, 사려 깊게, 감탄하며</v>
      </c>
      <c r="G188" s="7" t="str">
        <f>IFERROR(__xludf.DUMMYFUNCTION("TEXTJOIN("", "", TRUE, SORTN(column_value!$C$2:$C$105, 3, 0, RANDARRAY(COUNTA(column_value!C:C), 1), 1))"),"회계사, 가이드, 소설 작가")</f>
        <v>회계사, 가이드, 소설 작가</v>
      </c>
      <c r="H188" s="7" t="str">
        <f>IFERROR(__xludf.DUMMYFUNCTION("TEXTJOIN("", "", TRUE, SORTN(column_value!$D$2:$D$105, 3, 0, RANDARRAY(COUNTA(column_value!D:D), 1), 1))"),"조종사, 버스 기사, 농부")</f>
        <v>조종사, 버스 기사, 농부</v>
      </c>
      <c r="I188" s="7">
        <v>20.0</v>
      </c>
      <c r="J188" s="9" t="str">
        <f t="shared" si="2"/>
        <v>[조건]
- 문자 길이: 150-199 구간 내
- 턴 수: 10-14 구간 내
- 주제: 뉴스, 이별, 수산업
- 톤: 정중하게, 사려 깊게, 감탄하며
- 화자A: 회계사, 가이드, 소설 작가
- 화자B: 조종사, 버스 기사, 농부
- 생성 대화수: 20</v>
      </c>
    </row>
    <row r="189">
      <c r="A189" s="7" t="str">
        <f t="shared" si="1"/>
        <v>T_188_len_150-199_turn_10-14_count_20</v>
      </c>
      <c r="B189" s="8" t="s">
        <v>251</v>
      </c>
      <c r="C189" s="7" t="s">
        <v>51</v>
      </c>
      <c r="D189" s="8" t="s">
        <v>52</v>
      </c>
      <c r="E189" s="7" t="str">
        <f>IFERROR(__xludf.DUMMYFUNCTION("TEXTJOIN("", "", TRUE, SORTN(column_value!$A$2:$A$105, 3, 0, RANDARRAY(COUNTA(column_value!A:A), 1), 1))"),"철학, 정치, 드라이브")</f>
        <v>철학, 정치, 드라이브</v>
      </c>
      <c r="F189" s="7" t="str">
        <f>IFERROR(__xludf.DUMMYFUNCTION("TEXTJOIN("", "", TRUE, SORTN(column_value!$B$2:$B$105, 3, 0, RANDARRAY(COUNTA(column_value!B:B), 1), 1))"),"기대하며, 애정을 담아, 시니컬하게")</f>
        <v>기대하며, 애정을 담아, 시니컬하게</v>
      </c>
      <c r="G189" s="7" t="str">
        <f>IFERROR(__xludf.DUMMYFUNCTION("TEXTJOIN("", "", TRUE, SORTN(column_value!$C$2:$C$105, 3, 0, RANDARRAY(COUNTA(column_value!C:C), 1), 1))"),"번역가, 조종사, 정치인")</f>
        <v>번역가, 조종사, 정치인</v>
      </c>
      <c r="H189" s="7" t="str">
        <f>IFERROR(__xludf.DUMMYFUNCTION("TEXTJOIN("", "", TRUE, SORTN(column_value!$D$2:$D$105, 3, 0, RANDARRAY(COUNTA(column_value!D:D), 1), 1))"),"자영업자, 통역사, 사회복지사")</f>
        <v>자영업자, 통역사, 사회복지사</v>
      </c>
      <c r="I189" s="7">
        <v>20.0</v>
      </c>
      <c r="J189" s="9" t="str">
        <f t="shared" si="2"/>
        <v>[조건]
- 문자 길이: 150-199 구간 내
- 턴 수: 10-14 구간 내
- 주제: 철학, 정치, 드라이브
- 톤: 기대하며, 애정을 담아, 시니컬하게
- 화자A: 번역가, 조종사, 정치인
- 화자B: 자영업자, 통역사, 사회복지사
- 생성 대화수: 20</v>
      </c>
    </row>
    <row r="190">
      <c r="A190" s="7" t="str">
        <f t="shared" si="1"/>
        <v>T_189_len_150-199_turn_10-14_count_6</v>
      </c>
      <c r="B190" s="8" t="s">
        <v>252</v>
      </c>
      <c r="C190" s="7" t="s">
        <v>51</v>
      </c>
      <c r="D190" s="8" t="s">
        <v>52</v>
      </c>
      <c r="E190" s="7" t="str">
        <f>IFERROR(__xludf.DUMMYFUNCTION("TEXTJOIN("", "", TRUE, SORTN(column_value!$A$2:$A$105, 3, 0, RANDARRAY(COUNTA(column_value!A:A), 1), 1))"),"수산업, 음악, 교통")</f>
        <v>수산업, 음악, 교통</v>
      </c>
      <c r="F190" s="7" t="str">
        <f>IFERROR(__xludf.DUMMYFUNCTION("TEXTJOIN("", "", TRUE, SORTN(column_value!$B$2:$B$105, 3, 0, RANDARRAY(COUNTA(column_value!B:B), 1), 1))"),"쾌활하게, 정중하게, 기대하며")</f>
        <v>쾌활하게, 정중하게, 기대하며</v>
      </c>
      <c r="G190" s="7" t="str">
        <f>IFERROR(__xludf.DUMMYFUNCTION("TEXTJOIN("", "", TRUE, SORTN(column_value!$C$2:$C$105, 3, 0, RANDARRAY(COUNTA(column_value!C:C), 1), 1))"),"바텐더, 수의사, 소설 작가")</f>
        <v>바텐더, 수의사, 소설 작가</v>
      </c>
      <c r="H190" s="7" t="str">
        <f>IFERROR(__xludf.DUMMYFUNCTION("TEXTJOIN("", "", TRUE, SORTN(column_value!$D$2:$D$105, 3, 0, RANDARRAY(COUNTA(column_value!D:D), 1), 1))"),"군대 후임, 선배, 약사")</f>
        <v>군대 후임, 선배, 약사</v>
      </c>
      <c r="I190" s="7">
        <v>6.0</v>
      </c>
      <c r="J190" s="9" t="str">
        <f t="shared" si="2"/>
        <v>[조건]
- 문자 길이: 150-199 구간 내
- 턴 수: 10-14 구간 내
- 주제: 수산업, 음악, 교통
- 톤: 쾌활하게, 정중하게, 기대하며
- 화자A: 바텐더, 수의사, 소설 작가
- 화자B: 군대 후임, 선배, 약사
- 생성 대화수: 6</v>
      </c>
    </row>
    <row r="191">
      <c r="A191" s="7" t="str">
        <f t="shared" si="1"/>
        <v>T_190_len_200-249_turn_15-19_count_20</v>
      </c>
      <c r="B191" s="8" t="s">
        <v>253</v>
      </c>
      <c r="C191" s="7" t="s">
        <v>58</v>
      </c>
      <c r="D191" s="8" t="s">
        <v>59</v>
      </c>
      <c r="E191" s="7" t="str">
        <f>IFERROR(__xludf.DUMMYFUNCTION("TEXTJOIN("", "", TRUE, SORTN(column_value!$A$2:$A$105, 3, 0, RANDARRAY(COUNTA(column_value!A:A), 1), 1))"),"해양, 패션, 운동")</f>
        <v>해양, 패션, 운동</v>
      </c>
      <c r="F191" s="7" t="str">
        <f>IFERROR(__xludf.DUMMYFUNCTION("TEXTJOIN("", "", TRUE, SORTN(column_value!$B$2:$B$105, 3, 0, RANDARRAY(COUNTA(column_value!B:B), 1), 1))"),"냉담하게, 관대하게, 시크하게")</f>
        <v>냉담하게, 관대하게, 시크하게</v>
      </c>
      <c r="G191" s="7" t="str">
        <f>IFERROR(__xludf.DUMMYFUNCTION("TEXTJOIN("", "", TRUE, SORTN(column_value!$C$2:$C$105, 3, 0, RANDARRAY(COUNTA(column_value!C:C), 1), 1))"),"가이드, 유치원 교사, 군인")</f>
        <v>가이드, 유치원 교사, 군인</v>
      </c>
      <c r="H191" s="7" t="str">
        <f>IFERROR(__xludf.DUMMYFUNCTION("TEXTJOIN("", "", TRUE, SORTN(column_value!$D$2:$D$105, 3, 0, RANDARRAY(COUNTA(column_value!D:D), 1), 1))"),"성우, 사업가, 은행원")</f>
        <v>성우, 사업가, 은행원</v>
      </c>
      <c r="I191" s="7">
        <v>20.0</v>
      </c>
      <c r="J191" s="9" t="str">
        <f t="shared" si="2"/>
        <v>[조건]
- 문자 길이: 200-249 구간 내
- 턴 수: 15-19 구간 내
- 주제: 해양, 패션, 운동
- 톤: 냉담하게, 관대하게, 시크하게
- 화자A: 가이드, 유치원 교사, 군인
- 화자B: 성우, 사업가, 은행원
- 생성 대화수: 20</v>
      </c>
    </row>
    <row r="192">
      <c r="A192" s="7" t="str">
        <f t="shared" si="1"/>
        <v>T_191_len_200-249_turn_15-19_count_20</v>
      </c>
      <c r="B192" s="8" t="s">
        <v>254</v>
      </c>
      <c r="C192" s="7" t="s">
        <v>58</v>
      </c>
      <c r="D192" s="8" t="s">
        <v>59</v>
      </c>
      <c r="E192" s="7" t="str">
        <f>IFERROR(__xludf.DUMMYFUNCTION("TEXTJOIN("", "", TRUE, SORTN(column_value!$A$2:$A$105, 3, 0, RANDARRAY(COUNTA(column_value!A:A), 1), 1))"),"경영, 마케팅, 이별")</f>
        <v>경영, 마케팅, 이별</v>
      </c>
      <c r="F192" s="7" t="str">
        <f>IFERROR(__xludf.DUMMYFUNCTION("TEXTJOIN("", "", TRUE, SORTN(column_value!$B$2:$B$105, 3, 0, RANDARRAY(COUNTA(column_value!B:B), 1), 1))"),"애틋하게, 놀라며, 순수하게")</f>
        <v>애틋하게, 놀라며, 순수하게</v>
      </c>
      <c r="G192" s="7" t="str">
        <f>IFERROR(__xludf.DUMMYFUNCTION("TEXTJOIN("", "", TRUE, SORTN(column_value!$C$2:$C$105, 3, 0, RANDARRAY(COUNTA(column_value!C:C), 1), 1))"),"호텔리어, 작가, 부모")</f>
        <v>호텔리어, 작가, 부모</v>
      </c>
      <c r="H192" s="7" t="str">
        <f>IFERROR(__xludf.DUMMYFUNCTION("TEXTJOIN("", "", TRUE, SORTN(column_value!$D$2:$D$105, 3, 0, RANDARRAY(COUNTA(column_value!D:D), 1), 1))"),"헬스 트레이너, 기자, 사육사")</f>
        <v>헬스 트레이너, 기자, 사육사</v>
      </c>
      <c r="I192" s="7">
        <v>20.0</v>
      </c>
      <c r="J192" s="9" t="str">
        <f t="shared" si="2"/>
        <v>[조건]
- 문자 길이: 200-249 구간 내
- 턴 수: 15-19 구간 내
- 주제: 경영, 마케팅, 이별
- 톤: 애틋하게, 놀라며, 순수하게
- 화자A: 호텔리어, 작가, 부모
- 화자B: 헬스 트레이너, 기자, 사육사
- 생성 대화수: 20</v>
      </c>
    </row>
    <row r="193">
      <c r="A193" s="7" t="str">
        <f t="shared" si="1"/>
        <v>T_192_len_200-249_turn_15-19_count_20</v>
      </c>
      <c r="B193" s="8" t="s">
        <v>255</v>
      </c>
      <c r="C193" s="7" t="s">
        <v>58</v>
      </c>
      <c r="D193" s="8" t="s">
        <v>59</v>
      </c>
      <c r="E193" s="7" t="str">
        <f>IFERROR(__xludf.DUMMYFUNCTION("TEXTJOIN("", "", TRUE, SORTN(column_value!$A$2:$A$105, 3, 0, RANDARRAY(COUNTA(column_value!A:A), 1), 1))"),"자동차, 금융, 영업")</f>
        <v>자동차, 금융, 영업</v>
      </c>
      <c r="F193" s="7" t="str">
        <f>IFERROR(__xludf.DUMMYFUNCTION("TEXTJOIN("", "", TRUE, SORTN(column_value!$B$2:$B$105, 3, 0, RANDARRAY(COUNTA(column_value!B:B), 1), 1))"),"애교있게, 열정적으로, 천진난만하게")</f>
        <v>애교있게, 열정적으로, 천진난만하게</v>
      </c>
      <c r="G193" s="7" t="str">
        <f>IFERROR(__xludf.DUMMYFUNCTION("TEXTJOIN("", "", TRUE, SORTN(column_value!$C$2:$C$105, 3, 0, RANDARRAY(COUNTA(column_value!C:C), 1), 1))"),"수의사, 교수, 공무원")</f>
        <v>수의사, 교수, 공무원</v>
      </c>
      <c r="H193" s="7" t="str">
        <f>IFERROR(__xludf.DUMMYFUNCTION("TEXTJOIN("", "", TRUE, SORTN(column_value!$D$2:$D$105, 3, 0, RANDARRAY(COUNTA(column_value!D:D), 1), 1))"),"목수, 회계사, 사진작가")</f>
        <v>목수, 회계사, 사진작가</v>
      </c>
      <c r="I193" s="7">
        <v>20.0</v>
      </c>
      <c r="J193" s="9" t="str">
        <f t="shared" si="2"/>
        <v>[조건]
- 문자 길이: 200-249 구간 내
- 턴 수: 15-19 구간 내
- 주제: 자동차, 금융, 영업
- 톤: 애교있게, 열정적으로, 천진난만하게
- 화자A: 수의사, 교수, 공무원
- 화자B: 목수, 회계사, 사진작가
- 생성 대화수: 20</v>
      </c>
    </row>
    <row r="194">
      <c r="A194" s="7" t="str">
        <f t="shared" si="1"/>
        <v>T_193_len_200-249_turn_15-19_count_9</v>
      </c>
      <c r="B194" s="8" t="s">
        <v>256</v>
      </c>
      <c r="C194" s="7" t="s">
        <v>58</v>
      </c>
      <c r="D194" s="8" t="s">
        <v>59</v>
      </c>
      <c r="E194" s="7" t="str">
        <f>IFERROR(__xludf.DUMMYFUNCTION("TEXTJOIN("", "", TRUE, SORTN(column_value!$A$2:$A$105, 3, 0, RANDARRAY(COUNTA(column_value!A:A), 1), 1))"),"직업, 물리학, 요가")</f>
        <v>직업, 물리학, 요가</v>
      </c>
      <c r="F194" s="7" t="str">
        <f>IFERROR(__xludf.DUMMYFUNCTION("TEXTJOIN("", "", TRUE, SORTN(column_value!$B$2:$B$105, 3, 0, RANDARRAY(COUNTA(column_value!B:B), 1), 1))"),"낙관적으로, 존경심을 담아, 격식없이")</f>
        <v>낙관적으로, 존경심을 담아, 격식없이</v>
      </c>
      <c r="G194" s="7" t="str">
        <f>IFERROR(__xludf.DUMMYFUNCTION("TEXTJOIN("", "", TRUE, SORTN(column_value!$C$2:$C$105, 3, 0, RANDARRAY(COUNTA(column_value!C:C), 1), 1))"),"명상가, 응급구조사, 친구")</f>
        <v>명상가, 응급구조사, 친구</v>
      </c>
      <c r="H194" s="7" t="str">
        <f>IFERROR(__xludf.DUMMYFUNCTION("TEXTJOIN("", "", TRUE, SORTN(column_value!$D$2:$D$105, 3, 0, RANDARRAY(COUNTA(column_value!D:D), 1), 1))"),"동료, 운동선수, 탐정")</f>
        <v>동료, 운동선수, 탐정</v>
      </c>
      <c r="I194" s="7">
        <v>9.0</v>
      </c>
      <c r="J194" s="9" t="str">
        <f t="shared" si="2"/>
        <v>[조건]
- 문자 길이: 200-249 구간 내
- 턴 수: 15-19 구간 내
- 주제: 직업, 물리학, 요가
- 톤: 낙관적으로, 존경심을 담아, 격식없이
- 화자A: 명상가, 응급구조사, 친구
- 화자B: 동료, 운동선수, 탐정
- 생성 대화수: 9</v>
      </c>
    </row>
    <row r="195">
      <c r="A195" s="7" t="str">
        <f t="shared" si="1"/>
        <v>T_194_len_250-299_turn_20-24_count_20</v>
      </c>
      <c r="B195" s="8" t="s">
        <v>257</v>
      </c>
      <c r="C195" s="7" t="s">
        <v>64</v>
      </c>
      <c r="D195" s="8" t="s">
        <v>65</v>
      </c>
      <c r="E195" s="7" t="str">
        <f>IFERROR(__xludf.DUMMYFUNCTION("TEXTJOIN("", "", TRUE, SORTN(column_value!$A$2:$A$105, 3, 0, RANDARRAY(COUNTA(column_value!A:A), 1), 1))"),"물류, 심리학, 등산")</f>
        <v>물류, 심리학, 등산</v>
      </c>
      <c r="F195" s="7" t="str">
        <f>IFERROR(__xludf.DUMMYFUNCTION("TEXTJOIN("", "", TRUE, SORTN(column_value!$B$2:$B$105, 3, 0, RANDARRAY(COUNTA(column_value!B:B), 1), 1))"),"혁신적으로, 포근하게, 오만하게")</f>
        <v>혁신적으로, 포근하게, 오만하게</v>
      </c>
      <c r="G195" s="7" t="str">
        <f>IFERROR(__xludf.DUMMYFUNCTION("TEXTJOIN("", "", TRUE, SORTN(column_value!$C$2:$C$105, 3, 0, RANDARRAY(COUNTA(column_value!C:C), 1), 1))"),"탐정, 정치인, 디자이너")</f>
        <v>탐정, 정치인, 디자이너</v>
      </c>
      <c r="H195" s="7" t="str">
        <f>IFERROR(__xludf.DUMMYFUNCTION("TEXTJOIN("", "", TRUE, SORTN(column_value!$D$2:$D$105, 3, 0, RANDARRAY(COUNTA(column_value!D:D), 1), 1))"),"수의사, 목사, 부모")</f>
        <v>수의사, 목사, 부모</v>
      </c>
      <c r="I195" s="7">
        <v>20.0</v>
      </c>
      <c r="J195" s="9" t="str">
        <f t="shared" si="2"/>
        <v>[조건]
- 문자 길이: 250-299 구간 내
- 턴 수: 20-24 구간 내
- 주제: 물류, 심리학, 등산
- 톤: 혁신적으로, 포근하게, 오만하게
- 화자A: 탐정, 정치인, 디자이너
- 화자B: 수의사, 목사, 부모
- 생성 대화수: 20</v>
      </c>
    </row>
    <row r="196">
      <c r="A196" s="7" t="str">
        <f t="shared" si="1"/>
        <v>T_195_len_250-299_turn_20-24_count_18</v>
      </c>
      <c r="B196" s="8" t="s">
        <v>258</v>
      </c>
      <c r="C196" s="7" t="s">
        <v>64</v>
      </c>
      <c r="D196" s="8" t="s">
        <v>65</v>
      </c>
      <c r="E196" s="7" t="str">
        <f>IFERROR(__xludf.DUMMYFUNCTION("TEXTJOIN("", "", TRUE, SORTN(column_value!$A$2:$A$105, 3, 0, RANDARRAY(COUNTA(column_value!A:A), 1), 1))"),"운동, 법률, 마케팅")</f>
        <v>운동, 법률, 마케팅</v>
      </c>
      <c r="F196" s="7" t="str">
        <f>IFERROR(__xludf.DUMMYFUNCTION("TEXTJOIN("", "", TRUE, SORTN(column_value!$B$2:$B$105, 3, 0, RANDARRAY(COUNTA(column_value!B:B), 1), 1))"),"주도적으로, 쾌활하게, 덤덤하게")</f>
        <v>주도적으로, 쾌활하게, 덤덤하게</v>
      </c>
      <c r="G196" s="7" t="str">
        <f>IFERROR(__xludf.DUMMYFUNCTION("TEXTJOIN("", "", TRUE, SORTN(column_value!$C$2:$C$105, 3, 0, RANDARRAY(COUNTA(column_value!C:C), 1), 1))"),"인턴, 교수, 교사")</f>
        <v>인턴, 교수, 교사</v>
      </c>
      <c r="H196" s="7" t="str">
        <f>IFERROR(__xludf.DUMMYFUNCTION("TEXTJOIN("", "", TRUE, SORTN(column_value!$D$2:$D$105, 3, 0, RANDARRAY(COUNTA(column_value!D:D), 1), 1))"),"어부, 심리치료사, 이웃")</f>
        <v>어부, 심리치료사, 이웃</v>
      </c>
      <c r="I196" s="7">
        <v>18.0</v>
      </c>
      <c r="J196" s="9" t="str">
        <f t="shared" si="2"/>
        <v>[조건]
- 문자 길이: 250-299 구간 내
- 턴 수: 20-24 구간 내
- 주제: 운동, 법률, 마케팅
- 톤: 주도적으로, 쾌활하게, 덤덤하게
- 화자A: 인턴, 교수, 교사
- 화자B: 어부, 심리치료사, 이웃
- 생성 대화수: 18</v>
      </c>
    </row>
    <row r="197">
      <c r="A197" s="7" t="str">
        <f t="shared" si="1"/>
        <v>T_196_len_300-349_turn_25-29_count_20</v>
      </c>
      <c r="B197" s="8" t="s">
        <v>259</v>
      </c>
      <c r="C197" s="7" t="s">
        <v>68</v>
      </c>
      <c r="D197" s="8" t="s">
        <v>69</v>
      </c>
      <c r="E197" s="7" t="str">
        <f>IFERROR(__xludf.DUMMYFUNCTION("TEXTJOIN("", "", TRUE, SORTN(column_value!$A$2:$A$105, 3, 0, RANDARRAY(COUNTA(column_value!A:A), 1), 1))"),"피아노, 인테리어, 음식")</f>
        <v>피아노, 인테리어, 음식</v>
      </c>
      <c r="F197" s="7" t="str">
        <f>IFERROR(__xludf.DUMMYFUNCTION("TEXTJOIN("", "", TRUE, SORTN(column_value!$B$2:$B$105, 3, 0, RANDARRAY(COUNTA(column_value!B:B), 1), 1))"),"신중하게, 진취적으로, 진지하게")</f>
        <v>신중하게, 진취적으로, 진지하게</v>
      </c>
      <c r="G197" s="7" t="str">
        <f>IFERROR(__xludf.DUMMYFUNCTION("TEXTJOIN("", "", TRUE, SORTN(column_value!$C$2:$C$105, 3, 0, RANDARRAY(COUNTA(column_value!C:C), 1), 1))"),"이웃, 버스 기사, 약사")</f>
        <v>이웃, 버스 기사, 약사</v>
      </c>
      <c r="H197" s="7" t="str">
        <f>IFERROR(__xludf.DUMMYFUNCTION("TEXTJOIN("", "", TRUE, SORTN(column_value!$D$2:$D$105, 3, 0, RANDARRAY(COUNTA(column_value!D:D), 1), 1))"),"CEO, 고등학생, 소방관")</f>
        <v>CEO, 고등학생, 소방관</v>
      </c>
      <c r="I197" s="7">
        <v>20.0</v>
      </c>
      <c r="J197" s="9" t="str">
        <f t="shared" si="2"/>
        <v>[조건]
- 문자 길이: 300-349 구간 내
- 턴 수: 25-29 구간 내
- 주제: 피아노, 인테리어, 음식
- 톤: 신중하게, 진취적으로, 진지하게
- 화자A: 이웃, 버스 기사, 약사
- 화자B: CEO, 고등학생, 소방관
- 생성 대화수: 20</v>
      </c>
    </row>
    <row r="198">
      <c r="A198" s="7" t="str">
        <f t="shared" si="1"/>
        <v>T_197_len_350-399_turn_30-34_count_13</v>
      </c>
      <c r="B198" s="8" t="s">
        <v>260</v>
      </c>
      <c r="C198" s="7" t="s">
        <v>71</v>
      </c>
      <c r="D198" s="8" t="s">
        <v>72</v>
      </c>
      <c r="E198" s="7" t="str">
        <f>IFERROR(__xludf.DUMMYFUNCTION("TEXTJOIN("", "", TRUE, SORTN(column_value!$A$2:$A$105, 3, 0, RANDARRAY(COUNTA(column_value!A:A), 1), 1))"),"레시피, 사진, 결혼")</f>
        <v>레시피, 사진, 결혼</v>
      </c>
      <c r="F198" s="7" t="str">
        <f>IFERROR(__xludf.DUMMYFUNCTION("TEXTJOIN("", "", TRUE, SORTN(column_value!$B$2:$B$105, 3, 0, RANDARRAY(COUNTA(column_value!B:B), 1), 1))"),"솔직하게, 단호하게, 겸손하게")</f>
        <v>솔직하게, 단호하게, 겸손하게</v>
      </c>
      <c r="G198" s="7" t="str">
        <f>IFERROR(__xludf.DUMMYFUNCTION("TEXTJOIN("", "", TRUE, SORTN(column_value!$C$2:$C$105, 3, 0, RANDARRAY(COUNTA(column_value!C:C), 1), 1))"),"팀장, 멘티, 성우")</f>
        <v>팀장, 멘티, 성우</v>
      </c>
      <c r="H198" s="7" t="str">
        <f>IFERROR(__xludf.DUMMYFUNCTION("TEXTJOIN("", "", TRUE, SORTN(column_value!$D$2:$D$105, 3, 0, RANDARRAY(COUNTA(column_value!D:D), 1), 1))"),"승무원, 개발자, 소믈리에")</f>
        <v>승무원, 개발자, 소믈리에</v>
      </c>
      <c r="I198" s="7">
        <v>13.0</v>
      </c>
      <c r="J198" s="9" t="str">
        <f t="shared" si="2"/>
        <v>[조건]
- 문자 길이: 350-399 구간 내
- 턴 수: 30-34 구간 내
- 주제: 레시피, 사진, 결혼
- 톤: 솔직하게, 단호하게, 겸손하게
- 화자A: 팀장, 멘티, 성우
- 화자B: 승무원, 개발자, 소믈리에
- 생성 대화수: 13</v>
      </c>
    </row>
    <row r="199">
      <c r="A199" s="7" t="str">
        <f t="shared" si="1"/>
        <v>T_198_len_400-449_turn_35-39_count_7</v>
      </c>
      <c r="B199" s="8" t="s">
        <v>261</v>
      </c>
      <c r="C199" s="7" t="s">
        <v>74</v>
      </c>
      <c r="D199" s="8" t="s">
        <v>75</v>
      </c>
      <c r="E199" s="7" t="str">
        <f>IFERROR(__xludf.DUMMYFUNCTION("TEXTJOIN("", "", TRUE, SORTN(column_value!$A$2:$A$105, 3, 0, RANDARRAY(COUNTA(column_value!A:A), 1), 1))"),"심리학, 게임, 투자")</f>
        <v>심리학, 게임, 투자</v>
      </c>
      <c r="F199" s="7" t="str">
        <f>IFERROR(__xludf.DUMMYFUNCTION("TEXTJOIN("", "", TRUE, SORTN(column_value!$B$2:$B$105, 3, 0, RANDARRAY(COUNTA(column_value!B:B), 1), 1))"),"격앙되게, 감성적으로, 간절하게")</f>
        <v>격앙되게, 감성적으로, 간절하게</v>
      </c>
      <c r="G199" s="7" t="str">
        <f>IFERROR(__xludf.DUMMYFUNCTION("TEXTJOIN("", "", TRUE, SORTN(column_value!$C$2:$C$105, 3, 0, RANDARRAY(COUNTA(column_value!C:C), 1), 1))"),"인턴, 배우, 목수")</f>
        <v>인턴, 배우, 목수</v>
      </c>
      <c r="H199" s="7" t="str">
        <f>IFERROR(__xludf.DUMMYFUNCTION("TEXTJOIN("", "", TRUE, SORTN(column_value!$D$2:$D$105, 3, 0, RANDARRAY(COUNTA(column_value!D:D), 1), 1))"),"농부, 운동선수, 선배")</f>
        <v>농부, 운동선수, 선배</v>
      </c>
      <c r="I199" s="7">
        <v>7.0</v>
      </c>
      <c r="J199" s="9" t="str">
        <f t="shared" si="2"/>
        <v>[조건]
- 문자 길이: 400-449 구간 내
- 턴 수: 35-39 구간 내
- 주제: 심리학, 게임, 투자
- 톤: 격앙되게, 감성적으로, 간절하게
- 화자A: 인턴, 배우, 목수
- 화자B: 농부, 운동선수, 선배
- 생성 대화수: 7</v>
      </c>
    </row>
    <row r="200">
      <c r="A200" s="7" t="str">
        <f t="shared" si="1"/>
        <v>T_199_len_450-499_turn_40-44_count_5</v>
      </c>
      <c r="B200" s="8" t="s">
        <v>262</v>
      </c>
      <c r="C200" s="7" t="s">
        <v>77</v>
      </c>
      <c r="D200" s="8" t="s">
        <v>78</v>
      </c>
      <c r="E200" s="7" t="str">
        <f>IFERROR(__xludf.DUMMYFUNCTION("TEXTJOIN("", "", TRUE, SORTN(column_value!$A$2:$A$105, 3, 0, RANDARRAY(COUNTA(column_value!A:A), 1), 1))"),"인사, 맛집, 날씨")</f>
        <v>인사, 맛집, 날씨</v>
      </c>
      <c r="F200" s="7" t="str">
        <f>IFERROR(__xludf.DUMMYFUNCTION("TEXTJOIN("", "", TRUE, SORTN(column_value!$B$2:$B$105, 3, 0, RANDARRAY(COUNTA(column_value!B:B), 1), 1))"),"시크하게, 너그럽게, 조롱하며")</f>
        <v>시크하게, 너그럽게, 조롱하며</v>
      </c>
      <c r="G200" s="7" t="str">
        <f>IFERROR(__xludf.DUMMYFUNCTION("TEXTJOIN("", "", TRUE, SORTN(column_value!$C$2:$C$105, 3, 0, RANDARRAY(COUNTA(column_value!C:C), 1), 1))"),"알바생, 사진작가, 모델")</f>
        <v>알바생, 사진작가, 모델</v>
      </c>
      <c r="H200" s="7" t="str">
        <f>IFERROR(__xludf.DUMMYFUNCTION("TEXTJOIN("", "", TRUE, SORTN(column_value!$D$2:$D$105, 3, 0, RANDARRAY(COUNTA(column_value!D:D), 1), 1))"),"신입사원, 운동선수, 약사")</f>
        <v>신입사원, 운동선수, 약사</v>
      </c>
      <c r="I200" s="7">
        <v>5.0</v>
      </c>
      <c r="J200" s="9" t="str">
        <f t="shared" si="2"/>
        <v>[조건]
- 문자 길이: 450-499 구간 내
- 턴 수: 40-44 구간 내
- 주제: 인사, 맛집, 날씨
- 톤: 시크하게, 너그럽게, 조롱하며
- 화자A: 알바생, 사진작가, 모델
- 화자B: 신입사원, 운동선수, 약사
- 생성 대화수: 5</v>
      </c>
    </row>
    <row r="201">
      <c r="A201" s="7" t="str">
        <f t="shared" si="1"/>
        <v>T_200_len_500-549_turn_45-49_count_12</v>
      </c>
      <c r="B201" s="8" t="s">
        <v>263</v>
      </c>
      <c r="C201" s="7" t="s">
        <v>80</v>
      </c>
      <c r="D201" s="8" t="s">
        <v>81</v>
      </c>
      <c r="E201" s="7" t="str">
        <f>IFERROR(__xludf.DUMMYFUNCTION("TEXTJOIN("", "", TRUE, SORTN(column_value!$A$2:$A$105, 3, 0, RANDARRAY(COUNTA(column_value!A:A), 1), 1))"),"역사, 과학, 스포츠")</f>
        <v>역사, 과학, 스포츠</v>
      </c>
      <c r="F201" s="7" t="str">
        <f>IFERROR(__xludf.DUMMYFUNCTION("TEXTJOIN("", "", TRUE, SORTN(column_value!$B$2:$B$105, 3, 0, RANDARRAY(COUNTA(column_value!B:B), 1), 1))"),"화나게, 단호하게, 안타깝게")</f>
        <v>화나게, 단호하게, 안타깝게</v>
      </c>
      <c r="G201" s="7" t="str">
        <f>IFERROR(__xludf.DUMMYFUNCTION("TEXTJOIN("", "", TRUE, SORTN(column_value!$C$2:$C$105, 3, 0, RANDARRAY(COUNTA(column_value!C:C), 1), 1))"),"가이드, 자녀, 농부")</f>
        <v>가이드, 자녀, 농부</v>
      </c>
      <c r="H201" s="7" t="str">
        <f>IFERROR(__xludf.DUMMYFUNCTION("TEXTJOIN("", "", TRUE, SORTN(column_value!$D$2:$D$105, 3, 0, RANDARRAY(COUNTA(column_value!D:D), 1), 1))"),"주부, 필라테스 강사, 간호사")</f>
        <v>주부, 필라테스 강사, 간호사</v>
      </c>
      <c r="I201" s="7">
        <v>12.0</v>
      </c>
      <c r="J201" s="9" t="str">
        <f t="shared" si="2"/>
        <v>[조건]
- 문자 길이: 500-549 구간 내
- 턴 수: 45-49 구간 내
- 주제: 역사, 과학, 스포츠
- 톤: 화나게, 단호하게, 안타깝게
- 화자A: 가이드, 자녀, 농부
- 화자B: 주부, 필라테스 강사, 간호사
- 생성 대화수: 12</v>
      </c>
    </row>
    <row r="202">
      <c r="A202" s="7" t="str">
        <f t="shared" si="1"/>
        <v>T_201_len_50-99_turn_0-4_count_5</v>
      </c>
      <c r="B202" s="8" t="s">
        <v>264</v>
      </c>
      <c r="C202" s="7" t="s">
        <v>43</v>
      </c>
      <c r="D202" s="8" t="s">
        <v>44</v>
      </c>
      <c r="E202" s="7" t="str">
        <f>IFERROR(__xludf.DUMMYFUNCTION("TEXTJOIN("", "", TRUE, SORTN(column_value!$A$2:$A$105, 3, 0, RANDARRAY(COUNTA(column_value!A:A), 1), 1))"),"개발, 기술, 봉사활동")</f>
        <v>개발, 기술, 봉사활동</v>
      </c>
      <c r="F202" s="7" t="str">
        <f>IFERROR(__xludf.DUMMYFUNCTION("TEXTJOIN("", "", TRUE, SORTN(column_value!$B$2:$B$105, 3, 0, RANDARRAY(COUNTA(column_value!B:B), 1), 1))"),"진지하게, 경쟁적으로, 활발하게")</f>
        <v>진지하게, 경쟁적으로, 활발하게</v>
      </c>
      <c r="G202" s="7" t="str">
        <f>IFERROR(__xludf.DUMMYFUNCTION("TEXTJOIN("", "", TRUE, SORTN(column_value!$C$2:$C$105, 3, 0, RANDARRAY(COUNTA(column_value!C:C), 1), 1))"),"공무원, 교수, 가수")</f>
        <v>공무원, 교수, 가수</v>
      </c>
      <c r="H202" s="7" t="str">
        <f>IFERROR(__xludf.DUMMYFUNCTION("TEXTJOIN("", "", TRUE, SORTN(column_value!$D$2:$D$105, 3, 0, RANDARRAY(COUNTA(column_value!D:D), 1), 1))"),"심리치료사, 응급구조사, 헬스 트레이너")</f>
        <v>심리치료사, 응급구조사, 헬스 트레이너</v>
      </c>
      <c r="I202" s="7">
        <v>5.0</v>
      </c>
      <c r="J202" s="9" t="str">
        <f t="shared" si="2"/>
        <v>[조건]
- 문자 길이: 50-99 구간 내
- 턴 수: 0-4 구간 내
- 주제: 개발, 기술, 봉사활동
- 톤: 진지하게, 경쟁적으로, 활발하게
- 화자A: 공무원, 교수, 가수
- 화자B: 심리치료사, 응급구조사, 헬스 트레이너
- 생성 대화수: 5</v>
      </c>
    </row>
    <row r="203">
      <c r="A203" s="7" t="str">
        <f t="shared" si="1"/>
        <v>T_202_len_100-149_turn_5-9_count_20</v>
      </c>
      <c r="B203" s="8" t="s">
        <v>265</v>
      </c>
      <c r="C203" s="7" t="s">
        <v>46</v>
      </c>
      <c r="D203" s="8" t="s">
        <v>47</v>
      </c>
      <c r="E203" s="7" t="str">
        <f>IFERROR(__xludf.DUMMYFUNCTION("TEXTJOIN("", "", TRUE, SORTN(column_value!$A$2:$A$105, 3, 0, RANDARRAY(COUNTA(column_value!A:A), 1), 1))"),"자동차, 드라이브, 로봇")</f>
        <v>자동차, 드라이브, 로봇</v>
      </c>
      <c r="F203" s="7" t="str">
        <f>IFERROR(__xludf.DUMMYFUNCTION("TEXTJOIN("", "", TRUE, SORTN(column_value!$B$2:$B$105, 3, 0, RANDARRAY(COUNTA(column_value!B:B), 1), 1))"),"단호하게, 놀라며, 위트있게")</f>
        <v>단호하게, 놀라며, 위트있게</v>
      </c>
      <c r="G203" s="7" t="str">
        <f>IFERROR(__xludf.DUMMYFUNCTION("TEXTJOIN("", "", TRUE, SORTN(column_value!$C$2:$C$105, 3, 0, RANDARRAY(COUNTA(column_value!C:C), 1), 1))"),"여행가, 신부, 모델")</f>
        <v>여행가, 신부, 모델</v>
      </c>
      <c r="H203" s="7" t="str">
        <f>IFERROR(__xludf.DUMMYFUNCTION("TEXTJOIN("", "", TRUE, SORTN(column_value!$D$2:$D$105, 3, 0, RANDARRAY(COUNTA(column_value!D:D), 1), 1))"),"사진작가, 알바생, 모델")</f>
        <v>사진작가, 알바생, 모델</v>
      </c>
      <c r="I203" s="7">
        <v>20.0</v>
      </c>
      <c r="J203" s="9" t="str">
        <f t="shared" si="2"/>
        <v>[조건]
- 문자 길이: 100-149 구간 내
- 턴 수: 5-9 구간 내
- 주제: 자동차, 드라이브, 로봇
- 톤: 단호하게, 놀라며, 위트있게
- 화자A: 여행가, 신부, 모델
- 화자B: 사진작가, 알바생, 모델
- 생성 대화수: 20</v>
      </c>
    </row>
    <row r="204">
      <c r="A204" s="7" t="str">
        <f t="shared" si="1"/>
        <v>T_203_len_100-149_turn_5-9_count_20</v>
      </c>
      <c r="B204" s="8" t="s">
        <v>266</v>
      </c>
      <c r="C204" s="7" t="s">
        <v>46</v>
      </c>
      <c r="D204" s="8" t="s">
        <v>47</v>
      </c>
      <c r="E204" s="7" t="str">
        <f>IFERROR(__xludf.DUMMYFUNCTION("TEXTJOIN("", "", TRUE, SORTN(column_value!$A$2:$A$105, 3, 0, RANDARRAY(COUNTA(column_value!A:A), 1), 1))"),"재테크, 서비스업, 건설업")</f>
        <v>재테크, 서비스업, 건설업</v>
      </c>
      <c r="F204" s="7" t="str">
        <f>IFERROR(__xludf.DUMMYFUNCTION("TEXTJOIN("", "", TRUE, SORTN(column_value!$B$2:$B$105, 3, 0, RANDARRAY(COUNTA(column_value!B:B), 1), 1))"),"평온하게, 겸허하게, 진취적으로")</f>
        <v>평온하게, 겸허하게, 진취적으로</v>
      </c>
      <c r="G204" s="7" t="str">
        <f>IFERROR(__xludf.DUMMYFUNCTION("TEXTJOIN("", "", TRUE, SORTN(column_value!$C$2:$C$105, 3, 0, RANDARRAY(COUNTA(column_value!C:C), 1), 1))"),"개발자, 수의사, 선배")</f>
        <v>개발자, 수의사, 선배</v>
      </c>
      <c r="H204" s="7" t="str">
        <f>IFERROR(__xludf.DUMMYFUNCTION("TEXTJOIN("", "", TRUE, SORTN(column_value!$D$2:$D$105, 3, 0, RANDARRAY(COUNTA(column_value!D:D), 1), 1))"),"군대 후임, 간호사, 유치원 교사")</f>
        <v>군대 후임, 간호사, 유치원 교사</v>
      </c>
      <c r="I204" s="7">
        <v>20.0</v>
      </c>
      <c r="J204" s="9" t="str">
        <f t="shared" si="2"/>
        <v>[조건]
- 문자 길이: 100-149 구간 내
- 턴 수: 5-9 구간 내
- 주제: 재테크, 서비스업, 건설업
- 톤: 평온하게, 겸허하게, 진취적으로
- 화자A: 개발자, 수의사, 선배
- 화자B: 군대 후임, 간호사, 유치원 교사
- 생성 대화수: 20</v>
      </c>
    </row>
    <row r="205">
      <c r="A205" s="7" t="str">
        <f t="shared" si="1"/>
        <v>T_204_len_100-149_turn_5-9_count_5</v>
      </c>
      <c r="B205" s="8" t="s">
        <v>267</v>
      </c>
      <c r="C205" s="7" t="s">
        <v>46</v>
      </c>
      <c r="D205" s="8" t="s">
        <v>47</v>
      </c>
      <c r="E205" s="7" t="str">
        <f>IFERROR(__xludf.DUMMYFUNCTION("TEXTJOIN("", "", TRUE, SORTN(column_value!$A$2:$A$105, 3, 0, RANDARRAY(COUNTA(column_value!A:A), 1), 1))"),"맛집, 건설업, 보험")</f>
        <v>맛집, 건설업, 보험</v>
      </c>
      <c r="F205" s="7" t="str">
        <f>IFERROR(__xludf.DUMMYFUNCTION("TEXTJOIN("", "", TRUE, SORTN(column_value!$B$2:$B$105, 3, 0, RANDARRAY(COUNTA(column_value!B:B), 1), 1))"),"냉소적으로, 냉혹하게, 황당해하며")</f>
        <v>냉소적으로, 냉혹하게, 황당해하며</v>
      </c>
      <c r="G205" s="7" t="str">
        <f>IFERROR(__xludf.DUMMYFUNCTION("TEXTJOIN("", "", TRUE, SORTN(column_value!$C$2:$C$105, 3, 0, RANDARRAY(COUNTA(column_value!C:C), 1), 1))"),"교수, 택시 기사, 군대 후임")</f>
        <v>교수, 택시 기사, 군대 후임</v>
      </c>
      <c r="H205" s="7" t="str">
        <f>IFERROR(__xludf.DUMMYFUNCTION("TEXTJOIN("", "", TRUE, SORTN(column_value!$D$2:$D$105, 3, 0, RANDARRAY(COUNTA(column_value!D:D), 1), 1))"),"프리랜서, 운동선수, 건축가")</f>
        <v>프리랜서, 운동선수, 건축가</v>
      </c>
      <c r="I205" s="7">
        <v>5.0</v>
      </c>
      <c r="J205" s="9" t="str">
        <f t="shared" si="2"/>
        <v>[조건]
- 문자 길이: 100-149 구간 내
- 턴 수: 5-9 구간 내
- 주제: 맛집, 건설업, 보험
- 톤: 냉소적으로, 냉혹하게, 황당해하며
- 화자A: 교수, 택시 기사, 군대 후임
- 화자B: 프리랜서, 운동선수, 건축가
- 생성 대화수: 5</v>
      </c>
    </row>
    <row r="206">
      <c r="A206" s="7" t="str">
        <f t="shared" si="1"/>
        <v>T_205_len_150-199_turn_10-14_count_20</v>
      </c>
      <c r="B206" s="8" t="s">
        <v>268</v>
      </c>
      <c r="C206" s="7" t="s">
        <v>51</v>
      </c>
      <c r="D206" s="8" t="s">
        <v>52</v>
      </c>
      <c r="E206" s="7" t="str">
        <f>IFERROR(__xludf.DUMMYFUNCTION("TEXTJOIN("", "", TRUE, SORTN(column_value!$A$2:$A$105, 3, 0, RANDARRAY(COUNTA(column_value!A:A), 1), 1))"),"수학, 영업, 영화")</f>
        <v>수학, 영업, 영화</v>
      </c>
      <c r="F206" s="7" t="str">
        <f>IFERROR(__xludf.DUMMYFUNCTION("TEXTJOIN("", "", TRUE, SORTN(column_value!$B$2:$B$105, 3, 0, RANDARRAY(COUNTA(column_value!B:B), 1), 1))"),"애틋하게, 염세적으로, 기쁘게")</f>
        <v>애틋하게, 염세적으로, 기쁘게</v>
      </c>
      <c r="G206" s="7" t="str">
        <f>IFERROR(__xludf.DUMMYFUNCTION("TEXTJOIN("", "", TRUE, SORTN(column_value!$C$2:$C$105, 3, 0, RANDARRAY(COUNTA(column_value!C:C), 1), 1))"),"탐정, 애니메이터, 마케터")</f>
        <v>탐정, 애니메이터, 마케터</v>
      </c>
      <c r="H206" s="7" t="str">
        <f>IFERROR(__xludf.DUMMYFUNCTION("TEXTJOIN("", "", TRUE, SORTN(column_value!$D$2:$D$105, 3, 0, RANDARRAY(COUNTA(column_value!D:D), 1), 1))"),"모델, 사업가, 조종사")</f>
        <v>모델, 사업가, 조종사</v>
      </c>
      <c r="I206" s="7">
        <v>20.0</v>
      </c>
      <c r="J206" s="9" t="str">
        <f t="shared" si="2"/>
        <v>[조건]
- 문자 길이: 150-199 구간 내
- 턴 수: 10-14 구간 내
- 주제: 수학, 영업, 영화
- 톤: 애틋하게, 염세적으로, 기쁘게
- 화자A: 탐정, 애니메이터, 마케터
- 화자B: 모델, 사업가, 조종사
- 생성 대화수: 20</v>
      </c>
    </row>
    <row r="207">
      <c r="A207" s="7" t="str">
        <f t="shared" si="1"/>
        <v>T_206_len_150-199_turn_10-14_count_20</v>
      </c>
      <c r="B207" s="8" t="s">
        <v>269</v>
      </c>
      <c r="C207" s="7" t="s">
        <v>51</v>
      </c>
      <c r="D207" s="8" t="s">
        <v>52</v>
      </c>
      <c r="E207" s="7" t="str">
        <f>IFERROR(__xludf.DUMMYFUNCTION("TEXTJOIN("", "", TRUE, SORTN(column_value!$A$2:$A$105, 3, 0, RANDARRAY(COUNTA(column_value!A:A), 1), 1))"),"건설업, 화학, 낚시")</f>
        <v>건설업, 화학, 낚시</v>
      </c>
      <c r="F207" s="7" t="str">
        <f>IFERROR(__xludf.DUMMYFUNCTION("TEXTJOIN("", "", TRUE, SORTN(column_value!$B$2:$B$105, 3, 0, RANDARRAY(COUNTA(column_value!B:B), 1), 1))"),"자신감 있게, 비웃듯이, 격식없이")</f>
        <v>자신감 있게, 비웃듯이, 격식없이</v>
      </c>
      <c r="G207" s="7" t="str">
        <f>IFERROR(__xludf.DUMMYFUNCTION("TEXTJOIN("", "", TRUE, SORTN(column_value!$C$2:$C$105, 3, 0, RANDARRAY(COUNTA(column_value!C:C), 1), 1))"),"애니메이터, 라이벌, 공무원")</f>
        <v>애니메이터, 라이벌, 공무원</v>
      </c>
      <c r="H207" s="7" t="str">
        <f>IFERROR(__xludf.DUMMYFUNCTION("TEXTJOIN("", "", TRUE, SORTN(column_value!$D$2:$D$105, 3, 0, RANDARRAY(COUNTA(column_value!D:D), 1), 1))"),"응급구조사, 건축가, 집주인")</f>
        <v>응급구조사, 건축가, 집주인</v>
      </c>
      <c r="I207" s="7">
        <v>20.0</v>
      </c>
      <c r="J207" s="9" t="str">
        <f t="shared" si="2"/>
        <v>[조건]
- 문자 길이: 150-199 구간 내
- 턴 수: 10-14 구간 내
- 주제: 건설업, 화학, 낚시
- 톤: 자신감 있게, 비웃듯이, 격식없이
- 화자A: 애니메이터, 라이벌, 공무원
- 화자B: 응급구조사, 건축가, 집주인
- 생성 대화수: 20</v>
      </c>
    </row>
    <row r="208">
      <c r="A208" s="7" t="str">
        <f t="shared" si="1"/>
        <v>T_207_len_150-199_turn_10-14_count_20</v>
      </c>
      <c r="B208" s="8" t="s">
        <v>270</v>
      </c>
      <c r="C208" s="7" t="s">
        <v>51</v>
      </c>
      <c r="D208" s="8" t="s">
        <v>52</v>
      </c>
      <c r="E208" s="7" t="str">
        <f>IFERROR(__xludf.DUMMYFUNCTION("TEXTJOIN("", "", TRUE, SORTN(column_value!$A$2:$A$105, 3, 0, RANDARRAY(COUNTA(column_value!A:A), 1), 1))"),"건축, 패션, 이별")</f>
        <v>건축, 패션, 이별</v>
      </c>
      <c r="F208" s="7" t="str">
        <f>IFERROR(__xludf.DUMMYFUNCTION("TEXTJOIN("", "", TRUE, SORTN(column_value!$B$2:$B$105, 3, 0, RANDARRAY(COUNTA(column_value!B:B), 1), 1))"),"방어적으로, 위트있게, 우아하게")</f>
        <v>방어적으로, 위트있게, 우아하게</v>
      </c>
      <c r="G208" s="7" t="str">
        <f>IFERROR(__xludf.DUMMYFUNCTION("TEXTJOIN("", "", TRUE, SORTN(column_value!$C$2:$C$105, 3, 0, RANDARRAY(COUNTA(column_value!C:C), 1), 1))"),"신입사원, 교사, 대학생")</f>
        <v>신입사원, 교사, 대학생</v>
      </c>
      <c r="H208" s="7" t="str">
        <f>IFERROR(__xludf.DUMMYFUNCTION("TEXTJOIN("", "", TRUE, SORTN(column_value!$D$2:$D$105, 3, 0, RANDARRAY(COUNTA(column_value!D:D), 1), 1))"),"자녀, 시니어, 건축가")</f>
        <v>자녀, 시니어, 건축가</v>
      </c>
      <c r="I208" s="7">
        <v>20.0</v>
      </c>
      <c r="J208" s="9" t="str">
        <f t="shared" si="2"/>
        <v>[조건]
- 문자 길이: 150-199 구간 내
- 턴 수: 10-14 구간 내
- 주제: 건축, 패션, 이별
- 톤: 방어적으로, 위트있게, 우아하게
- 화자A: 신입사원, 교사, 대학생
- 화자B: 자녀, 시니어, 건축가
- 생성 대화수: 20</v>
      </c>
    </row>
    <row r="209">
      <c r="A209" s="7" t="str">
        <f t="shared" si="1"/>
        <v>T_208_len_150-199_turn_10-14_count_20</v>
      </c>
      <c r="B209" s="8" t="s">
        <v>271</v>
      </c>
      <c r="C209" s="7" t="s">
        <v>51</v>
      </c>
      <c r="D209" s="8" t="s">
        <v>52</v>
      </c>
      <c r="E209" s="7" t="str">
        <f>IFERROR(__xludf.DUMMYFUNCTION("TEXTJOIN("", "", TRUE, SORTN(column_value!$A$2:$A$105, 3, 0, RANDARRAY(COUNTA(column_value!A:A), 1), 1))"),"자동차, 건축, 미술")</f>
        <v>자동차, 건축, 미술</v>
      </c>
      <c r="F209" s="7" t="str">
        <f>IFERROR(__xludf.DUMMYFUNCTION("TEXTJOIN("", "", TRUE, SORTN(column_value!$B$2:$B$105, 3, 0, RANDARRAY(COUNTA(column_value!B:B), 1), 1))"),"부드럽게, 건조하게, 수동적으로")</f>
        <v>부드럽게, 건조하게, 수동적으로</v>
      </c>
      <c r="G209" s="7" t="str">
        <f>IFERROR(__xludf.DUMMYFUNCTION("TEXTJOIN("", "", TRUE, SORTN(column_value!$C$2:$C$105, 3, 0, RANDARRAY(COUNTA(column_value!C:C), 1), 1))"),"방송인, 성우, 배우")</f>
        <v>방송인, 성우, 배우</v>
      </c>
      <c r="H209" s="7" t="str">
        <f>IFERROR(__xludf.DUMMYFUNCTION("TEXTJOIN("", "", TRUE, SORTN(column_value!$D$2:$D$105, 3, 0, RANDARRAY(COUNTA(column_value!D:D), 1), 1))"),"자녀, 상담사, 연구원")</f>
        <v>자녀, 상담사, 연구원</v>
      </c>
      <c r="I209" s="7">
        <v>20.0</v>
      </c>
      <c r="J209" s="9" t="str">
        <f t="shared" si="2"/>
        <v>[조건]
- 문자 길이: 150-199 구간 내
- 턴 수: 10-14 구간 내
- 주제: 자동차, 건축, 미술
- 톤: 부드럽게, 건조하게, 수동적으로
- 화자A: 방송인, 성우, 배우
- 화자B: 자녀, 상담사, 연구원
- 생성 대화수: 20</v>
      </c>
    </row>
    <row r="210">
      <c r="A210" s="7" t="str">
        <f t="shared" si="1"/>
        <v>T_209_len_150-199_turn_10-14_count_6</v>
      </c>
      <c r="B210" s="8" t="s">
        <v>272</v>
      </c>
      <c r="C210" s="7" t="s">
        <v>51</v>
      </c>
      <c r="D210" s="8" t="s">
        <v>52</v>
      </c>
      <c r="E210" s="7" t="str">
        <f>IFERROR(__xludf.DUMMYFUNCTION("TEXTJOIN("", "", TRUE, SORTN(column_value!$A$2:$A$105, 3, 0, RANDARRAY(COUNTA(column_value!A:A), 1), 1))"),"해양, 맛집, 책")</f>
        <v>해양, 맛집, 책</v>
      </c>
      <c r="F210" s="7" t="str">
        <f>IFERROR(__xludf.DUMMYFUNCTION("TEXTJOIN("", "", TRUE, SORTN(column_value!$B$2:$B$105, 3, 0, RANDARRAY(COUNTA(column_value!B:B), 1), 1))"),"무뚝뚝하게, 현실적으로, 능청스럽게")</f>
        <v>무뚝뚝하게, 현실적으로, 능청스럽게</v>
      </c>
      <c r="G210" s="7" t="str">
        <f>IFERROR(__xludf.DUMMYFUNCTION("TEXTJOIN("", "", TRUE, SORTN(column_value!$C$2:$C$105, 3, 0, RANDARRAY(COUNTA(column_value!C:C), 1), 1))"),"인플루언서, 명상가, 요가 강사")</f>
        <v>인플루언서, 명상가, 요가 강사</v>
      </c>
      <c r="H210" s="7" t="str">
        <f>IFERROR(__xludf.DUMMYFUNCTION("TEXTJOIN("", "", TRUE, SORTN(column_value!$D$2:$D$105, 3, 0, RANDARRAY(COUNTA(column_value!D:D), 1), 1))"),"이웃, 손주, 동료")</f>
        <v>이웃, 손주, 동료</v>
      </c>
      <c r="I210" s="7">
        <v>6.0</v>
      </c>
      <c r="J210" s="9" t="str">
        <f t="shared" si="2"/>
        <v>[조건]
- 문자 길이: 150-199 구간 내
- 턴 수: 10-14 구간 내
- 주제: 해양, 맛집, 책
- 톤: 무뚝뚝하게, 현실적으로, 능청스럽게
- 화자A: 인플루언서, 명상가, 요가 강사
- 화자B: 이웃, 손주, 동료
- 생성 대화수: 6</v>
      </c>
    </row>
    <row r="211">
      <c r="A211" s="7" t="str">
        <f t="shared" si="1"/>
        <v>T_210_len_200-249_turn_15-19_count_20</v>
      </c>
      <c r="B211" s="8" t="s">
        <v>273</v>
      </c>
      <c r="C211" s="7" t="s">
        <v>58</v>
      </c>
      <c r="D211" s="8" t="s">
        <v>59</v>
      </c>
      <c r="E211" s="7" t="str">
        <f>IFERROR(__xludf.DUMMYFUNCTION("TEXTJOIN("", "", TRUE, SORTN(column_value!$A$2:$A$105, 3, 0, RANDARRAY(COUNTA(column_value!A:A), 1), 1))"),"사진, 스포츠, 개발")</f>
        <v>사진, 스포츠, 개발</v>
      </c>
      <c r="F211" s="7" t="str">
        <f>IFERROR(__xludf.DUMMYFUNCTION("TEXTJOIN("", "", TRUE, SORTN(column_value!$B$2:$B$105, 3, 0, RANDARRAY(COUNTA(column_value!B:B), 1), 1))"),"비웃듯이, 애교있게, 쾌활하게")</f>
        <v>비웃듯이, 애교있게, 쾌활하게</v>
      </c>
      <c r="G211" s="7" t="str">
        <f>IFERROR(__xludf.DUMMYFUNCTION("TEXTJOIN("", "", TRUE, SORTN(column_value!$C$2:$C$105, 3, 0, RANDARRAY(COUNTA(column_value!C:C), 1), 1))"),"방송인, 작가, 고객")</f>
        <v>방송인, 작가, 고객</v>
      </c>
      <c r="H211" s="7" t="str">
        <f>IFERROR(__xludf.DUMMYFUNCTION("TEXTJOIN("", "", TRUE, SORTN(column_value!$D$2:$D$105, 3, 0, RANDARRAY(COUNTA(column_value!D:D), 1), 1))"),"승무원, 소설 작가, 목사")</f>
        <v>승무원, 소설 작가, 목사</v>
      </c>
      <c r="I211" s="7">
        <v>20.0</v>
      </c>
      <c r="J211" s="9" t="str">
        <f t="shared" si="2"/>
        <v>[조건]
- 문자 길이: 200-249 구간 내
- 턴 수: 15-19 구간 내
- 주제: 사진, 스포츠, 개발
- 톤: 비웃듯이, 애교있게, 쾌활하게
- 화자A: 방송인, 작가, 고객
- 화자B: 승무원, 소설 작가, 목사
- 생성 대화수: 20</v>
      </c>
    </row>
    <row r="212">
      <c r="A212" s="7" t="str">
        <f t="shared" si="1"/>
        <v>T_211_len_200-249_turn_15-19_count_20</v>
      </c>
      <c r="B212" s="8" t="s">
        <v>274</v>
      </c>
      <c r="C212" s="7" t="s">
        <v>58</v>
      </c>
      <c r="D212" s="8" t="s">
        <v>59</v>
      </c>
      <c r="E212" s="7" t="str">
        <f>IFERROR(__xludf.DUMMYFUNCTION("TEXTJOIN("", "", TRUE, SORTN(column_value!$A$2:$A$105, 3, 0, RANDARRAY(COUNTA(column_value!A:A), 1), 1))"),"농업, 물리학, 물류")</f>
        <v>농업, 물리학, 물류</v>
      </c>
      <c r="F212" s="7" t="str">
        <f>IFERROR(__xludf.DUMMYFUNCTION("TEXTJOIN("", "", TRUE, SORTN(column_value!$B$2:$B$105, 3, 0, RANDARRAY(COUNTA(column_value!B:B), 1), 1))"),"너그럽게, 따뜻하게, 엄격하게")</f>
        <v>너그럽게, 따뜻하게, 엄격하게</v>
      </c>
      <c r="G212" s="7" t="str">
        <f>IFERROR(__xludf.DUMMYFUNCTION("TEXTJOIN("", "", TRUE, SORTN(column_value!$C$2:$C$105, 3, 0, RANDARRAY(COUNTA(column_value!C:C), 1), 1))"),"주부, 경찰관, 약사")</f>
        <v>주부, 경찰관, 약사</v>
      </c>
      <c r="H212" s="7" t="str">
        <f>IFERROR(__xludf.DUMMYFUNCTION("TEXTJOIN("", "", TRUE, SORTN(column_value!$D$2:$D$105, 3, 0, RANDARRAY(COUNTA(column_value!D:D), 1), 1))"),"교사, 응급구조사, 알바생")</f>
        <v>교사, 응급구조사, 알바생</v>
      </c>
      <c r="I212" s="7">
        <v>20.0</v>
      </c>
      <c r="J212" s="9" t="str">
        <f t="shared" si="2"/>
        <v>[조건]
- 문자 길이: 200-249 구간 내
- 턴 수: 15-19 구간 내
- 주제: 농업, 물리학, 물류
- 톤: 너그럽게, 따뜻하게, 엄격하게
- 화자A: 주부, 경찰관, 약사
- 화자B: 교사, 응급구조사, 알바생
- 생성 대화수: 20</v>
      </c>
    </row>
    <row r="213">
      <c r="A213" s="7" t="str">
        <f t="shared" si="1"/>
        <v>T_212_len_200-249_turn_15-19_count_20</v>
      </c>
      <c r="B213" s="8" t="s">
        <v>275</v>
      </c>
      <c r="C213" s="7" t="s">
        <v>58</v>
      </c>
      <c r="D213" s="8" t="s">
        <v>59</v>
      </c>
      <c r="E213" s="7" t="str">
        <f>IFERROR(__xludf.DUMMYFUNCTION("TEXTJOIN("", "", TRUE, SORTN(column_value!$A$2:$A$105, 3, 0, RANDARRAY(COUNTA(column_value!A:A), 1), 1))"),"제약, 음식, 싱글라이프")</f>
        <v>제약, 음식, 싱글라이프</v>
      </c>
      <c r="F213" s="7" t="str">
        <f>IFERROR(__xludf.DUMMYFUNCTION("TEXTJOIN("", "", TRUE, SORTN(column_value!$B$2:$B$105, 3, 0, RANDARRAY(COUNTA(column_value!B:B), 1), 1))"),"보수적으로, 순수하게, 오만하게")</f>
        <v>보수적으로, 순수하게, 오만하게</v>
      </c>
      <c r="G213" s="7" t="str">
        <f>IFERROR(__xludf.DUMMYFUNCTION("TEXTJOIN("", "", TRUE, SORTN(column_value!$C$2:$C$105, 3, 0, RANDARRAY(COUNTA(column_value!C:C), 1), 1))"),"주부, 의사, 방송인")</f>
        <v>주부, 의사, 방송인</v>
      </c>
      <c r="H213" s="7" t="str">
        <f>IFERROR(__xludf.DUMMYFUNCTION("TEXTJOIN("", "", TRUE, SORTN(column_value!$D$2:$D$105, 3, 0, RANDARRAY(COUNTA(column_value!D:D), 1), 1))"),"소방관, 바리스타, 요리사")</f>
        <v>소방관, 바리스타, 요리사</v>
      </c>
      <c r="I213" s="7">
        <v>20.0</v>
      </c>
      <c r="J213" s="9" t="str">
        <f t="shared" si="2"/>
        <v>[조건]
- 문자 길이: 200-249 구간 내
- 턴 수: 15-19 구간 내
- 주제: 제약, 음식, 싱글라이프
- 톤: 보수적으로, 순수하게, 오만하게
- 화자A: 주부, 의사, 방송인
- 화자B: 소방관, 바리스타, 요리사
- 생성 대화수: 20</v>
      </c>
    </row>
    <row r="214">
      <c r="A214" s="7" t="str">
        <f t="shared" si="1"/>
        <v>T_213_len_200-249_turn_15-19_count_9</v>
      </c>
      <c r="B214" s="8" t="s">
        <v>276</v>
      </c>
      <c r="C214" s="7" t="s">
        <v>58</v>
      </c>
      <c r="D214" s="8" t="s">
        <v>59</v>
      </c>
      <c r="E214" s="7" t="str">
        <f>IFERROR(__xludf.DUMMYFUNCTION("TEXTJOIN("", "", TRUE, SORTN(column_value!$A$2:$A$105, 3, 0, RANDARRAY(COUNTA(column_value!A:A), 1), 1))"),"가족, 패션, 역사")</f>
        <v>가족, 패션, 역사</v>
      </c>
      <c r="F214" s="7" t="str">
        <f>IFERROR(__xludf.DUMMYFUNCTION("TEXTJOIN("", "", TRUE, SORTN(column_value!$B$2:$B$105, 3, 0, RANDARRAY(COUNTA(column_value!B:B), 1), 1))"),"귀여워하며, 낭만적으로, 장난스럽게")</f>
        <v>귀여워하며, 낭만적으로, 장난스럽게</v>
      </c>
      <c r="G214" s="7" t="str">
        <f>IFERROR(__xludf.DUMMYFUNCTION("TEXTJOIN("", "", TRUE, SORTN(column_value!$C$2:$C$105, 3, 0, RANDARRAY(COUNTA(column_value!C:C), 1), 1))"),"승무원, 사진작가, 통역사")</f>
        <v>승무원, 사진작가, 통역사</v>
      </c>
      <c r="H214" s="7" t="str">
        <f>IFERROR(__xludf.DUMMYFUNCTION("TEXTJOIN("", "", TRUE, SORTN(column_value!$D$2:$D$105, 3, 0, RANDARRAY(COUNTA(column_value!D:D), 1), 1))"),"헬스 트레이너, 사업가, 교사")</f>
        <v>헬스 트레이너, 사업가, 교사</v>
      </c>
      <c r="I214" s="7">
        <v>9.0</v>
      </c>
      <c r="J214" s="9" t="str">
        <f t="shared" si="2"/>
        <v>[조건]
- 문자 길이: 200-249 구간 내
- 턴 수: 15-19 구간 내
- 주제: 가족, 패션, 역사
- 톤: 귀여워하며, 낭만적으로, 장난스럽게
- 화자A: 승무원, 사진작가, 통역사
- 화자B: 헬스 트레이너, 사업가, 교사
- 생성 대화수: 9</v>
      </c>
    </row>
    <row r="215">
      <c r="A215" s="7" t="str">
        <f t="shared" si="1"/>
        <v>T_214_len_250-299_turn_20-24_count_20</v>
      </c>
      <c r="B215" s="8" t="s">
        <v>277</v>
      </c>
      <c r="C215" s="7" t="s">
        <v>64</v>
      </c>
      <c r="D215" s="8" t="s">
        <v>65</v>
      </c>
      <c r="E215" s="7" t="str">
        <f>IFERROR(__xludf.DUMMYFUNCTION("TEXTJOIN("", "", TRUE, SORTN(column_value!$A$2:$A$105, 3, 0, RANDARRAY(COUNTA(column_value!A:A), 1), 1))"),"수학, 교통, 싱글라이프")</f>
        <v>수학, 교통, 싱글라이프</v>
      </c>
      <c r="F215" s="7" t="str">
        <f>IFERROR(__xludf.DUMMYFUNCTION("TEXTJOIN("", "", TRUE, SORTN(column_value!$B$2:$B$105, 3, 0, RANDARRAY(COUNTA(column_value!B:B), 1), 1))"),"사랑스럽게, 감탄하며, 낙관적으로")</f>
        <v>사랑스럽게, 감탄하며, 낙관적으로</v>
      </c>
      <c r="G215" s="7" t="str">
        <f>IFERROR(__xludf.DUMMYFUNCTION("TEXTJOIN("", "", TRUE, SORTN(column_value!$C$2:$C$105, 3, 0, RANDARRAY(COUNTA(column_value!C:C), 1), 1))"),"여행가, 라이벌, 사회복지사")</f>
        <v>여행가, 라이벌, 사회복지사</v>
      </c>
      <c r="H215" s="7" t="str">
        <f>IFERROR(__xludf.DUMMYFUNCTION("TEXTJOIN("", "", TRUE, SORTN(column_value!$D$2:$D$105, 3, 0, RANDARRAY(COUNTA(column_value!D:D), 1), 1))"),"군인, 동료, 방송인")</f>
        <v>군인, 동료, 방송인</v>
      </c>
      <c r="I215" s="7">
        <v>20.0</v>
      </c>
      <c r="J215" s="9" t="str">
        <f t="shared" si="2"/>
        <v>[조건]
- 문자 길이: 250-299 구간 내
- 턴 수: 20-24 구간 내
- 주제: 수학, 교통, 싱글라이프
- 톤: 사랑스럽게, 감탄하며, 낙관적으로
- 화자A: 여행가, 라이벌, 사회복지사
- 화자B: 군인, 동료, 방송인
- 생성 대화수: 20</v>
      </c>
    </row>
    <row r="216">
      <c r="A216" s="7" t="str">
        <f t="shared" si="1"/>
        <v>T_215_len_250-299_turn_20-24_count_18</v>
      </c>
      <c r="B216" s="8" t="s">
        <v>278</v>
      </c>
      <c r="C216" s="7" t="s">
        <v>64</v>
      </c>
      <c r="D216" s="8" t="s">
        <v>65</v>
      </c>
      <c r="E216" s="7" t="str">
        <f>IFERROR(__xludf.DUMMYFUNCTION("TEXTJOIN("", "", TRUE, SORTN(column_value!$A$2:$A$105, 3, 0, RANDARRAY(COUNTA(column_value!A:A), 1), 1))"),"연애, 봉사, 날씨")</f>
        <v>연애, 봉사, 날씨</v>
      </c>
      <c r="F216" s="7" t="str">
        <f>IFERROR(__xludf.DUMMYFUNCTION("TEXTJOIN("", "", TRUE, SORTN(column_value!$B$2:$B$105, 3, 0, RANDARRAY(COUNTA(column_value!B:B), 1), 1))"),"감성적으로, 단호하게, 애교있게")</f>
        <v>감성적으로, 단호하게, 애교있게</v>
      </c>
      <c r="G216" s="7" t="str">
        <f>IFERROR(__xludf.DUMMYFUNCTION("TEXTJOIN("", "", TRUE, SORTN(column_value!$C$2:$C$105, 3, 0, RANDARRAY(COUNTA(column_value!C:C), 1), 1))"),"트럭 기사, 유치원 교사, 가수")</f>
        <v>트럭 기사, 유치원 교사, 가수</v>
      </c>
      <c r="H216" s="7" t="str">
        <f>IFERROR(__xludf.DUMMYFUNCTION("TEXTJOIN("", "", TRUE, SORTN(column_value!$D$2:$D$105, 3, 0, RANDARRAY(COUNTA(column_value!D:D), 1), 1))"),"인턴, 주부, 바리스타")</f>
        <v>인턴, 주부, 바리스타</v>
      </c>
      <c r="I216" s="7">
        <v>18.0</v>
      </c>
      <c r="J216" s="9" t="str">
        <f t="shared" si="2"/>
        <v>[조건]
- 문자 길이: 250-299 구간 내
- 턴 수: 20-24 구간 내
- 주제: 연애, 봉사, 날씨
- 톤: 감성적으로, 단호하게, 애교있게
- 화자A: 트럭 기사, 유치원 교사, 가수
- 화자B: 인턴, 주부, 바리스타
- 생성 대화수: 18</v>
      </c>
    </row>
    <row r="217">
      <c r="A217" s="7" t="str">
        <f t="shared" si="1"/>
        <v>T_216_len_300-349_turn_25-29_count_20</v>
      </c>
      <c r="B217" s="8" t="s">
        <v>279</v>
      </c>
      <c r="C217" s="7" t="s">
        <v>68</v>
      </c>
      <c r="D217" s="8" t="s">
        <v>69</v>
      </c>
      <c r="E217" s="7" t="str">
        <f>IFERROR(__xludf.DUMMYFUNCTION("TEXTJOIN("", "", TRUE, SORTN(column_value!$A$2:$A$105, 3, 0, RANDARRAY(COUNTA(column_value!A:A), 1), 1))"),"음악, 영화, 여행")</f>
        <v>음악, 영화, 여행</v>
      </c>
      <c r="F217" s="7" t="str">
        <f>IFERROR(__xludf.DUMMYFUNCTION("TEXTJOIN("", "", TRUE, SORTN(column_value!$B$2:$B$105, 3, 0, RANDARRAY(COUNTA(column_value!B:B), 1), 1))"),"단호하게, 보수적으로, 감탄하며")</f>
        <v>단호하게, 보수적으로, 감탄하며</v>
      </c>
      <c r="G217" s="7" t="str">
        <f>IFERROR(__xludf.DUMMYFUNCTION("TEXTJOIN("", "", TRUE, SORTN(column_value!$C$2:$C$105, 3, 0, RANDARRAY(COUNTA(column_value!C:C), 1), 1))"),"소방관, 인턴, 기자")</f>
        <v>소방관, 인턴, 기자</v>
      </c>
      <c r="H217" s="7" t="str">
        <f>IFERROR(__xludf.DUMMYFUNCTION("TEXTJOIN("", "", TRUE, SORTN(column_value!$D$2:$D$105, 3, 0, RANDARRAY(COUNTA(column_value!D:D), 1), 1))"),"군인, 사진작가, 네일 아티스트")</f>
        <v>군인, 사진작가, 네일 아티스트</v>
      </c>
      <c r="I217" s="7">
        <v>20.0</v>
      </c>
      <c r="J217" s="9" t="str">
        <f t="shared" si="2"/>
        <v>[조건]
- 문자 길이: 300-349 구간 내
- 턴 수: 25-29 구간 내
- 주제: 음악, 영화, 여행
- 톤: 단호하게, 보수적으로, 감탄하며
- 화자A: 소방관, 인턴, 기자
- 화자B: 군인, 사진작가, 네일 아티스트
- 생성 대화수: 20</v>
      </c>
    </row>
    <row r="218">
      <c r="A218" s="7" t="str">
        <f t="shared" si="1"/>
        <v>T_217_len_350-399_turn_30-34_count_13</v>
      </c>
      <c r="B218" s="8" t="s">
        <v>280</v>
      </c>
      <c r="C218" s="7" t="s">
        <v>71</v>
      </c>
      <c r="D218" s="8" t="s">
        <v>72</v>
      </c>
      <c r="E218" s="7" t="str">
        <f>IFERROR(__xludf.DUMMYFUNCTION("TEXTJOIN("", "", TRUE, SORTN(column_value!$A$2:$A$105, 3, 0, RANDARRAY(COUNTA(column_value!A:A), 1), 1))"),"반려동물, 패션, 봉사활동")</f>
        <v>반려동물, 패션, 봉사활동</v>
      </c>
      <c r="F218" s="7" t="str">
        <f>IFERROR(__xludf.DUMMYFUNCTION("TEXTJOIN("", "", TRUE, SORTN(column_value!$B$2:$B$105, 3, 0, RANDARRAY(COUNTA(column_value!B:B), 1), 1))"),"시크하게, 너그럽게, 주도적으로")</f>
        <v>시크하게, 너그럽게, 주도적으로</v>
      </c>
      <c r="G218" s="7" t="str">
        <f>IFERROR(__xludf.DUMMYFUNCTION("TEXTJOIN("", "", TRUE, SORTN(column_value!$C$2:$C$105, 3, 0, RANDARRAY(COUNTA(column_value!C:C), 1), 1))"),"군대 후임, 점원, 소방관")</f>
        <v>군대 후임, 점원, 소방관</v>
      </c>
      <c r="H218" s="7" t="str">
        <f>IFERROR(__xludf.DUMMYFUNCTION("TEXTJOIN("", "", TRUE, SORTN(column_value!$D$2:$D$105, 3, 0, RANDARRAY(COUNTA(column_value!D:D), 1), 1))"),"주니어, 승무원, 이웃")</f>
        <v>주니어, 승무원, 이웃</v>
      </c>
      <c r="I218" s="7">
        <v>13.0</v>
      </c>
      <c r="J218" s="9" t="str">
        <f t="shared" si="2"/>
        <v>[조건]
- 문자 길이: 350-399 구간 내
- 턴 수: 30-34 구간 내
- 주제: 반려동물, 패션, 봉사활동
- 톤: 시크하게, 너그럽게, 주도적으로
- 화자A: 군대 후임, 점원, 소방관
- 화자B: 주니어, 승무원, 이웃
- 생성 대화수: 13</v>
      </c>
    </row>
    <row r="219">
      <c r="A219" s="7" t="str">
        <f t="shared" si="1"/>
        <v>T_218_len_400-449_turn_35-39_count_7</v>
      </c>
      <c r="B219" s="8" t="s">
        <v>281</v>
      </c>
      <c r="C219" s="7" t="s">
        <v>74</v>
      </c>
      <c r="D219" s="8" t="s">
        <v>75</v>
      </c>
      <c r="E219" s="7" t="str">
        <f>IFERROR(__xludf.DUMMYFUNCTION("TEXTJOIN("", "", TRUE, SORTN(column_value!$A$2:$A$105, 3, 0, RANDARRAY(COUNTA(column_value!A:A), 1), 1))"),"제약, 로봇, 피트니스")</f>
        <v>제약, 로봇, 피트니스</v>
      </c>
      <c r="F219" s="7" t="str">
        <f>IFERROR(__xludf.DUMMYFUNCTION("TEXTJOIN("", "", TRUE, SORTN(column_value!$B$2:$B$105, 3, 0, RANDARRAY(COUNTA(column_value!B:B), 1), 1))"),"묵묵하게, 깐깐하게, 감성적으로")</f>
        <v>묵묵하게, 깐깐하게, 감성적으로</v>
      </c>
      <c r="G219" s="7" t="str">
        <f>IFERROR(__xludf.DUMMYFUNCTION("TEXTJOIN("", "", TRUE, SORTN(column_value!$C$2:$C$105, 3, 0, RANDARRAY(COUNTA(column_value!C:C), 1), 1))"),"CEO, 조종사, 승무원")</f>
        <v>CEO, 조종사, 승무원</v>
      </c>
      <c r="H219" s="7" t="str">
        <f>IFERROR(__xludf.DUMMYFUNCTION("TEXTJOIN("", "", TRUE, SORTN(column_value!$D$2:$D$105, 3, 0, RANDARRAY(COUNTA(column_value!D:D), 1), 1))"),"인플루언서, 후배, 신입사원")</f>
        <v>인플루언서, 후배, 신입사원</v>
      </c>
      <c r="I219" s="7">
        <v>7.0</v>
      </c>
      <c r="J219" s="9" t="str">
        <f t="shared" si="2"/>
        <v>[조건]
- 문자 길이: 400-449 구간 내
- 턴 수: 35-39 구간 내
- 주제: 제약, 로봇, 피트니스
- 톤: 묵묵하게, 깐깐하게, 감성적으로
- 화자A: CEO, 조종사, 승무원
- 화자B: 인플루언서, 후배, 신입사원
- 생성 대화수: 7</v>
      </c>
    </row>
    <row r="220">
      <c r="A220" s="7" t="str">
        <f t="shared" si="1"/>
        <v>T_219_len_450-499_turn_40-44_count_5</v>
      </c>
      <c r="B220" s="8" t="s">
        <v>282</v>
      </c>
      <c r="C220" s="7" t="s">
        <v>77</v>
      </c>
      <c r="D220" s="8" t="s">
        <v>78</v>
      </c>
      <c r="E220" s="7" t="str">
        <f>IFERROR(__xludf.DUMMYFUNCTION("TEXTJOIN("", "", TRUE, SORTN(column_value!$A$2:$A$105, 3, 0, RANDARRAY(COUNTA(column_value!A:A), 1), 1))"),"경제, 마케팅, 보안")</f>
        <v>경제, 마케팅, 보안</v>
      </c>
      <c r="F220" s="7" t="str">
        <f>IFERROR(__xludf.DUMMYFUNCTION("TEXTJOIN("", "", TRUE, SORTN(column_value!$B$2:$B$105, 3, 0, RANDARRAY(COUNTA(column_value!B:B), 1), 1))"),"순수하게, 장난스럽게, 낙관적으로")</f>
        <v>순수하게, 장난스럽게, 낙관적으로</v>
      </c>
      <c r="G220" s="7" t="str">
        <f>IFERROR(__xludf.DUMMYFUNCTION("TEXTJOIN("", "", TRUE, SORTN(column_value!$C$2:$C$105, 3, 0, RANDARRAY(COUNTA(column_value!C:C), 1), 1))"),"은행원, 자녀, 간호사")</f>
        <v>은행원, 자녀, 간호사</v>
      </c>
      <c r="H220" s="7" t="str">
        <f>IFERROR(__xludf.DUMMYFUNCTION("TEXTJOIN("", "", TRUE, SORTN(column_value!$D$2:$D$105, 3, 0, RANDARRAY(COUNTA(column_value!D:D), 1), 1))"),"대학생, 만화가, 기자")</f>
        <v>대학생, 만화가, 기자</v>
      </c>
      <c r="I220" s="7">
        <v>5.0</v>
      </c>
      <c r="J220" s="9" t="str">
        <f t="shared" si="2"/>
        <v>[조건]
- 문자 길이: 450-499 구간 내
- 턴 수: 40-44 구간 내
- 주제: 경제, 마케팅, 보안
- 톤: 순수하게, 장난스럽게, 낙관적으로
- 화자A: 은행원, 자녀, 간호사
- 화자B: 대학생, 만화가, 기자
- 생성 대화수: 5</v>
      </c>
    </row>
    <row r="221">
      <c r="A221" s="7" t="str">
        <f t="shared" si="1"/>
        <v>T_220_len_500-549_turn_45-49_count_12</v>
      </c>
      <c r="B221" s="8" t="s">
        <v>283</v>
      </c>
      <c r="C221" s="7" t="s">
        <v>80</v>
      </c>
      <c r="D221" s="8" t="s">
        <v>81</v>
      </c>
      <c r="E221" s="7" t="str">
        <f>IFERROR(__xludf.DUMMYFUNCTION("TEXTJOIN("", "", TRUE, SORTN(column_value!$A$2:$A$105, 3, 0, RANDARRAY(COUNTA(column_value!A:A), 1), 1))"),"수산업, 건축, 해양")</f>
        <v>수산업, 건축, 해양</v>
      </c>
      <c r="F221" s="7" t="str">
        <f>IFERROR(__xludf.DUMMYFUNCTION("TEXTJOIN("", "", TRUE, SORTN(column_value!$B$2:$B$105, 3, 0, RANDARRAY(COUNTA(column_value!B:B), 1), 1))"),"우아하게, 따뜻하게, 격식없이")</f>
        <v>우아하게, 따뜻하게, 격식없이</v>
      </c>
      <c r="G221" s="7" t="str">
        <f>IFERROR(__xludf.DUMMYFUNCTION("TEXTJOIN("", "", TRUE, SORTN(column_value!$C$2:$C$105, 3, 0, RANDARRAY(COUNTA(column_value!C:C), 1), 1))"),"상담사, 필라테스 강사, 교수")</f>
        <v>상담사, 필라테스 강사, 교수</v>
      </c>
      <c r="H221" s="7" t="str">
        <f>IFERROR(__xludf.DUMMYFUNCTION("TEXTJOIN("", "", TRUE, SORTN(column_value!$D$2:$D$105, 3, 0, RANDARRAY(COUNTA(column_value!D:D), 1), 1))"),"의사, 마케터, 트럭 기사")</f>
        <v>의사, 마케터, 트럭 기사</v>
      </c>
      <c r="I221" s="7">
        <v>12.0</v>
      </c>
      <c r="J221" s="9" t="str">
        <f t="shared" si="2"/>
        <v>[조건]
- 문자 길이: 500-549 구간 내
- 턴 수: 45-49 구간 내
- 주제: 수산업, 건축, 해양
- 톤: 우아하게, 따뜻하게, 격식없이
- 화자A: 상담사, 필라테스 강사, 교수
- 화자B: 의사, 마케터, 트럭 기사
- 생성 대화수: 12</v>
      </c>
    </row>
    <row r="222">
      <c r="A222" s="7" t="str">
        <f t="shared" si="1"/>
        <v>T_221_len_50-99_turn_0-4_count_5</v>
      </c>
      <c r="B222" s="8" t="s">
        <v>284</v>
      </c>
      <c r="C222" s="7" t="s">
        <v>43</v>
      </c>
      <c r="D222" s="8" t="s">
        <v>44</v>
      </c>
      <c r="E222" s="7" t="str">
        <f>IFERROR(__xludf.DUMMYFUNCTION("TEXTJOIN("", "", TRUE, SORTN(column_value!$A$2:$A$105, 3, 0, RANDARRAY(COUNTA(column_value!A:A), 1), 1))"),"뉴스, 술, 항공")</f>
        <v>뉴스, 술, 항공</v>
      </c>
      <c r="F222" s="7" t="str">
        <f>IFERROR(__xludf.DUMMYFUNCTION("TEXTJOIN("", "", TRUE, SORTN(column_value!$B$2:$B$105, 3, 0, RANDARRAY(COUNTA(column_value!B:B), 1), 1))"),"따뜻하게, 박장대소하며, 정중하게")</f>
        <v>따뜻하게, 박장대소하며, 정중하게</v>
      </c>
      <c r="G222" s="7" t="str">
        <f>IFERROR(__xludf.DUMMYFUNCTION("TEXTJOIN("", "", TRUE, SORTN(column_value!$C$2:$C$105, 3, 0, RANDARRAY(COUNTA(column_value!C:C), 1), 1))"),"음악가, 선배, 사육사")</f>
        <v>음악가, 선배, 사육사</v>
      </c>
      <c r="H222" s="7" t="str">
        <f>IFERROR(__xludf.DUMMYFUNCTION("TEXTJOIN("", "", TRUE, SORTN(column_value!$D$2:$D$105, 3, 0, RANDARRAY(COUNTA(column_value!D:D), 1), 1))"),"개발자, 건축가, 사진작가")</f>
        <v>개발자, 건축가, 사진작가</v>
      </c>
      <c r="I222" s="7">
        <v>5.0</v>
      </c>
      <c r="J222" s="9" t="str">
        <f t="shared" si="2"/>
        <v>[조건]
- 문자 길이: 50-99 구간 내
- 턴 수: 0-4 구간 내
- 주제: 뉴스, 술, 항공
- 톤: 따뜻하게, 박장대소하며, 정중하게
- 화자A: 음악가, 선배, 사육사
- 화자B: 개발자, 건축가, 사진작가
- 생성 대화수: 5</v>
      </c>
    </row>
    <row r="223">
      <c r="A223" s="7" t="str">
        <f t="shared" si="1"/>
        <v>T_222_len_100-149_turn_5-9_count_20</v>
      </c>
      <c r="B223" s="8" t="s">
        <v>285</v>
      </c>
      <c r="C223" s="7" t="s">
        <v>46</v>
      </c>
      <c r="D223" s="8" t="s">
        <v>47</v>
      </c>
      <c r="E223" s="7" t="str">
        <f>IFERROR(__xludf.DUMMYFUNCTION("TEXTJOIN("", "", TRUE, SORTN(column_value!$A$2:$A$105, 3, 0, RANDARRAY(COUNTA(column_value!A:A), 1), 1))"),"세무, 교육, 금융")</f>
        <v>세무, 교육, 금융</v>
      </c>
      <c r="F223" s="7" t="str">
        <f>IFERROR(__xludf.DUMMYFUNCTION("TEXTJOIN("", "", TRUE, SORTN(column_value!$B$2:$B$105, 3, 0, RANDARRAY(COUNTA(column_value!B:B), 1), 1))"),"애틋하게, 거만하게, 다정하게")</f>
        <v>애틋하게, 거만하게, 다정하게</v>
      </c>
      <c r="G223" s="7" t="str">
        <f>IFERROR(__xludf.DUMMYFUNCTION("TEXTJOIN("", "", TRUE, SORTN(column_value!$C$2:$C$105, 3, 0, RANDARRAY(COUNTA(column_value!C:C), 1), 1))"),"목수, 팀장, 군대 선임")</f>
        <v>목수, 팀장, 군대 선임</v>
      </c>
      <c r="H223" s="7" t="str">
        <f>IFERROR(__xludf.DUMMYFUNCTION("TEXTJOIN("", "", TRUE, SORTN(column_value!$D$2:$D$105, 3, 0, RANDARRAY(COUNTA(column_value!D:D), 1), 1))"),"신혼부부, 사육사, 애니메이터")</f>
        <v>신혼부부, 사육사, 애니메이터</v>
      </c>
      <c r="I223" s="7">
        <v>20.0</v>
      </c>
      <c r="J223" s="9" t="str">
        <f t="shared" si="2"/>
        <v>[조건]
- 문자 길이: 100-149 구간 내
- 턴 수: 5-9 구간 내
- 주제: 세무, 교육, 금융
- 톤: 애틋하게, 거만하게, 다정하게
- 화자A: 목수, 팀장, 군대 선임
- 화자B: 신혼부부, 사육사, 애니메이터
- 생성 대화수: 20</v>
      </c>
    </row>
    <row r="224">
      <c r="A224" s="7" t="str">
        <f t="shared" si="1"/>
        <v>T_223_len_100-149_turn_5-9_count_20</v>
      </c>
      <c r="B224" s="8" t="s">
        <v>286</v>
      </c>
      <c r="C224" s="7" t="s">
        <v>46</v>
      </c>
      <c r="D224" s="8" t="s">
        <v>47</v>
      </c>
      <c r="E224" s="7" t="str">
        <f>IFERROR(__xludf.DUMMYFUNCTION("TEXTJOIN("", "", TRUE, SORTN(column_value!$A$2:$A$105, 3, 0, RANDARRAY(COUNTA(column_value!A:A), 1), 1))"),"스포츠, 화학, 빅데이터")</f>
        <v>스포츠, 화학, 빅데이터</v>
      </c>
      <c r="F224" s="7" t="str">
        <f>IFERROR(__xludf.DUMMYFUNCTION("TEXTJOIN("", "", TRUE, SORTN(column_value!$B$2:$B$105, 3, 0, RANDARRAY(COUNTA(column_value!B:B), 1), 1))"),"소심하게, 냉혹하게, 기대하며")</f>
        <v>소심하게, 냉혹하게, 기대하며</v>
      </c>
      <c r="G224" s="7" t="str">
        <f>IFERROR(__xludf.DUMMYFUNCTION("TEXTJOIN("", "", TRUE, SORTN(column_value!$C$2:$C$105, 3, 0, RANDARRAY(COUNTA(column_value!C:C), 1), 1))"),"방송인, 자녀, 디자이너")</f>
        <v>방송인, 자녀, 디자이너</v>
      </c>
      <c r="H224" s="7" t="str">
        <f>IFERROR(__xludf.DUMMYFUNCTION("TEXTJOIN("", "", TRUE, SORTN(column_value!$D$2:$D$105, 3, 0, RANDARRAY(COUNTA(column_value!D:D), 1), 1))"),"목수, 사육사, 교사")</f>
        <v>목수, 사육사, 교사</v>
      </c>
      <c r="I224" s="7">
        <v>20.0</v>
      </c>
      <c r="J224" s="9" t="str">
        <f t="shared" si="2"/>
        <v>[조건]
- 문자 길이: 100-149 구간 내
- 턴 수: 5-9 구간 내
- 주제: 스포츠, 화학, 빅데이터
- 톤: 소심하게, 냉혹하게, 기대하며
- 화자A: 방송인, 자녀, 디자이너
- 화자B: 목수, 사육사, 교사
- 생성 대화수: 20</v>
      </c>
    </row>
    <row r="225">
      <c r="A225" s="7" t="str">
        <f t="shared" si="1"/>
        <v>T_224_len_100-149_turn_5-9_count_5</v>
      </c>
      <c r="B225" s="8" t="s">
        <v>287</v>
      </c>
      <c r="C225" s="7" t="s">
        <v>46</v>
      </c>
      <c r="D225" s="8" t="s">
        <v>47</v>
      </c>
      <c r="E225" s="7" t="str">
        <f>IFERROR(__xludf.DUMMYFUNCTION("TEXTJOIN("", "", TRUE, SORTN(column_value!$A$2:$A$105, 3, 0, RANDARRAY(COUNTA(column_value!A:A), 1), 1))"),"건강, 과학, 운동")</f>
        <v>건강, 과학, 운동</v>
      </c>
      <c r="F225" s="7" t="str">
        <f>IFERROR(__xludf.DUMMYFUNCTION("TEXTJOIN("", "", TRUE, SORTN(column_value!$B$2:$B$105, 3, 0, RANDARRAY(COUNTA(column_value!B:B), 1), 1))"),"격앙되게, 불안하게, 화나게")</f>
        <v>격앙되게, 불안하게, 화나게</v>
      </c>
      <c r="G225" s="7" t="str">
        <f>IFERROR(__xludf.DUMMYFUNCTION("TEXTJOIN("", "", TRUE, SORTN(column_value!$C$2:$C$105, 3, 0, RANDARRAY(COUNTA(column_value!C:C), 1), 1))"),"운동선수, 건축가, 유튜버")</f>
        <v>운동선수, 건축가, 유튜버</v>
      </c>
      <c r="H225" s="7" t="str">
        <f>IFERROR(__xludf.DUMMYFUNCTION("TEXTJOIN("", "", TRUE, SORTN(column_value!$D$2:$D$105, 3, 0, RANDARRAY(COUNTA(column_value!D:D), 1), 1))"),"알바생, 네일 아티스트, 헬스 트레이너")</f>
        <v>알바생, 네일 아티스트, 헬스 트레이너</v>
      </c>
      <c r="I225" s="7">
        <v>5.0</v>
      </c>
      <c r="J225" s="9" t="str">
        <f t="shared" si="2"/>
        <v>[조건]
- 문자 길이: 100-149 구간 내
- 턴 수: 5-9 구간 내
- 주제: 건강, 과학, 운동
- 톤: 격앙되게, 불안하게, 화나게
- 화자A: 운동선수, 건축가, 유튜버
- 화자B: 알바생, 네일 아티스트, 헬스 트레이너
- 생성 대화수: 5</v>
      </c>
    </row>
    <row r="226">
      <c r="A226" s="7" t="str">
        <f t="shared" si="1"/>
        <v>T_225_len_150-199_turn_10-14_count_20</v>
      </c>
      <c r="B226" s="8" t="s">
        <v>288</v>
      </c>
      <c r="C226" s="7" t="s">
        <v>51</v>
      </c>
      <c r="D226" s="8" t="s">
        <v>52</v>
      </c>
      <c r="E226" s="7" t="str">
        <f>IFERROR(__xludf.DUMMYFUNCTION("TEXTJOIN("", "", TRUE, SORTN(column_value!$A$2:$A$105, 3, 0, RANDARRAY(COUNTA(column_value!A:A), 1), 1))"),"e스포츠, 해양, 의료")</f>
        <v>e스포츠, 해양, 의료</v>
      </c>
      <c r="F226" s="7" t="str">
        <f>IFERROR(__xludf.DUMMYFUNCTION("TEXTJOIN("", "", TRUE, SORTN(column_value!$B$2:$B$105, 3, 0, RANDARRAY(COUNTA(column_value!B:B), 1), 1))"),"궁금해하며, 긍정적으로, 사납게")</f>
        <v>궁금해하며, 긍정적으로, 사납게</v>
      </c>
      <c r="G226" s="7" t="str">
        <f>IFERROR(__xludf.DUMMYFUNCTION("TEXTJOIN("", "", TRUE, SORTN(column_value!$C$2:$C$105, 3, 0, RANDARRAY(COUNTA(column_value!C:C), 1), 1))"),"집주인, 소믈리에, 신부")</f>
        <v>집주인, 소믈리에, 신부</v>
      </c>
      <c r="H226" s="7" t="str">
        <f>IFERROR(__xludf.DUMMYFUNCTION("TEXTJOIN("", "", TRUE, SORTN(column_value!$D$2:$D$105, 3, 0, RANDARRAY(COUNTA(column_value!D:D), 1), 1))"),"가이드, 약사, 멘티")</f>
        <v>가이드, 약사, 멘티</v>
      </c>
      <c r="I226" s="7">
        <v>20.0</v>
      </c>
      <c r="J226" s="9" t="str">
        <f t="shared" si="2"/>
        <v>[조건]
- 문자 길이: 150-199 구간 내
- 턴 수: 10-14 구간 내
- 주제: e스포츠, 해양, 의료
- 톤: 궁금해하며, 긍정적으로, 사납게
- 화자A: 집주인, 소믈리에, 신부
- 화자B: 가이드, 약사, 멘티
- 생성 대화수: 20</v>
      </c>
    </row>
    <row r="227">
      <c r="A227" s="7" t="str">
        <f t="shared" si="1"/>
        <v>T_226_len_150-199_turn_10-14_count_20</v>
      </c>
      <c r="B227" s="8" t="s">
        <v>289</v>
      </c>
      <c r="C227" s="7" t="s">
        <v>51</v>
      </c>
      <c r="D227" s="8" t="s">
        <v>52</v>
      </c>
      <c r="E227" s="7" t="str">
        <f>IFERROR(__xludf.DUMMYFUNCTION("TEXTJOIN("", "", TRUE, SORTN(column_value!$A$2:$A$105, 3, 0, RANDARRAY(COUNTA(column_value!A:A), 1), 1))"),"투자, 프로그래밍, 영화")</f>
        <v>투자, 프로그래밍, 영화</v>
      </c>
      <c r="F227" s="7" t="str">
        <f>IFERROR(__xludf.DUMMYFUNCTION("TEXTJOIN("", "", TRUE, SORTN(column_value!$B$2:$B$105, 3, 0, RANDARRAY(COUNTA(column_value!B:B), 1), 1))"),"경쾌하게, 상냥하게, 너그럽게")</f>
        <v>경쾌하게, 상냥하게, 너그럽게</v>
      </c>
      <c r="G227" s="7" t="str">
        <f>IFERROR(__xludf.DUMMYFUNCTION("TEXTJOIN("", "", TRUE, SORTN(column_value!$C$2:$C$105, 3, 0, RANDARRAY(COUNTA(column_value!C:C), 1), 1))"),"만화가, 유튜버, 멘티")</f>
        <v>만화가, 유튜버, 멘티</v>
      </c>
      <c r="H227" s="7" t="str">
        <f>IFERROR(__xludf.DUMMYFUNCTION("TEXTJOIN("", "", TRUE, SORTN(column_value!$D$2:$D$105, 3, 0, RANDARRAY(COUNTA(column_value!D:D), 1), 1))"),"조종사, 시니어, 농부")</f>
        <v>조종사, 시니어, 농부</v>
      </c>
      <c r="I227" s="7">
        <v>20.0</v>
      </c>
      <c r="J227" s="9" t="str">
        <f t="shared" si="2"/>
        <v>[조건]
- 문자 길이: 150-199 구간 내
- 턴 수: 10-14 구간 내
- 주제: 투자, 프로그래밍, 영화
- 톤: 경쾌하게, 상냥하게, 너그럽게
- 화자A: 만화가, 유튜버, 멘티
- 화자B: 조종사, 시니어, 농부
- 생성 대화수: 20</v>
      </c>
    </row>
    <row r="228">
      <c r="A228" s="7" t="str">
        <f t="shared" si="1"/>
        <v>T_227_len_150-199_turn_10-14_count_20</v>
      </c>
      <c r="B228" s="8" t="s">
        <v>290</v>
      </c>
      <c r="C228" s="7" t="s">
        <v>51</v>
      </c>
      <c r="D228" s="8" t="s">
        <v>52</v>
      </c>
      <c r="E228" s="7" t="str">
        <f>IFERROR(__xludf.DUMMYFUNCTION("TEXTJOIN("", "", TRUE, SORTN(column_value!$A$2:$A$105, 3, 0, RANDARRAY(COUNTA(column_value!A:A), 1), 1))"),"정치, 교육, 연예")</f>
        <v>정치, 교육, 연예</v>
      </c>
      <c r="F228" s="7" t="str">
        <f>IFERROR(__xludf.DUMMYFUNCTION("TEXTJOIN("", "", TRUE, SORTN(column_value!$B$2:$B$105, 3, 0, RANDARRAY(COUNTA(column_value!B:B), 1), 1))"),"주도적으로, 편협하게, 안타깝게")</f>
        <v>주도적으로, 편협하게, 안타깝게</v>
      </c>
      <c r="G228" s="7" t="str">
        <f>IFERROR(__xludf.DUMMYFUNCTION("TEXTJOIN("", "", TRUE, SORTN(column_value!$C$2:$C$105, 3, 0, RANDARRAY(COUNTA(column_value!C:C), 1), 1))"),"손주, 엔지니어, 요리사")</f>
        <v>손주, 엔지니어, 요리사</v>
      </c>
      <c r="H228" s="7" t="str">
        <f>IFERROR(__xludf.DUMMYFUNCTION("TEXTJOIN("", "", TRUE, SORTN(column_value!$D$2:$D$105, 3, 0, RANDARRAY(COUNTA(column_value!D:D), 1), 1))"),"정치인, 소방관, 군대 후임")</f>
        <v>정치인, 소방관, 군대 후임</v>
      </c>
      <c r="I228" s="7">
        <v>20.0</v>
      </c>
      <c r="J228" s="9" t="str">
        <f t="shared" si="2"/>
        <v>[조건]
- 문자 길이: 150-199 구간 내
- 턴 수: 10-14 구간 내
- 주제: 정치, 교육, 연예
- 톤: 주도적으로, 편협하게, 안타깝게
- 화자A: 손주, 엔지니어, 요리사
- 화자B: 정치인, 소방관, 군대 후임
- 생성 대화수: 20</v>
      </c>
    </row>
    <row r="229">
      <c r="A229" s="7" t="str">
        <f t="shared" si="1"/>
        <v>T_228_len_150-199_turn_10-14_count_20</v>
      </c>
      <c r="B229" s="8" t="s">
        <v>291</v>
      </c>
      <c r="C229" s="7" t="s">
        <v>51</v>
      </c>
      <c r="D229" s="8" t="s">
        <v>52</v>
      </c>
      <c r="E229" s="7" t="str">
        <f>IFERROR(__xludf.DUMMYFUNCTION("TEXTJOIN("", "", TRUE, SORTN(column_value!$A$2:$A$105, 3, 0, RANDARRAY(COUNTA(column_value!A:A), 1), 1))"),"음식, 영업, 피트니스")</f>
        <v>음식, 영업, 피트니스</v>
      </c>
      <c r="F229" s="7" t="str">
        <f>IFERROR(__xludf.DUMMYFUNCTION("TEXTJOIN("", "", TRUE, SORTN(column_value!$B$2:$B$105, 3, 0, RANDARRAY(COUNTA(column_value!B:B), 1), 1))"),"능청스럽게, 궁금해하며, 조롱하며")</f>
        <v>능청스럽게, 궁금해하며, 조롱하며</v>
      </c>
      <c r="G229" s="7" t="str">
        <f>IFERROR(__xludf.DUMMYFUNCTION("TEXTJOIN("", "", TRUE, SORTN(column_value!$C$2:$C$105, 3, 0, RANDARRAY(COUNTA(column_value!C:C), 1), 1))"),"자녀, 군대 선임, 승무원")</f>
        <v>자녀, 군대 선임, 승무원</v>
      </c>
      <c r="H229" s="7" t="str">
        <f>IFERROR(__xludf.DUMMYFUNCTION("TEXTJOIN("", "", TRUE, SORTN(column_value!$D$2:$D$105, 3, 0, RANDARRAY(COUNTA(column_value!D:D), 1), 1))"),"고객, 엔지니어, 만화가")</f>
        <v>고객, 엔지니어, 만화가</v>
      </c>
      <c r="I229" s="7">
        <v>20.0</v>
      </c>
      <c r="J229" s="9" t="str">
        <f t="shared" si="2"/>
        <v>[조건]
- 문자 길이: 150-199 구간 내
- 턴 수: 10-14 구간 내
- 주제: 음식, 영업, 피트니스
- 톤: 능청스럽게, 궁금해하며, 조롱하며
- 화자A: 자녀, 군대 선임, 승무원
- 화자B: 고객, 엔지니어, 만화가
- 생성 대화수: 20</v>
      </c>
    </row>
    <row r="230">
      <c r="A230" s="7" t="str">
        <f t="shared" si="1"/>
        <v>T_229_len_150-199_turn_10-14_count_6</v>
      </c>
      <c r="B230" s="8" t="s">
        <v>292</v>
      </c>
      <c r="C230" s="7" t="s">
        <v>51</v>
      </c>
      <c r="D230" s="8" t="s">
        <v>52</v>
      </c>
      <c r="E230" s="7" t="str">
        <f>IFERROR(__xludf.DUMMYFUNCTION("TEXTJOIN("", "", TRUE, SORTN(column_value!$A$2:$A$105, 3, 0, RANDARRAY(COUNTA(column_value!A:A), 1), 1))"),"자동차, 사진, 술")</f>
        <v>자동차, 사진, 술</v>
      </c>
      <c r="F230" s="7" t="str">
        <f>IFERROR(__xludf.DUMMYFUNCTION("TEXTJOIN("", "", TRUE, SORTN(column_value!$B$2:$B$105, 3, 0, RANDARRAY(COUNTA(column_value!B:B), 1), 1))"),"귀여워하며, 황당해하며, 겸허하게")</f>
        <v>귀여워하며, 황당해하며, 겸허하게</v>
      </c>
      <c r="G230" s="7" t="str">
        <f>IFERROR(__xludf.DUMMYFUNCTION("TEXTJOIN("", "", TRUE, SORTN(column_value!$C$2:$C$105, 3, 0, RANDARRAY(COUNTA(column_value!C:C), 1), 1))"),"어부, 유치원 교사, 바리스타")</f>
        <v>어부, 유치원 교사, 바리스타</v>
      </c>
      <c r="H230" s="7" t="str">
        <f>IFERROR(__xludf.DUMMYFUNCTION("TEXTJOIN("", "", TRUE, SORTN(column_value!$D$2:$D$105, 3, 0, RANDARRAY(COUNTA(column_value!D:D), 1), 1))"),"교사, 방송인, 소믈리에")</f>
        <v>교사, 방송인, 소믈리에</v>
      </c>
      <c r="I230" s="7">
        <v>6.0</v>
      </c>
      <c r="J230" s="9" t="str">
        <f t="shared" si="2"/>
        <v>[조건]
- 문자 길이: 150-199 구간 내
- 턴 수: 10-14 구간 내
- 주제: 자동차, 사진, 술
- 톤: 귀여워하며, 황당해하며, 겸허하게
- 화자A: 어부, 유치원 교사, 바리스타
- 화자B: 교사, 방송인, 소믈리에
- 생성 대화수: 6</v>
      </c>
    </row>
    <row r="231">
      <c r="A231" s="7" t="str">
        <f t="shared" si="1"/>
        <v>T_230_len_200-249_turn_15-19_count_20</v>
      </c>
      <c r="B231" s="8" t="s">
        <v>293</v>
      </c>
      <c r="C231" s="7" t="s">
        <v>58</v>
      </c>
      <c r="D231" s="8" t="s">
        <v>59</v>
      </c>
      <c r="E231" s="7" t="str">
        <f>IFERROR(__xludf.DUMMYFUNCTION("TEXTJOIN("", "", TRUE, SORTN(column_value!$A$2:$A$105, 3, 0, RANDARRAY(COUNTA(column_value!A:A), 1), 1))"),"육아, 제조업, 개발")</f>
        <v>육아, 제조업, 개발</v>
      </c>
      <c r="F231" s="7" t="str">
        <f>IFERROR(__xludf.DUMMYFUNCTION("TEXTJOIN("", "", TRUE, SORTN(column_value!$B$2:$B$105, 3, 0, RANDARRAY(COUNTA(column_value!B:B), 1), 1))"),"사납게, 조롱하며, 냉담하게")</f>
        <v>사납게, 조롱하며, 냉담하게</v>
      </c>
      <c r="G231" s="7" t="str">
        <f>IFERROR(__xludf.DUMMYFUNCTION("TEXTJOIN("", "", TRUE, SORTN(column_value!$C$2:$C$105, 3, 0, RANDARRAY(COUNTA(column_value!C:C), 1), 1))"),"사업가, 고객, 신혼부부")</f>
        <v>사업가, 고객, 신혼부부</v>
      </c>
      <c r="H231" s="7" t="str">
        <f>IFERROR(__xludf.DUMMYFUNCTION("TEXTJOIN("", "", TRUE, SORTN(column_value!$D$2:$D$105, 3, 0, RANDARRAY(COUNTA(column_value!D:D), 1), 1))"),"교수, 요리사, 멘티")</f>
        <v>교수, 요리사, 멘티</v>
      </c>
      <c r="I231" s="7">
        <v>20.0</v>
      </c>
      <c r="J231" s="9" t="str">
        <f t="shared" si="2"/>
        <v>[조건]
- 문자 길이: 200-249 구간 내
- 턴 수: 15-19 구간 내
- 주제: 육아, 제조업, 개발
- 톤: 사납게, 조롱하며, 냉담하게
- 화자A: 사업가, 고객, 신혼부부
- 화자B: 교수, 요리사, 멘티
- 생성 대화수: 20</v>
      </c>
    </row>
    <row r="232">
      <c r="A232" s="7" t="str">
        <f t="shared" si="1"/>
        <v>T_231_len_200-249_turn_15-19_count_20</v>
      </c>
      <c r="B232" s="8" t="s">
        <v>294</v>
      </c>
      <c r="C232" s="7" t="s">
        <v>58</v>
      </c>
      <c r="D232" s="8" t="s">
        <v>59</v>
      </c>
      <c r="E232" s="7" t="str">
        <f>IFERROR(__xludf.DUMMYFUNCTION("TEXTJOIN("", "", TRUE, SORTN(column_value!$A$2:$A$105, 3, 0, RANDARRAY(COUNTA(column_value!A:A), 1), 1))"),"미술, 유통, 화학")</f>
        <v>미술, 유통, 화학</v>
      </c>
      <c r="F232" s="7" t="str">
        <f>IFERROR(__xludf.DUMMYFUNCTION("TEXTJOIN("", "", TRUE, SORTN(column_value!$B$2:$B$105, 3, 0, RANDARRAY(COUNTA(column_value!B:B), 1), 1))"),"진취적으로, 기쁘게, 담담하게")</f>
        <v>진취적으로, 기쁘게, 담담하게</v>
      </c>
      <c r="G232" s="7" t="str">
        <f>IFERROR(__xludf.DUMMYFUNCTION("TEXTJOIN("", "", TRUE, SORTN(column_value!$C$2:$C$105, 3, 0, RANDARRAY(COUNTA(column_value!C:C), 1), 1))"),"통역사, 주니어, 연구원")</f>
        <v>통역사, 주니어, 연구원</v>
      </c>
      <c r="H232" s="7" t="str">
        <f>IFERROR(__xludf.DUMMYFUNCTION("TEXTJOIN("", "", TRUE, SORTN(column_value!$D$2:$D$105, 3, 0, RANDARRAY(COUNTA(column_value!D:D), 1), 1))"),"프리랜서, 후배, 농부")</f>
        <v>프리랜서, 후배, 농부</v>
      </c>
      <c r="I232" s="7">
        <v>20.0</v>
      </c>
      <c r="J232" s="9" t="str">
        <f t="shared" si="2"/>
        <v>[조건]
- 문자 길이: 200-249 구간 내
- 턴 수: 15-19 구간 내
- 주제: 미술, 유통, 화학
- 톤: 진취적으로, 기쁘게, 담담하게
- 화자A: 통역사, 주니어, 연구원
- 화자B: 프리랜서, 후배, 농부
- 생성 대화수: 20</v>
      </c>
    </row>
    <row r="233">
      <c r="A233" s="7" t="str">
        <f t="shared" si="1"/>
        <v>T_232_len_200-249_turn_15-19_count_20</v>
      </c>
      <c r="B233" s="8" t="s">
        <v>295</v>
      </c>
      <c r="C233" s="7" t="s">
        <v>58</v>
      </c>
      <c r="D233" s="8" t="s">
        <v>59</v>
      </c>
      <c r="E233" s="7" t="str">
        <f>IFERROR(__xludf.DUMMYFUNCTION("TEXTJOIN("", "", TRUE, SORTN(column_value!$A$2:$A$105, 3, 0, RANDARRAY(COUNTA(column_value!A:A), 1), 1))"),"봉사, 의료, 다이어트")</f>
        <v>봉사, 의료, 다이어트</v>
      </c>
      <c r="F233" s="7" t="str">
        <f>IFERROR(__xludf.DUMMYFUNCTION("TEXTJOIN("", "", TRUE, SORTN(column_value!$B$2:$B$105, 3, 0, RANDARRAY(COUNTA(column_value!B:B), 1), 1))"),"상냥하게, 자신감 있게, 단호하게")</f>
        <v>상냥하게, 자신감 있게, 단호하게</v>
      </c>
      <c r="G233" s="7" t="str">
        <f>IFERROR(__xludf.DUMMYFUNCTION("TEXTJOIN("", "", TRUE, SORTN(column_value!$C$2:$C$105, 3, 0, RANDARRAY(COUNTA(column_value!C:C), 1), 1))"),"목수, 예술가, 자영업자")</f>
        <v>목수, 예술가, 자영업자</v>
      </c>
      <c r="H233" s="7" t="str">
        <f>IFERROR(__xludf.DUMMYFUNCTION("TEXTJOIN("", "", TRUE, SORTN(column_value!$D$2:$D$105, 3, 0, RANDARRAY(COUNTA(column_value!D:D), 1), 1))"),"인플루언서, 마케터, 라이벌")</f>
        <v>인플루언서, 마케터, 라이벌</v>
      </c>
      <c r="I233" s="7">
        <v>20.0</v>
      </c>
      <c r="J233" s="9" t="str">
        <f t="shared" si="2"/>
        <v>[조건]
- 문자 길이: 200-249 구간 내
- 턴 수: 15-19 구간 내
- 주제: 봉사, 의료, 다이어트
- 톤: 상냥하게, 자신감 있게, 단호하게
- 화자A: 목수, 예술가, 자영업자
- 화자B: 인플루언서, 마케터, 라이벌
- 생성 대화수: 20</v>
      </c>
    </row>
    <row r="234">
      <c r="A234" s="7" t="str">
        <f t="shared" si="1"/>
        <v>T_233_len_200-249_turn_15-19_count_9</v>
      </c>
      <c r="B234" s="8" t="s">
        <v>296</v>
      </c>
      <c r="C234" s="7" t="s">
        <v>58</v>
      </c>
      <c r="D234" s="8" t="s">
        <v>59</v>
      </c>
      <c r="E234" s="7" t="str">
        <f>IFERROR(__xludf.DUMMYFUNCTION("TEXTJOIN("", "", TRUE, SORTN(column_value!$A$2:$A$105, 3, 0, RANDARRAY(COUNTA(column_value!A:A), 1), 1))"),"영업, 유통, 날씨")</f>
        <v>영업, 유통, 날씨</v>
      </c>
      <c r="F234" s="7" t="str">
        <f>IFERROR(__xludf.DUMMYFUNCTION("TEXTJOIN("", "", TRUE, SORTN(column_value!$B$2:$B$105, 3, 0, RANDARRAY(COUNTA(column_value!B:B), 1), 1))"),"장난스럽게, 공손하게, 사랑스럽게")</f>
        <v>장난스럽게, 공손하게, 사랑스럽게</v>
      </c>
      <c r="G234" s="7" t="str">
        <f>IFERROR(__xludf.DUMMYFUNCTION("TEXTJOIN("", "", TRUE, SORTN(column_value!$C$2:$C$105, 3, 0, RANDARRAY(COUNTA(column_value!C:C), 1), 1))"),"디자이너, 신혼부부, 라이벌")</f>
        <v>디자이너, 신혼부부, 라이벌</v>
      </c>
      <c r="H234" s="7" t="str">
        <f>IFERROR(__xludf.DUMMYFUNCTION("TEXTJOIN("", "", TRUE, SORTN(column_value!$D$2:$D$105, 3, 0, RANDARRAY(COUNTA(column_value!D:D), 1), 1))"),"시니어, 미용사, 프리랜서")</f>
        <v>시니어, 미용사, 프리랜서</v>
      </c>
      <c r="I234" s="7">
        <v>9.0</v>
      </c>
      <c r="J234" s="9" t="str">
        <f t="shared" si="2"/>
        <v>[조건]
- 문자 길이: 200-249 구간 내
- 턴 수: 15-19 구간 내
- 주제: 영업, 유통, 날씨
- 톤: 장난스럽게, 공손하게, 사랑스럽게
- 화자A: 디자이너, 신혼부부, 라이벌
- 화자B: 시니어, 미용사, 프리랜서
- 생성 대화수: 9</v>
      </c>
    </row>
    <row r="235">
      <c r="A235" s="7" t="str">
        <f t="shared" si="1"/>
        <v>T_234_len_250-299_turn_20-24_count_20</v>
      </c>
      <c r="B235" s="8" t="s">
        <v>297</v>
      </c>
      <c r="C235" s="7" t="s">
        <v>64</v>
      </c>
      <c r="D235" s="8" t="s">
        <v>65</v>
      </c>
      <c r="E235" s="7" t="str">
        <f>IFERROR(__xludf.DUMMYFUNCTION("TEXTJOIN("", "", TRUE, SORTN(column_value!$A$2:$A$105, 3, 0, RANDARRAY(COUNTA(column_value!A:A), 1), 1))"),"재테크, 게임, 피아노")</f>
        <v>재테크, 게임, 피아노</v>
      </c>
      <c r="F235" s="7" t="str">
        <f>IFERROR(__xludf.DUMMYFUNCTION("TEXTJOIN("", "", TRUE, SORTN(column_value!$B$2:$B$105, 3, 0, RANDARRAY(COUNTA(column_value!B:B), 1), 1))"),"덤덤하게, 장난스럽게, 능청스럽게")</f>
        <v>덤덤하게, 장난스럽게, 능청스럽게</v>
      </c>
      <c r="G235" s="7" t="str">
        <f>IFERROR(__xludf.DUMMYFUNCTION("TEXTJOIN("", "", TRUE, SORTN(column_value!$C$2:$C$105, 3, 0, RANDARRAY(COUNTA(column_value!C:C), 1), 1))"),"의사, 어부, 통역사")</f>
        <v>의사, 어부, 통역사</v>
      </c>
      <c r="H235" s="7" t="str">
        <f>IFERROR(__xludf.DUMMYFUNCTION("TEXTJOIN("", "", TRUE, SORTN(column_value!$D$2:$D$105, 3, 0, RANDARRAY(COUNTA(column_value!D:D), 1), 1))"),"선배, 사회복지사, 미용사")</f>
        <v>선배, 사회복지사, 미용사</v>
      </c>
      <c r="I235" s="7">
        <v>20.0</v>
      </c>
      <c r="J235" s="9" t="str">
        <f t="shared" si="2"/>
        <v>[조건]
- 문자 길이: 250-299 구간 내
- 턴 수: 20-24 구간 내
- 주제: 재테크, 게임, 피아노
- 톤: 덤덤하게, 장난스럽게, 능청스럽게
- 화자A: 의사, 어부, 통역사
- 화자B: 선배, 사회복지사, 미용사
- 생성 대화수: 20</v>
      </c>
    </row>
    <row r="236">
      <c r="A236" s="7" t="str">
        <f t="shared" si="1"/>
        <v>T_235_len_250-299_turn_20-24_count_18</v>
      </c>
      <c r="B236" s="8" t="s">
        <v>298</v>
      </c>
      <c r="C236" s="7" t="s">
        <v>64</v>
      </c>
      <c r="D236" s="8" t="s">
        <v>65</v>
      </c>
      <c r="E236" s="7" t="str">
        <f>IFERROR(__xludf.DUMMYFUNCTION("TEXTJOIN("", "", TRUE, SORTN(column_value!$A$2:$A$105, 3, 0, RANDARRAY(COUNTA(column_value!A:A), 1), 1))"),"봉사활동, 창업, 친구")</f>
        <v>봉사활동, 창업, 친구</v>
      </c>
      <c r="F236" s="7" t="str">
        <f>IFERROR(__xludf.DUMMYFUNCTION("TEXTJOIN("", "", TRUE, SORTN(column_value!$B$2:$B$105, 3, 0, RANDARRAY(COUNTA(column_value!B:B), 1), 1))"),"차갑게, 격식없이, 순수하게")</f>
        <v>차갑게, 격식없이, 순수하게</v>
      </c>
      <c r="G236" s="7" t="str">
        <f>IFERROR(__xludf.DUMMYFUNCTION("TEXTJOIN("", "", TRUE, SORTN(column_value!$C$2:$C$105, 3, 0, RANDARRAY(COUNTA(column_value!C:C), 1), 1))"),"인플루언서, 군인, 헬스 트레이너")</f>
        <v>인플루언서, 군인, 헬스 트레이너</v>
      </c>
      <c r="H236" s="7" t="str">
        <f>IFERROR(__xludf.DUMMYFUNCTION("TEXTJOIN("", "", TRUE, SORTN(column_value!$D$2:$D$105, 3, 0, RANDARRAY(COUNTA(column_value!D:D), 1), 1))"),"명상가, 인턴, 건축가")</f>
        <v>명상가, 인턴, 건축가</v>
      </c>
      <c r="I236" s="7">
        <v>18.0</v>
      </c>
      <c r="J236" s="9" t="str">
        <f t="shared" si="2"/>
        <v>[조건]
- 문자 길이: 250-299 구간 내
- 턴 수: 20-24 구간 내
- 주제: 봉사활동, 창업, 친구
- 톤: 차갑게, 격식없이, 순수하게
- 화자A: 인플루언서, 군인, 헬스 트레이너
- 화자B: 명상가, 인턴, 건축가
- 생성 대화수: 18</v>
      </c>
    </row>
    <row r="237">
      <c r="A237" s="7" t="str">
        <f t="shared" si="1"/>
        <v>T_236_len_300-349_turn_25-29_count_20</v>
      </c>
      <c r="B237" s="8" t="s">
        <v>299</v>
      </c>
      <c r="C237" s="7" t="s">
        <v>68</v>
      </c>
      <c r="D237" s="8" t="s">
        <v>69</v>
      </c>
      <c r="E237" s="7" t="str">
        <f>IFERROR(__xludf.DUMMYFUNCTION("TEXTJOIN("", "", TRUE, SORTN(column_value!$A$2:$A$105, 3, 0, RANDARRAY(COUNTA(column_value!A:A), 1), 1))"),"패션, 빅데이터, 클라우드")</f>
        <v>패션, 빅데이터, 클라우드</v>
      </c>
      <c r="F237" s="7" t="str">
        <f>IFERROR(__xludf.DUMMYFUNCTION("TEXTJOIN("", "", TRUE, SORTN(column_value!$B$2:$B$105, 3, 0, RANDARRAY(COUNTA(column_value!B:B), 1), 1))"),"감성적으로, 따뜻하게, 무관심하게")</f>
        <v>감성적으로, 따뜻하게, 무관심하게</v>
      </c>
      <c r="G237" s="7" t="str">
        <f>IFERROR(__xludf.DUMMYFUNCTION("TEXTJOIN("", "", TRUE, SORTN(column_value!$C$2:$C$105, 3, 0, RANDARRAY(COUNTA(column_value!C:C), 1), 1))"),"자영업자, 심리치료사, 바리스타")</f>
        <v>자영업자, 심리치료사, 바리스타</v>
      </c>
      <c r="H237" s="7" t="str">
        <f>IFERROR(__xludf.DUMMYFUNCTION("TEXTJOIN("", "", TRUE, SORTN(column_value!$D$2:$D$105, 3, 0, RANDARRAY(COUNTA(column_value!D:D), 1), 1))"),"소방관, 운동선수, 소믈리에")</f>
        <v>소방관, 운동선수, 소믈리에</v>
      </c>
      <c r="I237" s="7">
        <v>20.0</v>
      </c>
      <c r="J237" s="9" t="str">
        <f t="shared" si="2"/>
        <v>[조건]
- 문자 길이: 300-349 구간 내
- 턴 수: 25-29 구간 내
- 주제: 패션, 빅데이터, 클라우드
- 톤: 감성적으로, 따뜻하게, 무관심하게
- 화자A: 자영업자, 심리치료사, 바리스타
- 화자B: 소방관, 운동선수, 소믈리에
- 생성 대화수: 20</v>
      </c>
    </row>
    <row r="238">
      <c r="A238" s="7" t="str">
        <f t="shared" si="1"/>
        <v>T_237_len_350-399_turn_30-34_count_13</v>
      </c>
      <c r="B238" s="8" t="s">
        <v>300</v>
      </c>
      <c r="C238" s="7" t="s">
        <v>71</v>
      </c>
      <c r="D238" s="8" t="s">
        <v>72</v>
      </c>
      <c r="E238" s="7" t="str">
        <f>IFERROR(__xludf.DUMMYFUNCTION("TEXTJOIN("", "", TRUE, SORTN(column_value!$A$2:$A$105, 3, 0, RANDARRAY(COUNTA(column_value!A:A), 1), 1))"),"가족, 의료, 영업")</f>
        <v>가족, 의료, 영업</v>
      </c>
      <c r="F238" s="7" t="str">
        <f>IFERROR(__xludf.DUMMYFUNCTION("TEXTJOIN("", "", TRUE, SORTN(column_value!$B$2:$B$105, 3, 0, RANDARRAY(COUNTA(column_value!B:B), 1), 1))"),"기쁘게, 활발하게, 진취적으로")</f>
        <v>기쁘게, 활발하게, 진취적으로</v>
      </c>
      <c r="G238" s="7" t="str">
        <f>IFERROR(__xludf.DUMMYFUNCTION("TEXTJOIN("", "", TRUE, SORTN(column_value!$C$2:$C$105, 3, 0, RANDARRAY(COUNTA(column_value!C:C), 1), 1))"),"수의사, 자녀, 연구원")</f>
        <v>수의사, 자녀, 연구원</v>
      </c>
      <c r="H238" s="7" t="str">
        <f>IFERROR(__xludf.DUMMYFUNCTION("TEXTJOIN("", "", TRUE, SORTN(column_value!$D$2:$D$105, 3, 0, RANDARRAY(COUNTA(column_value!D:D), 1), 1))"),"은행원, 버스 기사, 신혼부부")</f>
        <v>은행원, 버스 기사, 신혼부부</v>
      </c>
      <c r="I238" s="7">
        <v>13.0</v>
      </c>
      <c r="J238" s="9" t="str">
        <f t="shared" si="2"/>
        <v>[조건]
- 문자 길이: 350-399 구간 내
- 턴 수: 30-34 구간 내
- 주제: 가족, 의료, 영업
- 톤: 기쁘게, 활발하게, 진취적으로
- 화자A: 수의사, 자녀, 연구원
- 화자B: 은행원, 버스 기사, 신혼부부
- 생성 대화수: 13</v>
      </c>
    </row>
    <row r="239">
      <c r="A239" s="7" t="str">
        <f t="shared" si="1"/>
        <v>T_238_len_400-449_turn_35-39_count_7</v>
      </c>
      <c r="B239" s="8" t="s">
        <v>301</v>
      </c>
      <c r="C239" s="7" t="s">
        <v>74</v>
      </c>
      <c r="D239" s="8" t="s">
        <v>75</v>
      </c>
      <c r="E239" s="7" t="str">
        <f>IFERROR(__xludf.DUMMYFUNCTION("TEXTJOIN("", "", TRUE, SORTN(column_value!$A$2:$A$105, 3, 0, RANDARRAY(COUNTA(column_value!A:A), 1), 1))"),"물리학, 음악, 뉴스")</f>
        <v>물리학, 음악, 뉴스</v>
      </c>
      <c r="F239" s="7" t="str">
        <f>IFERROR(__xludf.DUMMYFUNCTION("TEXTJOIN("", "", TRUE, SORTN(column_value!$B$2:$B$105, 3, 0, RANDARRAY(COUNTA(column_value!B:B), 1), 1))"),"소심하게, 공격적으로, 능청스럽게")</f>
        <v>소심하게, 공격적으로, 능청스럽게</v>
      </c>
      <c r="G239" s="7" t="str">
        <f>IFERROR(__xludf.DUMMYFUNCTION("TEXTJOIN("", "", TRUE, SORTN(column_value!$C$2:$C$105, 3, 0, RANDARRAY(COUNTA(column_value!C:C), 1), 1))"),"신부, 가이드, 음악가")</f>
        <v>신부, 가이드, 음악가</v>
      </c>
      <c r="H239" s="7" t="str">
        <f>IFERROR(__xludf.DUMMYFUNCTION("TEXTJOIN("", "", TRUE, SORTN(column_value!$D$2:$D$105, 3, 0, RANDARRAY(COUNTA(column_value!D:D), 1), 1))"),"사업가, 트럭 기사, 여행가")</f>
        <v>사업가, 트럭 기사, 여행가</v>
      </c>
      <c r="I239" s="7">
        <v>7.0</v>
      </c>
      <c r="J239" s="9" t="str">
        <f t="shared" si="2"/>
        <v>[조건]
- 문자 길이: 400-449 구간 내
- 턴 수: 35-39 구간 내
- 주제: 물리학, 음악, 뉴스
- 톤: 소심하게, 공격적으로, 능청스럽게
- 화자A: 신부, 가이드, 음악가
- 화자B: 사업가, 트럭 기사, 여행가
- 생성 대화수: 7</v>
      </c>
    </row>
    <row r="240">
      <c r="A240" s="7" t="str">
        <f t="shared" si="1"/>
        <v>T_239_len_450-499_turn_40-44_count_5</v>
      </c>
      <c r="B240" s="8" t="s">
        <v>302</v>
      </c>
      <c r="C240" s="7" t="s">
        <v>77</v>
      </c>
      <c r="D240" s="8" t="s">
        <v>78</v>
      </c>
      <c r="E240" s="7" t="str">
        <f>IFERROR(__xludf.DUMMYFUNCTION("TEXTJOIN("", "", TRUE, SORTN(column_value!$A$2:$A$105, 3, 0, RANDARRAY(COUNTA(column_value!A:A), 1), 1))"),"사회, 의료, 건설업")</f>
        <v>사회, 의료, 건설업</v>
      </c>
      <c r="F240" s="7" t="str">
        <f>IFERROR(__xludf.DUMMYFUNCTION("TEXTJOIN("", "", TRUE, SORTN(column_value!$B$2:$B$105, 3, 0, RANDARRAY(COUNTA(column_value!B:B), 1), 1))"),"냉담하게, 무심하게, 신중하게")</f>
        <v>냉담하게, 무심하게, 신중하게</v>
      </c>
      <c r="G240" s="7" t="str">
        <f>IFERROR(__xludf.DUMMYFUNCTION("TEXTJOIN("", "", TRUE, SORTN(column_value!$C$2:$C$105, 3, 0, RANDARRAY(COUNTA(column_value!C:C), 1), 1))"),"군대 동기, 점원, 사회복지사")</f>
        <v>군대 동기, 점원, 사회복지사</v>
      </c>
      <c r="H240" s="7" t="str">
        <f>IFERROR(__xludf.DUMMYFUNCTION("TEXTJOIN("", "", TRUE, SORTN(column_value!$D$2:$D$105, 3, 0, RANDARRAY(COUNTA(column_value!D:D), 1), 1))"),"부모, 경찰관, 손주")</f>
        <v>부모, 경찰관, 손주</v>
      </c>
      <c r="I240" s="7">
        <v>5.0</v>
      </c>
      <c r="J240" s="9" t="str">
        <f t="shared" si="2"/>
        <v>[조건]
- 문자 길이: 450-499 구간 내
- 턴 수: 40-44 구간 내
- 주제: 사회, 의료, 건설업
- 톤: 냉담하게, 무심하게, 신중하게
- 화자A: 군대 동기, 점원, 사회복지사
- 화자B: 부모, 경찰관, 손주
- 생성 대화수: 5</v>
      </c>
    </row>
    <row r="241">
      <c r="A241" s="7" t="str">
        <f t="shared" si="1"/>
        <v>T_240_len_500-549_turn_45-49_count_12</v>
      </c>
      <c r="B241" s="8" t="s">
        <v>303</v>
      </c>
      <c r="C241" s="7" t="s">
        <v>80</v>
      </c>
      <c r="D241" s="8" t="s">
        <v>81</v>
      </c>
      <c r="E241" s="7" t="str">
        <f>IFERROR(__xludf.DUMMYFUNCTION("TEXTJOIN("", "", TRUE, SORTN(column_value!$A$2:$A$105, 3, 0, RANDARRAY(COUNTA(column_value!A:A), 1), 1))"),"경제, 술, 피아노")</f>
        <v>경제, 술, 피아노</v>
      </c>
      <c r="F241" s="7" t="str">
        <f>IFERROR(__xludf.DUMMYFUNCTION("TEXTJOIN("", "", TRUE, SORTN(column_value!$B$2:$B$105, 3, 0, RANDARRAY(COUNTA(column_value!B:B), 1), 1))"),"위트있게, 간절하게, 경쾌하게")</f>
        <v>위트있게, 간절하게, 경쾌하게</v>
      </c>
      <c r="G241" s="7" t="str">
        <f>IFERROR(__xludf.DUMMYFUNCTION("TEXTJOIN("", "", TRUE, SORTN(column_value!$C$2:$C$105, 3, 0, RANDARRAY(COUNTA(column_value!C:C), 1), 1))"),"사육사, 동료, 친구")</f>
        <v>사육사, 동료, 친구</v>
      </c>
      <c r="H241" s="7" t="str">
        <f>IFERROR(__xludf.DUMMYFUNCTION("TEXTJOIN("", "", TRUE, SORTN(column_value!$D$2:$D$105, 3, 0, RANDARRAY(COUNTA(column_value!D:D), 1), 1))"),"인플루언서, 은행원, 명상가")</f>
        <v>인플루언서, 은행원, 명상가</v>
      </c>
      <c r="I241" s="7">
        <v>12.0</v>
      </c>
      <c r="J241" s="9" t="str">
        <f t="shared" si="2"/>
        <v>[조건]
- 문자 길이: 500-549 구간 내
- 턴 수: 45-49 구간 내
- 주제: 경제, 술, 피아노
- 톤: 위트있게, 간절하게, 경쾌하게
- 화자A: 사육사, 동료, 친구
- 화자B: 인플루언서, 은행원, 명상가
- 생성 대화수: 12</v>
      </c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8" t="s">
        <v>304</v>
      </c>
      <c r="B2" s="7" t="s">
        <v>305</v>
      </c>
      <c r="C2" s="7" t="s">
        <v>306</v>
      </c>
      <c r="D2" s="7" t="s">
        <v>306</v>
      </c>
    </row>
    <row r="3">
      <c r="A3" s="8" t="s">
        <v>307</v>
      </c>
      <c r="B3" s="7" t="s">
        <v>308</v>
      </c>
      <c r="C3" s="7" t="s">
        <v>309</v>
      </c>
      <c r="D3" s="7" t="s">
        <v>309</v>
      </c>
    </row>
    <row r="4">
      <c r="A4" s="8" t="s">
        <v>310</v>
      </c>
      <c r="B4" s="7" t="s">
        <v>311</v>
      </c>
      <c r="C4" s="7" t="s">
        <v>312</v>
      </c>
      <c r="D4" s="7" t="s">
        <v>312</v>
      </c>
    </row>
    <row r="5">
      <c r="A5" s="8" t="s">
        <v>313</v>
      </c>
      <c r="B5" s="7" t="s">
        <v>314</v>
      </c>
      <c r="C5" s="7" t="s">
        <v>315</v>
      </c>
      <c r="D5" s="7" t="s">
        <v>315</v>
      </c>
    </row>
    <row r="6">
      <c r="A6" s="8" t="s">
        <v>316</v>
      </c>
      <c r="B6" s="7" t="s">
        <v>317</v>
      </c>
      <c r="C6" s="7" t="s">
        <v>318</v>
      </c>
      <c r="D6" s="7" t="s">
        <v>318</v>
      </c>
    </row>
    <row r="7">
      <c r="A7" s="8" t="s">
        <v>319</v>
      </c>
      <c r="B7" s="7" t="s">
        <v>320</v>
      </c>
      <c r="C7" s="7" t="s">
        <v>321</v>
      </c>
      <c r="D7" s="7" t="s">
        <v>321</v>
      </c>
    </row>
    <row r="8">
      <c r="A8" s="8" t="s">
        <v>322</v>
      </c>
      <c r="B8" s="7" t="s">
        <v>323</v>
      </c>
      <c r="C8" s="7" t="s">
        <v>324</v>
      </c>
      <c r="D8" s="7" t="s">
        <v>324</v>
      </c>
    </row>
    <row r="9">
      <c r="A9" s="8" t="s">
        <v>325</v>
      </c>
      <c r="B9" s="7" t="s">
        <v>326</v>
      </c>
      <c r="C9" s="7" t="s">
        <v>327</v>
      </c>
      <c r="D9" s="7" t="s">
        <v>327</v>
      </c>
    </row>
    <row r="10">
      <c r="A10" s="8" t="s">
        <v>328</v>
      </c>
      <c r="B10" s="7" t="s">
        <v>329</v>
      </c>
      <c r="C10" s="7" t="s">
        <v>330</v>
      </c>
      <c r="D10" s="7" t="s">
        <v>330</v>
      </c>
    </row>
    <row r="11">
      <c r="A11" s="8" t="s">
        <v>331</v>
      </c>
      <c r="B11" s="7" t="s">
        <v>332</v>
      </c>
      <c r="C11" s="7" t="s">
        <v>333</v>
      </c>
      <c r="D11" s="7" t="s">
        <v>333</v>
      </c>
    </row>
    <row r="12">
      <c r="A12" s="8" t="s">
        <v>334</v>
      </c>
      <c r="B12" s="7" t="s">
        <v>335</v>
      </c>
      <c r="C12" s="7" t="s">
        <v>336</v>
      </c>
      <c r="D12" s="7" t="s">
        <v>336</v>
      </c>
    </row>
    <row r="13">
      <c r="A13" s="8" t="s">
        <v>337</v>
      </c>
      <c r="B13" s="7" t="s">
        <v>338</v>
      </c>
      <c r="C13" s="7" t="s">
        <v>339</v>
      </c>
      <c r="D13" s="7" t="s">
        <v>339</v>
      </c>
    </row>
    <row r="14">
      <c r="A14" s="8" t="s">
        <v>340</v>
      </c>
      <c r="B14" s="7" t="s">
        <v>341</v>
      </c>
      <c r="C14" s="7" t="s">
        <v>342</v>
      </c>
      <c r="D14" s="7" t="s">
        <v>342</v>
      </c>
    </row>
    <row r="15">
      <c r="A15" s="8" t="s">
        <v>343</v>
      </c>
      <c r="B15" s="7" t="s">
        <v>344</v>
      </c>
      <c r="C15" s="7" t="s">
        <v>345</v>
      </c>
      <c r="D15" s="7" t="s">
        <v>345</v>
      </c>
    </row>
    <row r="16">
      <c r="A16" s="8" t="s">
        <v>346</v>
      </c>
      <c r="B16" s="7" t="s">
        <v>347</v>
      </c>
      <c r="C16" s="7" t="s">
        <v>348</v>
      </c>
      <c r="D16" s="7" t="s">
        <v>348</v>
      </c>
    </row>
    <row r="17">
      <c r="A17" s="8" t="s">
        <v>349</v>
      </c>
      <c r="B17" s="7" t="s">
        <v>350</v>
      </c>
      <c r="C17" s="7" t="s">
        <v>351</v>
      </c>
      <c r="D17" s="7" t="s">
        <v>351</v>
      </c>
    </row>
    <row r="18">
      <c r="A18" s="8" t="s">
        <v>352</v>
      </c>
      <c r="B18" s="7" t="s">
        <v>353</v>
      </c>
      <c r="C18" s="7" t="s">
        <v>354</v>
      </c>
      <c r="D18" s="7" t="s">
        <v>354</v>
      </c>
    </row>
    <row r="19">
      <c r="A19" s="8" t="s">
        <v>355</v>
      </c>
      <c r="B19" s="7" t="s">
        <v>356</v>
      </c>
      <c r="C19" s="7" t="s">
        <v>357</v>
      </c>
      <c r="D19" s="7" t="s">
        <v>357</v>
      </c>
    </row>
    <row r="20">
      <c r="A20" s="8" t="s">
        <v>358</v>
      </c>
      <c r="B20" s="7" t="s">
        <v>359</v>
      </c>
      <c r="C20" s="7" t="s">
        <v>360</v>
      </c>
      <c r="D20" s="7" t="s">
        <v>360</v>
      </c>
    </row>
    <row r="21">
      <c r="A21" s="8" t="s">
        <v>361</v>
      </c>
      <c r="B21" s="7" t="s">
        <v>362</v>
      </c>
      <c r="C21" s="7" t="s">
        <v>363</v>
      </c>
      <c r="D21" s="7" t="s">
        <v>363</v>
      </c>
    </row>
    <row r="22">
      <c r="A22" s="8" t="s">
        <v>364</v>
      </c>
      <c r="B22" s="7" t="s">
        <v>365</v>
      </c>
      <c r="C22" s="7" t="s">
        <v>366</v>
      </c>
      <c r="D22" s="7" t="s">
        <v>366</v>
      </c>
    </row>
    <row r="23">
      <c r="A23" s="8" t="s">
        <v>367</v>
      </c>
      <c r="B23" s="7" t="s">
        <v>368</v>
      </c>
      <c r="C23" s="7" t="s">
        <v>369</v>
      </c>
      <c r="D23" s="7" t="s">
        <v>369</v>
      </c>
    </row>
    <row r="24">
      <c r="A24" s="8" t="s">
        <v>370</v>
      </c>
      <c r="B24" s="7" t="s">
        <v>371</v>
      </c>
      <c r="C24" s="7" t="s">
        <v>372</v>
      </c>
      <c r="D24" s="7" t="s">
        <v>372</v>
      </c>
    </row>
    <row r="25">
      <c r="A25" s="8" t="s">
        <v>373</v>
      </c>
      <c r="B25" s="7" t="s">
        <v>374</v>
      </c>
      <c r="C25" s="7" t="s">
        <v>375</v>
      </c>
      <c r="D25" s="7" t="s">
        <v>375</v>
      </c>
    </row>
    <row r="26">
      <c r="A26" s="8" t="s">
        <v>376</v>
      </c>
      <c r="B26" s="7" t="s">
        <v>377</v>
      </c>
      <c r="C26" s="7" t="s">
        <v>378</v>
      </c>
      <c r="D26" s="7" t="s">
        <v>378</v>
      </c>
    </row>
    <row r="27">
      <c r="A27" s="8" t="s">
        <v>379</v>
      </c>
      <c r="B27" s="7" t="s">
        <v>380</v>
      </c>
      <c r="C27" s="7" t="s">
        <v>381</v>
      </c>
      <c r="D27" s="7" t="s">
        <v>381</v>
      </c>
    </row>
    <row r="28">
      <c r="A28" s="8" t="s">
        <v>382</v>
      </c>
      <c r="B28" s="7" t="s">
        <v>383</v>
      </c>
      <c r="C28" s="7" t="s">
        <v>384</v>
      </c>
      <c r="D28" s="7" t="s">
        <v>384</v>
      </c>
    </row>
    <row r="29">
      <c r="A29" s="8" t="s">
        <v>385</v>
      </c>
      <c r="B29" s="7" t="s">
        <v>386</v>
      </c>
      <c r="C29" s="7" t="s">
        <v>387</v>
      </c>
      <c r="D29" s="7" t="s">
        <v>387</v>
      </c>
    </row>
    <row r="30">
      <c r="A30" s="8" t="s">
        <v>388</v>
      </c>
      <c r="B30" s="7" t="s">
        <v>389</v>
      </c>
      <c r="C30" s="7" t="s">
        <v>390</v>
      </c>
      <c r="D30" s="7" t="s">
        <v>390</v>
      </c>
    </row>
    <row r="31">
      <c r="A31" s="8" t="s">
        <v>391</v>
      </c>
      <c r="B31" s="7" t="s">
        <v>392</v>
      </c>
      <c r="C31" s="7" t="s">
        <v>393</v>
      </c>
      <c r="D31" s="7" t="s">
        <v>393</v>
      </c>
    </row>
    <row r="32">
      <c r="A32" s="8" t="s">
        <v>394</v>
      </c>
      <c r="B32" s="7" t="s">
        <v>395</v>
      </c>
      <c r="C32" s="7" t="s">
        <v>396</v>
      </c>
      <c r="D32" s="7" t="s">
        <v>396</v>
      </c>
    </row>
    <row r="33">
      <c r="A33" s="8" t="s">
        <v>397</v>
      </c>
      <c r="B33" s="7" t="s">
        <v>398</v>
      </c>
      <c r="C33" s="7" t="s">
        <v>399</v>
      </c>
      <c r="D33" s="7" t="s">
        <v>399</v>
      </c>
    </row>
    <row r="34">
      <c r="A34" s="8" t="s">
        <v>400</v>
      </c>
      <c r="B34" s="7" t="s">
        <v>401</v>
      </c>
      <c r="C34" s="7" t="s">
        <v>402</v>
      </c>
      <c r="D34" s="7" t="s">
        <v>402</v>
      </c>
    </row>
    <row r="35">
      <c r="A35" s="8" t="s">
        <v>403</v>
      </c>
      <c r="B35" s="7" t="s">
        <v>404</v>
      </c>
      <c r="C35" s="7" t="s">
        <v>405</v>
      </c>
      <c r="D35" s="7" t="s">
        <v>405</v>
      </c>
    </row>
    <row r="36">
      <c r="A36" s="8" t="s">
        <v>406</v>
      </c>
      <c r="B36" s="7" t="s">
        <v>407</v>
      </c>
      <c r="C36" s="7" t="s">
        <v>408</v>
      </c>
      <c r="D36" s="7" t="s">
        <v>408</v>
      </c>
    </row>
    <row r="37">
      <c r="A37" s="8" t="s">
        <v>409</v>
      </c>
      <c r="B37" s="7" t="s">
        <v>410</v>
      </c>
      <c r="C37" s="7" t="s">
        <v>411</v>
      </c>
      <c r="D37" s="7" t="s">
        <v>411</v>
      </c>
    </row>
    <row r="38">
      <c r="A38" s="8" t="s">
        <v>412</v>
      </c>
      <c r="B38" s="7" t="s">
        <v>413</v>
      </c>
      <c r="C38" s="7" t="s">
        <v>414</v>
      </c>
      <c r="D38" s="7" t="s">
        <v>414</v>
      </c>
    </row>
    <row r="39">
      <c r="A39" s="8" t="s">
        <v>415</v>
      </c>
      <c r="B39" s="7" t="s">
        <v>416</v>
      </c>
      <c r="C39" s="7" t="s">
        <v>417</v>
      </c>
      <c r="D39" s="7" t="s">
        <v>417</v>
      </c>
    </row>
    <row r="40">
      <c r="A40" s="8" t="s">
        <v>418</v>
      </c>
      <c r="B40" s="7" t="s">
        <v>419</v>
      </c>
      <c r="C40" s="7" t="s">
        <v>420</v>
      </c>
      <c r="D40" s="7" t="s">
        <v>420</v>
      </c>
    </row>
    <row r="41">
      <c r="A41" s="8" t="s">
        <v>421</v>
      </c>
      <c r="B41" s="7" t="s">
        <v>422</v>
      </c>
      <c r="C41" s="7" t="s">
        <v>423</v>
      </c>
      <c r="D41" s="7" t="s">
        <v>423</v>
      </c>
    </row>
    <row r="42">
      <c r="A42" s="8" t="s">
        <v>424</v>
      </c>
      <c r="B42" s="7" t="s">
        <v>425</v>
      </c>
      <c r="C42" s="7" t="s">
        <v>426</v>
      </c>
      <c r="D42" s="7" t="s">
        <v>426</v>
      </c>
    </row>
    <row r="43">
      <c r="A43" s="8" t="s">
        <v>427</v>
      </c>
      <c r="B43" s="7" t="s">
        <v>428</v>
      </c>
      <c r="C43" s="7" t="s">
        <v>429</v>
      </c>
      <c r="D43" s="7" t="s">
        <v>429</v>
      </c>
    </row>
    <row r="44">
      <c r="A44" s="8" t="s">
        <v>430</v>
      </c>
      <c r="B44" s="7" t="s">
        <v>431</v>
      </c>
      <c r="C44" s="7" t="s">
        <v>432</v>
      </c>
      <c r="D44" s="7" t="s">
        <v>432</v>
      </c>
    </row>
    <row r="45">
      <c r="A45" s="8" t="s">
        <v>433</v>
      </c>
      <c r="B45" s="7" t="s">
        <v>434</v>
      </c>
      <c r="C45" s="7" t="s">
        <v>435</v>
      </c>
      <c r="D45" s="7" t="s">
        <v>435</v>
      </c>
    </row>
    <row r="46">
      <c r="A46" s="8" t="s">
        <v>436</v>
      </c>
      <c r="B46" s="7" t="s">
        <v>437</v>
      </c>
      <c r="C46" s="7" t="s">
        <v>438</v>
      </c>
      <c r="D46" s="7" t="s">
        <v>438</v>
      </c>
    </row>
    <row r="47">
      <c r="A47" s="8" t="s">
        <v>439</v>
      </c>
      <c r="B47" s="7" t="s">
        <v>440</v>
      </c>
      <c r="C47" s="7" t="s">
        <v>441</v>
      </c>
      <c r="D47" s="7" t="s">
        <v>441</v>
      </c>
    </row>
    <row r="48">
      <c r="A48" s="8" t="s">
        <v>442</v>
      </c>
      <c r="B48" s="7" t="s">
        <v>443</v>
      </c>
      <c r="C48" s="7" t="s">
        <v>444</v>
      </c>
      <c r="D48" s="7" t="s">
        <v>444</v>
      </c>
    </row>
    <row r="49">
      <c r="A49" s="8" t="s">
        <v>445</v>
      </c>
      <c r="B49" s="7" t="s">
        <v>446</v>
      </c>
      <c r="C49" s="7" t="s">
        <v>447</v>
      </c>
      <c r="D49" s="7" t="s">
        <v>447</v>
      </c>
    </row>
    <row r="50">
      <c r="A50" s="8" t="s">
        <v>448</v>
      </c>
      <c r="B50" s="7" t="s">
        <v>449</v>
      </c>
      <c r="C50" s="7" t="s">
        <v>450</v>
      </c>
      <c r="D50" s="7" t="s">
        <v>450</v>
      </c>
    </row>
    <row r="51">
      <c r="A51" s="8" t="s">
        <v>451</v>
      </c>
      <c r="B51" s="7" t="s">
        <v>452</v>
      </c>
      <c r="C51" s="7" t="s">
        <v>453</v>
      </c>
      <c r="D51" s="7" t="s">
        <v>453</v>
      </c>
    </row>
    <row r="52">
      <c r="A52" s="8" t="s">
        <v>454</v>
      </c>
      <c r="B52" s="7" t="s">
        <v>455</v>
      </c>
      <c r="C52" s="7" t="s">
        <v>456</v>
      </c>
      <c r="D52" s="7" t="s">
        <v>456</v>
      </c>
    </row>
    <row r="53">
      <c r="A53" s="8" t="s">
        <v>457</v>
      </c>
      <c r="B53" s="7" t="s">
        <v>458</v>
      </c>
      <c r="C53" s="7" t="s">
        <v>459</v>
      </c>
      <c r="D53" s="7" t="s">
        <v>459</v>
      </c>
    </row>
    <row r="54">
      <c r="A54" s="8" t="s">
        <v>460</v>
      </c>
      <c r="B54" s="7" t="s">
        <v>461</v>
      </c>
      <c r="C54" s="7" t="s">
        <v>462</v>
      </c>
      <c r="D54" s="7" t="s">
        <v>462</v>
      </c>
    </row>
    <row r="55">
      <c r="A55" s="8" t="s">
        <v>463</v>
      </c>
      <c r="B55" s="7" t="s">
        <v>464</v>
      </c>
      <c r="C55" s="7" t="s">
        <v>465</v>
      </c>
      <c r="D55" s="7" t="s">
        <v>465</v>
      </c>
    </row>
    <row r="56">
      <c r="A56" s="8" t="s">
        <v>466</v>
      </c>
      <c r="B56" s="7" t="s">
        <v>467</v>
      </c>
      <c r="C56" s="7" t="s">
        <v>468</v>
      </c>
      <c r="D56" s="7" t="s">
        <v>468</v>
      </c>
    </row>
    <row r="57">
      <c r="A57" s="8" t="s">
        <v>469</v>
      </c>
      <c r="B57" s="7" t="s">
        <v>470</v>
      </c>
      <c r="C57" s="7" t="s">
        <v>471</v>
      </c>
      <c r="D57" s="7" t="s">
        <v>471</v>
      </c>
    </row>
    <row r="58">
      <c r="A58" s="8" t="s">
        <v>472</v>
      </c>
      <c r="B58" s="7" t="s">
        <v>473</v>
      </c>
      <c r="C58" s="7" t="s">
        <v>474</v>
      </c>
      <c r="D58" s="7" t="s">
        <v>474</v>
      </c>
    </row>
    <row r="59">
      <c r="A59" s="8" t="s">
        <v>475</v>
      </c>
      <c r="B59" s="7" t="s">
        <v>476</v>
      </c>
      <c r="C59" s="7" t="s">
        <v>477</v>
      </c>
      <c r="D59" s="7" t="s">
        <v>477</v>
      </c>
    </row>
    <row r="60">
      <c r="A60" s="8" t="s">
        <v>478</v>
      </c>
      <c r="B60" s="7" t="s">
        <v>479</v>
      </c>
      <c r="C60" s="7" t="s">
        <v>480</v>
      </c>
      <c r="D60" s="7" t="s">
        <v>480</v>
      </c>
    </row>
    <row r="61">
      <c r="A61" s="8" t="s">
        <v>481</v>
      </c>
      <c r="B61" s="7" t="s">
        <v>482</v>
      </c>
      <c r="C61" s="7" t="s">
        <v>483</v>
      </c>
      <c r="D61" s="7" t="s">
        <v>483</v>
      </c>
    </row>
    <row r="62">
      <c r="A62" s="8" t="s">
        <v>484</v>
      </c>
      <c r="B62" s="7" t="s">
        <v>485</v>
      </c>
      <c r="C62" s="7" t="s">
        <v>486</v>
      </c>
      <c r="D62" s="7" t="s">
        <v>486</v>
      </c>
    </row>
    <row r="63">
      <c r="A63" s="8" t="s">
        <v>487</v>
      </c>
      <c r="B63" s="7" t="s">
        <v>488</v>
      </c>
      <c r="C63" s="7" t="s">
        <v>489</v>
      </c>
      <c r="D63" s="7" t="s">
        <v>489</v>
      </c>
    </row>
    <row r="64">
      <c r="A64" s="8" t="s">
        <v>490</v>
      </c>
      <c r="B64" s="7" t="s">
        <v>491</v>
      </c>
      <c r="C64" s="7" t="s">
        <v>492</v>
      </c>
      <c r="D64" s="7" t="s">
        <v>492</v>
      </c>
    </row>
    <row r="65">
      <c r="A65" s="8" t="s">
        <v>493</v>
      </c>
      <c r="B65" s="7" t="s">
        <v>494</v>
      </c>
      <c r="C65" s="7" t="s">
        <v>495</v>
      </c>
      <c r="D65" s="7" t="s">
        <v>495</v>
      </c>
    </row>
    <row r="66">
      <c r="A66" s="8" t="s">
        <v>496</v>
      </c>
      <c r="B66" s="7" t="s">
        <v>497</v>
      </c>
      <c r="C66" s="7" t="s">
        <v>498</v>
      </c>
      <c r="D66" s="7" t="s">
        <v>498</v>
      </c>
    </row>
    <row r="67">
      <c r="A67" s="8" t="s">
        <v>499</v>
      </c>
      <c r="B67" s="7" t="s">
        <v>500</v>
      </c>
      <c r="C67" s="7" t="s">
        <v>501</v>
      </c>
      <c r="D67" s="7" t="s">
        <v>501</v>
      </c>
    </row>
    <row r="68">
      <c r="A68" s="8" t="s">
        <v>502</v>
      </c>
      <c r="B68" s="7" t="s">
        <v>503</v>
      </c>
      <c r="C68" s="7" t="s">
        <v>504</v>
      </c>
      <c r="D68" s="7" t="s">
        <v>504</v>
      </c>
    </row>
    <row r="69">
      <c r="A69" s="8" t="s">
        <v>505</v>
      </c>
      <c r="B69" s="7" t="s">
        <v>506</v>
      </c>
      <c r="C69" s="7" t="s">
        <v>507</v>
      </c>
      <c r="D69" s="7" t="s">
        <v>507</v>
      </c>
    </row>
    <row r="70">
      <c r="A70" s="8" t="s">
        <v>508</v>
      </c>
      <c r="B70" s="7" t="s">
        <v>509</v>
      </c>
      <c r="C70" s="7" t="s">
        <v>510</v>
      </c>
      <c r="D70" s="7" t="s">
        <v>510</v>
      </c>
    </row>
    <row r="71">
      <c r="A71" s="8" t="s">
        <v>511</v>
      </c>
      <c r="B71" s="7" t="s">
        <v>512</v>
      </c>
      <c r="C71" s="7" t="s">
        <v>513</v>
      </c>
      <c r="D71" s="7" t="s">
        <v>513</v>
      </c>
    </row>
    <row r="72">
      <c r="A72" s="8" t="s">
        <v>514</v>
      </c>
      <c r="B72" s="7" t="s">
        <v>515</v>
      </c>
      <c r="C72" s="7" t="s">
        <v>516</v>
      </c>
      <c r="D72" s="7" t="s">
        <v>516</v>
      </c>
    </row>
    <row r="73">
      <c r="A73" s="8" t="s">
        <v>517</v>
      </c>
      <c r="B73" s="7" t="s">
        <v>518</v>
      </c>
      <c r="C73" s="7" t="s">
        <v>330</v>
      </c>
      <c r="D73" s="7" t="s">
        <v>330</v>
      </c>
    </row>
    <row r="74">
      <c r="A74" s="8" t="s">
        <v>519</v>
      </c>
      <c r="B74" s="7" t="s">
        <v>520</v>
      </c>
      <c r="C74" s="7" t="s">
        <v>521</v>
      </c>
      <c r="D74" s="7" t="s">
        <v>521</v>
      </c>
    </row>
    <row r="75">
      <c r="A75" s="8" t="s">
        <v>522</v>
      </c>
      <c r="B75" s="7" t="s">
        <v>523</v>
      </c>
      <c r="C75" s="7" t="s">
        <v>524</v>
      </c>
      <c r="D75" s="7" t="s">
        <v>524</v>
      </c>
    </row>
    <row r="76">
      <c r="A76" s="8" t="s">
        <v>525</v>
      </c>
      <c r="B76" s="7" t="s">
        <v>526</v>
      </c>
      <c r="C76" s="7" t="s">
        <v>527</v>
      </c>
      <c r="D76" s="7" t="s">
        <v>527</v>
      </c>
    </row>
    <row r="77">
      <c r="A77" s="8" t="s">
        <v>528</v>
      </c>
      <c r="B77" s="7" t="s">
        <v>529</v>
      </c>
      <c r="C77" s="7" t="s">
        <v>530</v>
      </c>
      <c r="D77" s="7" t="s">
        <v>530</v>
      </c>
    </row>
    <row r="78">
      <c r="A78" s="8" t="s">
        <v>531</v>
      </c>
      <c r="B78" s="7" t="s">
        <v>359</v>
      </c>
      <c r="C78" s="7" t="s">
        <v>532</v>
      </c>
      <c r="D78" s="7" t="s">
        <v>532</v>
      </c>
    </row>
    <row r="79">
      <c r="A79" s="8" t="s">
        <v>533</v>
      </c>
      <c r="B79" s="7" t="s">
        <v>482</v>
      </c>
      <c r="C79" s="7" t="s">
        <v>534</v>
      </c>
      <c r="D79" s="7" t="s">
        <v>534</v>
      </c>
    </row>
    <row r="80">
      <c r="A80" s="8" t="s">
        <v>535</v>
      </c>
      <c r="B80" s="7" t="s">
        <v>536</v>
      </c>
      <c r="C80" s="7" t="s">
        <v>537</v>
      </c>
      <c r="D80" s="7" t="s">
        <v>537</v>
      </c>
    </row>
    <row r="81">
      <c r="A81" s="8" t="s">
        <v>538</v>
      </c>
      <c r="B81" s="7" t="s">
        <v>539</v>
      </c>
      <c r="C81" s="7" t="s">
        <v>540</v>
      </c>
      <c r="D81" s="7" t="s">
        <v>540</v>
      </c>
    </row>
    <row r="82">
      <c r="A82" s="8" t="s">
        <v>541</v>
      </c>
      <c r="B82" s="7" t="s">
        <v>536</v>
      </c>
      <c r="C82" s="7" t="s">
        <v>542</v>
      </c>
      <c r="D82" s="7" t="s">
        <v>542</v>
      </c>
    </row>
    <row r="83">
      <c r="A83" s="8" t="s">
        <v>543</v>
      </c>
      <c r="B83" s="7" t="s">
        <v>544</v>
      </c>
      <c r="C83" s="7" t="s">
        <v>545</v>
      </c>
      <c r="D83" s="7" t="s">
        <v>545</v>
      </c>
    </row>
    <row r="84">
      <c r="A84" s="8" t="s">
        <v>546</v>
      </c>
      <c r="B84" s="7" t="s">
        <v>547</v>
      </c>
      <c r="C84" s="7" t="s">
        <v>548</v>
      </c>
      <c r="D84" s="7" t="s">
        <v>548</v>
      </c>
    </row>
    <row r="85">
      <c r="A85" s="8" t="s">
        <v>549</v>
      </c>
      <c r="B85" s="7" t="s">
        <v>550</v>
      </c>
      <c r="C85" s="7" t="s">
        <v>551</v>
      </c>
      <c r="D85" s="7" t="s">
        <v>551</v>
      </c>
    </row>
    <row r="86">
      <c r="A86" s="8" t="s">
        <v>552</v>
      </c>
      <c r="B86" s="7" t="s">
        <v>553</v>
      </c>
      <c r="C86" s="7" t="s">
        <v>554</v>
      </c>
      <c r="D86" s="7" t="s">
        <v>554</v>
      </c>
    </row>
    <row r="87">
      <c r="A87" s="8" t="s">
        <v>555</v>
      </c>
      <c r="B87" s="7" t="s">
        <v>556</v>
      </c>
      <c r="C87" s="7" t="s">
        <v>557</v>
      </c>
      <c r="D87" s="7" t="s">
        <v>557</v>
      </c>
    </row>
    <row r="88">
      <c r="A88" s="8" t="s">
        <v>558</v>
      </c>
      <c r="B88" s="7" t="s">
        <v>559</v>
      </c>
      <c r="C88" s="7" t="s">
        <v>560</v>
      </c>
      <c r="D88" s="7" t="s">
        <v>560</v>
      </c>
    </row>
    <row r="89">
      <c r="A89" s="8" t="s">
        <v>561</v>
      </c>
      <c r="B89" s="7" t="s">
        <v>562</v>
      </c>
      <c r="C89" s="7" t="s">
        <v>563</v>
      </c>
      <c r="D89" s="7" t="s">
        <v>563</v>
      </c>
    </row>
    <row r="90">
      <c r="A90" s="8" t="s">
        <v>564</v>
      </c>
      <c r="B90" s="7" t="s">
        <v>565</v>
      </c>
      <c r="C90" s="7" t="s">
        <v>352</v>
      </c>
      <c r="D90" s="7" t="s">
        <v>352</v>
      </c>
    </row>
    <row r="91">
      <c r="A91" s="8" t="s">
        <v>566</v>
      </c>
      <c r="B91" s="7" t="s">
        <v>567</v>
      </c>
      <c r="C91" s="7" t="s">
        <v>568</v>
      </c>
      <c r="D91" s="7" t="s">
        <v>568</v>
      </c>
    </row>
    <row r="92">
      <c r="A92" s="8" t="s">
        <v>569</v>
      </c>
      <c r="B92" s="7" t="s">
        <v>570</v>
      </c>
      <c r="C92" s="7" t="s">
        <v>571</v>
      </c>
      <c r="D92" s="7" t="s">
        <v>571</v>
      </c>
    </row>
    <row r="93">
      <c r="A93" s="8" t="s">
        <v>572</v>
      </c>
      <c r="B93" s="7" t="s">
        <v>573</v>
      </c>
      <c r="C93" s="7" t="s">
        <v>574</v>
      </c>
      <c r="D93" s="7" t="s">
        <v>574</v>
      </c>
    </row>
    <row r="94">
      <c r="A94" s="8" t="s">
        <v>575</v>
      </c>
      <c r="B94" s="7" t="s">
        <v>576</v>
      </c>
      <c r="C94" s="7" t="s">
        <v>577</v>
      </c>
      <c r="D94" s="7" t="s">
        <v>577</v>
      </c>
    </row>
    <row r="95">
      <c r="A95" s="8" t="s">
        <v>578</v>
      </c>
      <c r="B95" s="7" t="s">
        <v>579</v>
      </c>
      <c r="C95" s="7" t="s">
        <v>580</v>
      </c>
      <c r="D95" s="7" t="s">
        <v>580</v>
      </c>
    </row>
    <row r="96">
      <c r="A96" s="8" t="s">
        <v>581</v>
      </c>
      <c r="B96" s="7" t="s">
        <v>582</v>
      </c>
      <c r="C96" s="7" t="s">
        <v>583</v>
      </c>
      <c r="D96" s="7" t="s">
        <v>583</v>
      </c>
    </row>
    <row r="97">
      <c r="A97" s="8" t="s">
        <v>584</v>
      </c>
      <c r="B97" s="7" t="s">
        <v>585</v>
      </c>
      <c r="C97" s="7" t="s">
        <v>586</v>
      </c>
      <c r="D97" s="7" t="s">
        <v>586</v>
      </c>
    </row>
    <row r="98">
      <c r="A98" s="8" t="s">
        <v>587</v>
      </c>
      <c r="B98" s="7" t="s">
        <v>588</v>
      </c>
      <c r="C98" s="7" t="s">
        <v>589</v>
      </c>
      <c r="D98" s="7" t="s">
        <v>589</v>
      </c>
    </row>
    <row r="99">
      <c r="A99" s="8" t="s">
        <v>590</v>
      </c>
      <c r="B99" s="7" t="s">
        <v>591</v>
      </c>
      <c r="C99" s="7" t="s">
        <v>592</v>
      </c>
      <c r="D99" s="7" t="s">
        <v>592</v>
      </c>
    </row>
    <row r="100">
      <c r="A100" s="8" t="s">
        <v>593</v>
      </c>
      <c r="B100" s="7" t="s">
        <v>594</v>
      </c>
      <c r="C100" s="7" t="s">
        <v>595</v>
      </c>
      <c r="D100" s="7" t="s">
        <v>595</v>
      </c>
    </row>
    <row r="101">
      <c r="A101" s="8" t="s">
        <v>596</v>
      </c>
      <c r="B101" s="7" t="s">
        <v>597</v>
      </c>
      <c r="C101" s="7" t="s">
        <v>598</v>
      </c>
      <c r="D101" s="7" t="s">
        <v>598</v>
      </c>
    </row>
    <row r="102">
      <c r="A102" s="8" t="s">
        <v>599</v>
      </c>
      <c r="B102" s="7" t="s">
        <v>600</v>
      </c>
      <c r="C102" s="7" t="s">
        <v>601</v>
      </c>
      <c r="D102" s="7" t="s">
        <v>601</v>
      </c>
    </row>
    <row r="103">
      <c r="A103" s="8" t="s">
        <v>602</v>
      </c>
      <c r="B103" s="7" t="s">
        <v>603</v>
      </c>
      <c r="C103" s="7" t="s">
        <v>604</v>
      </c>
      <c r="D103" s="7" t="s">
        <v>604</v>
      </c>
    </row>
    <row r="104">
      <c r="A104" s="7" t="s">
        <v>605</v>
      </c>
      <c r="B104" s="7" t="s">
        <v>606</v>
      </c>
      <c r="C104" s="7" t="s">
        <v>607</v>
      </c>
      <c r="D104" s="7" t="s">
        <v>607</v>
      </c>
    </row>
    <row r="105">
      <c r="A105" s="7" t="s">
        <v>608</v>
      </c>
      <c r="B105" s="7" t="s">
        <v>609</v>
      </c>
      <c r="C105" s="7" t="s">
        <v>610</v>
      </c>
      <c r="D105" s="7" t="s">
        <v>610</v>
      </c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