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janeyang/Downloads/"/>
    </mc:Choice>
  </mc:AlternateContent>
  <xr:revisionPtr revIDLastSave="0" documentId="13_ncr:1_{62EEE490-E862-C649-90FD-DD0B2B636A81}" xr6:coauthVersionLast="47" xr6:coauthVersionMax="47" xr10:uidLastSave="{00000000-0000-0000-0000-000000000000}"/>
  <bookViews>
    <workbookView xWindow="13140" yWindow="980" windowWidth="15420" windowHeight="17040" firstSheet="8" activeTab="12" xr2:uid="{00000000-000D-0000-FFFF-FFFF00000000}"/>
  </bookViews>
  <sheets>
    <sheet name="Uvals" sheetId="2" r:id="rId1"/>
    <sheet name="Room_01" sheetId="20" r:id="rId2"/>
    <sheet name="Ht Loss_house1" sheetId="23" r:id="rId3"/>
    <sheet name="Ht Loss_house2 " sheetId="14" r:id="rId4"/>
    <sheet name="Htg_hot_water" sheetId="4" r:id="rId5"/>
    <sheet name="Th_energy1" sheetId="5" r:id="rId6"/>
    <sheet name="Th_energy2" sheetId="17" r:id="rId7"/>
    <sheet name="Electricity Load1" sheetId="15" r:id="rId8"/>
    <sheet name="Electricity Load2" sheetId="24" r:id="rId9"/>
    <sheet name="Primary_Energy1" sheetId="9" r:id="rId10"/>
    <sheet name="Primary_Energy2" sheetId="19" r:id="rId11"/>
    <sheet name="Tmax_final2" sheetId="21" r:id="rId12"/>
    <sheet name="Tmax_final1" sheetId="22" r:id="rId13"/>
    <sheet name="Cost" sheetId="26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21" l="1"/>
  <c r="R15" i="21"/>
  <c r="R14" i="21"/>
  <c r="R13" i="21"/>
  <c r="R12" i="21"/>
  <c r="R11" i="21"/>
  <c r="R10" i="21"/>
  <c r="R43" i="21"/>
  <c r="R42" i="21"/>
  <c r="R41" i="21"/>
  <c r="R40" i="21"/>
  <c r="R39" i="21"/>
  <c r="R38" i="21"/>
  <c r="R37" i="21"/>
  <c r="R36" i="21"/>
  <c r="R35" i="21"/>
  <c r="R34" i="21"/>
  <c r="R33" i="21"/>
  <c r="R32" i="21"/>
  <c r="R31" i="21"/>
  <c r="R30" i="21"/>
  <c r="R29" i="21"/>
  <c r="R42" i="22"/>
  <c r="T15" i="22"/>
  <c r="R38" i="22"/>
  <c r="R43" i="22"/>
  <c r="R32" i="22"/>
  <c r="R33" i="22"/>
  <c r="R34" i="22"/>
  <c r="R35" i="22"/>
  <c r="R36" i="22"/>
  <c r="R37" i="22"/>
  <c r="R31" i="22"/>
  <c r="R30" i="22"/>
  <c r="R29" i="22"/>
  <c r="R41" i="22"/>
  <c r="R40" i="22"/>
  <c r="R39" i="22"/>
  <c r="H3" i="26"/>
  <c r="G3" i="26"/>
  <c r="H2" i="26"/>
  <c r="G2" i="26"/>
  <c r="C3" i="26"/>
  <c r="B3" i="26"/>
  <c r="C2" i="26"/>
  <c r="B2" i="26"/>
  <c r="V4" i="14"/>
  <c r="H72" i="22"/>
  <c r="H24" i="21"/>
  <c r="L34" i="21"/>
  <c r="V2" i="23" l="1"/>
  <c r="V3" i="14"/>
  <c r="V2" i="14"/>
  <c r="V3" i="23"/>
  <c r="H78" i="24"/>
  <c r="H70" i="24"/>
  <c r="H69" i="24"/>
  <c r="H63" i="24"/>
  <c r="H62" i="24"/>
  <c r="H53" i="24"/>
  <c r="H52" i="24"/>
  <c r="H40" i="24"/>
  <c r="H39" i="24"/>
  <c r="H38" i="24"/>
  <c r="H32" i="24"/>
  <c r="H31" i="24"/>
  <c r="H29" i="24"/>
  <c r="H22" i="24"/>
  <c r="H21" i="24"/>
  <c r="H9" i="24"/>
  <c r="H8" i="24"/>
  <c r="U43" i="22"/>
  <c r="U42" i="22"/>
  <c r="U41" i="22"/>
  <c r="U40" i="22"/>
  <c r="U39" i="22"/>
  <c r="U38" i="22"/>
  <c r="U35" i="22"/>
  <c r="U36" i="22"/>
  <c r="U37" i="22"/>
  <c r="U34" i="22"/>
  <c r="U33" i="22"/>
  <c r="U32" i="22"/>
  <c r="U31" i="22"/>
  <c r="U30" i="22"/>
  <c r="U29" i="22"/>
  <c r="T24" i="22"/>
  <c r="T14" i="22"/>
  <c r="T13" i="22"/>
  <c r="T12" i="22"/>
  <c r="T11" i="22"/>
  <c r="T10" i="22"/>
  <c r="T24" i="21"/>
  <c r="T15" i="21"/>
  <c r="T14" i="21"/>
  <c r="T12" i="21"/>
  <c r="T11" i="21"/>
  <c r="U43" i="21"/>
  <c r="U42" i="21"/>
  <c r="U41" i="21"/>
  <c r="U40" i="21"/>
  <c r="U39" i="21"/>
  <c r="U38" i="21"/>
  <c r="U32" i="21"/>
  <c r="U33" i="21"/>
  <c r="U34" i="21"/>
  <c r="U35" i="21"/>
  <c r="U36" i="21"/>
  <c r="U37" i="21"/>
  <c r="U31" i="21"/>
  <c r="U30" i="21"/>
  <c r="U29" i="21"/>
  <c r="E70" i="21"/>
  <c r="E70" i="22"/>
  <c r="E68" i="21"/>
  <c r="E68" i="22"/>
  <c r="E64" i="21"/>
  <c r="F64" i="21" s="1"/>
  <c r="E64" i="22"/>
  <c r="F64" i="22" s="1"/>
  <c r="E59" i="22"/>
  <c r="E54" i="22"/>
  <c r="E49" i="22"/>
  <c r="E44" i="22"/>
  <c r="E39" i="22"/>
  <c r="E34" i="22"/>
  <c r="E59" i="21"/>
  <c r="E54" i="21"/>
  <c r="E49" i="21"/>
  <c r="E44" i="21"/>
  <c r="E39" i="21"/>
  <c r="E34" i="21"/>
  <c r="E30" i="22"/>
  <c r="E30" i="21"/>
  <c r="E18" i="22"/>
  <c r="E14" i="22"/>
  <c r="E10" i="22"/>
  <c r="E26" i="22"/>
  <c r="E22" i="22"/>
  <c r="E26" i="21"/>
  <c r="E22" i="21"/>
  <c r="E18" i="21"/>
  <c r="E14" i="21"/>
  <c r="E10" i="21"/>
  <c r="F1" i="9"/>
  <c r="F1" i="19"/>
  <c r="G89" i="24"/>
  <c r="H89" i="24" s="1"/>
  <c r="D88" i="24"/>
  <c r="G88" i="24" s="1"/>
  <c r="H88" i="24" s="1"/>
  <c r="G87" i="24"/>
  <c r="H87" i="24" s="1"/>
  <c r="G86" i="24"/>
  <c r="H86" i="24" s="1"/>
  <c r="D85" i="24"/>
  <c r="G85" i="24" s="1"/>
  <c r="H85" i="24" s="1"/>
  <c r="G84" i="24"/>
  <c r="H84" i="24" s="1"/>
  <c r="G83" i="24"/>
  <c r="H83" i="24" s="1"/>
  <c r="G82" i="24"/>
  <c r="H82" i="24" s="1"/>
  <c r="G81" i="24"/>
  <c r="H81" i="24" s="1"/>
  <c r="D80" i="24"/>
  <c r="G80" i="24" s="1"/>
  <c r="H80" i="24" s="1"/>
  <c r="D79" i="24"/>
  <c r="G79" i="24" s="1"/>
  <c r="H79" i="24" s="1"/>
  <c r="G78" i="24"/>
  <c r="D77" i="24"/>
  <c r="G77" i="24" s="1"/>
  <c r="H77" i="24" s="1"/>
  <c r="D76" i="24"/>
  <c r="G76" i="24" s="1"/>
  <c r="H76" i="24" s="1"/>
  <c r="D75" i="24"/>
  <c r="G75" i="24" s="1"/>
  <c r="H75" i="24" s="1"/>
  <c r="G74" i="24"/>
  <c r="H74" i="24" s="1"/>
  <c r="G73" i="24"/>
  <c r="H73" i="24" s="1"/>
  <c r="G72" i="24"/>
  <c r="H72" i="24" s="1"/>
  <c r="G71" i="24"/>
  <c r="H71" i="24" s="1"/>
  <c r="D71" i="24"/>
  <c r="D70" i="24"/>
  <c r="G70" i="24" s="1"/>
  <c r="D69" i="24"/>
  <c r="G69" i="24" s="1"/>
  <c r="G68" i="24"/>
  <c r="H68" i="24" s="1"/>
  <c r="G67" i="24"/>
  <c r="H67" i="24" s="1"/>
  <c r="G66" i="24"/>
  <c r="H66" i="24" s="1"/>
  <c r="D65" i="24"/>
  <c r="G65" i="24" s="1"/>
  <c r="H65" i="24" s="1"/>
  <c r="D64" i="24"/>
  <c r="G64" i="24" s="1"/>
  <c r="H64" i="24" s="1"/>
  <c r="D63" i="24"/>
  <c r="G63" i="24" s="1"/>
  <c r="G62" i="24"/>
  <c r="G61" i="24"/>
  <c r="H61" i="24" s="1"/>
  <c r="G60" i="24"/>
  <c r="H60" i="24" s="1"/>
  <c r="D59" i="24"/>
  <c r="G59" i="24" s="1"/>
  <c r="H59" i="24" s="1"/>
  <c r="D58" i="24"/>
  <c r="G58" i="24" s="1"/>
  <c r="H58" i="24" s="1"/>
  <c r="D57" i="24"/>
  <c r="G57" i="24" s="1"/>
  <c r="H57" i="24" s="1"/>
  <c r="G56" i="24"/>
  <c r="H56" i="24" s="1"/>
  <c r="G55" i="24"/>
  <c r="H55" i="24" s="1"/>
  <c r="G54" i="24"/>
  <c r="H54" i="24" s="1"/>
  <c r="D53" i="24"/>
  <c r="G53" i="24" s="1"/>
  <c r="G52" i="24"/>
  <c r="D52" i="24"/>
  <c r="D51" i="24"/>
  <c r="G51" i="24" s="1"/>
  <c r="H51" i="24" s="1"/>
  <c r="G50" i="24"/>
  <c r="H50" i="24" s="1"/>
  <c r="G49" i="24"/>
  <c r="H49" i="24" s="1"/>
  <c r="G48" i="24"/>
  <c r="H48" i="24" s="1"/>
  <c r="D47" i="24"/>
  <c r="G47" i="24" s="1"/>
  <c r="H47" i="24" s="1"/>
  <c r="D46" i="24"/>
  <c r="G46" i="24" s="1"/>
  <c r="H46" i="24" s="1"/>
  <c r="D45" i="24"/>
  <c r="G45" i="24" s="1"/>
  <c r="H45" i="24" s="1"/>
  <c r="D44" i="24"/>
  <c r="G44" i="24" s="1"/>
  <c r="H44" i="24" s="1"/>
  <c r="G43" i="24"/>
  <c r="H43" i="24" s="1"/>
  <c r="G42" i="24"/>
  <c r="H42" i="24" s="1"/>
  <c r="D41" i="24"/>
  <c r="G41" i="24" s="1"/>
  <c r="H41" i="24" s="1"/>
  <c r="D40" i="24"/>
  <c r="G40" i="24" s="1"/>
  <c r="D39" i="24"/>
  <c r="G39" i="24" s="1"/>
  <c r="D38" i="24"/>
  <c r="G38" i="24" s="1"/>
  <c r="G37" i="24"/>
  <c r="H37" i="24" s="1"/>
  <c r="G36" i="24"/>
  <c r="H36" i="24" s="1"/>
  <c r="D35" i="24"/>
  <c r="G35" i="24" s="1"/>
  <c r="H35" i="24" s="1"/>
  <c r="D34" i="24"/>
  <c r="G34" i="24" s="1"/>
  <c r="H34" i="24" s="1"/>
  <c r="D33" i="24"/>
  <c r="G33" i="24" s="1"/>
  <c r="H33" i="24" s="1"/>
  <c r="G32" i="24"/>
  <c r="G31" i="24"/>
  <c r="G30" i="24"/>
  <c r="H30" i="24" s="1"/>
  <c r="D29" i="24"/>
  <c r="G29" i="24" s="1"/>
  <c r="D28" i="24"/>
  <c r="G28" i="24" s="1"/>
  <c r="H28" i="24" s="1"/>
  <c r="D27" i="24"/>
  <c r="G27" i="24" s="1"/>
  <c r="H27" i="24" s="1"/>
  <c r="D26" i="24"/>
  <c r="G26" i="24" s="1"/>
  <c r="H26" i="24" s="1"/>
  <c r="G25" i="24"/>
  <c r="H25" i="24" s="1"/>
  <c r="G24" i="24"/>
  <c r="H24" i="24" s="1"/>
  <c r="D23" i="24"/>
  <c r="G23" i="24" s="1"/>
  <c r="H23" i="24" s="1"/>
  <c r="D22" i="24"/>
  <c r="G22" i="24" s="1"/>
  <c r="D21" i="24"/>
  <c r="G21" i="24" s="1"/>
  <c r="G20" i="24"/>
  <c r="H20" i="24" s="1"/>
  <c r="G19" i="24"/>
  <c r="H19" i="24" s="1"/>
  <c r="G18" i="24"/>
  <c r="H18" i="24" s="1"/>
  <c r="D17" i="24"/>
  <c r="G17" i="24" s="1"/>
  <c r="H17" i="24" s="1"/>
  <c r="D16" i="24"/>
  <c r="G16" i="24" s="1"/>
  <c r="H16" i="24" s="1"/>
  <c r="G15" i="24"/>
  <c r="H15" i="24" s="1"/>
  <c r="D15" i="24"/>
  <c r="G14" i="24"/>
  <c r="H14" i="24" s="1"/>
  <c r="G13" i="24"/>
  <c r="H13" i="24" s="1"/>
  <c r="G12" i="24"/>
  <c r="H12" i="24" s="1"/>
  <c r="D11" i="24"/>
  <c r="G11" i="24" s="1"/>
  <c r="H11" i="24" s="1"/>
  <c r="D10" i="24"/>
  <c r="G10" i="24" s="1"/>
  <c r="H10" i="24" s="1"/>
  <c r="D9" i="24"/>
  <c r="G9" i="24" s="1"/>
  <c r="G8" i="24"/>
  <c r="G7" i="24"/>
  <c r="H7" i="24" s="1"/>
  <c r="G6" i="24"/>
  <c r="H6" i="24" s="1"/>
  <c r="G5" i="24"/>
  <c r="H5" i="24" s="1"/>
  <c r="D5" i="24"/>
  <c r="D88" i="15"/>
  <c r="D85" i="15"/>
  <c r="D80" i="15"/>
  <c r="D79" i="15"/>
  <c r="D77" i="15"/>
  <c r="D76" i="15"/>
  <c r="D75" i="15"/>
  <c r="D71" i="15"/>
  <c r="D70" i="15"/>
  <c r="D69" i="15"/>
  <c r="D65" i="15"/>
  <c r="D64" i="15"/>
  <c r="D63" i="15"/>
  <c r="D59" i="15"/>
  <c r="D58" i="15"/>
  <c r="D57" i="15"/>
  <c r="D53" i="15"/>
  <c r="D52" i="15"/>
  <c r="D51" i="15"/>
  <c r="D47" i="15"/>
  <c r="D46" i="15"/>
  <c r="D45" i="15"/>
  <c r="D44" i="15"/>
  <c r="D41" i="15"/>
  <c r="D40" i="15"/>
  <c r="D39" i="15"/>
  <c r="D38" i="15"/>
  <c r="D35" i="15"/>
  <c r="D34" i="15"/>
  <c r="D33" i="15"/>
  <c r="D29" i="15"/>
  <c r="D28" i="15"/>
  <c r="D27" i="15"/>
  <c r="D26" i="15"/>
  <c r="D23" i="15"/>
  <c r="D22" i="15"/>
  <c r="D21" i="15"/>
  <c r="D17" i="15"/>
  <c r="D16" i="15"/>
  <c r="D15" i="15"/>
  <c r="D11" i="15"/>
  <c r="D10" i="15"/>
  <c r="D9" i="15"/>
  <c r="D5" i="15"/>
  <c r="B2" i="2"/>
  <c r="G25" i="20"/>
  <c r="G24" i="20"/>
  <c r="G23" i="20"/>
  <c r="G20" i="20"/>
  <c r="G19" i="20"/>
  <c r="G18" i="20"/>
  <c r="G17" i="20"/>
  <c r="H17" i="20" s="1"/>
  <c r="G16" i="20"/>
  <c r="H16" i="20" s="1"/>
  <c r="G15" i="20"/>
  <c r="G14" i="20"/>
  <c r="E12" i="20"/>
  <c r="D12" i="20"/>
  <c r="F42" i="23"/>
  <c r="D16" i="5"/>
  <c r="B8" i="5"/>
  <c r="E4" i="5"/>
  <c r="B8" i="17"/>
  <c r="D1" i="4"/>
  <c r="C12" i="23"/>
  <c r="C9" i="23"/>
  <c r="N21" i="23" s="1"/>
  <c r="O21" i="23" s="1"/>
  <c r="C8" i="23"/>
  <c r="L30" i="23" s="1"/>
  <c r="M30" i="23" s="1"/>
  <c r="F49" i="23"/>
  <c r="F48" i="23"/>
  <c r="F44" i="23"/>
  <c r="W30" i="23" s="1"/>
  <c r="F43" i="23"/>
  <c r="F47" i="23" s="1"/>
  <c r="Y36" i="23"/>
  <c r="Z36" i="23" s="1"/>
  <c r="W36" i="23"/>
  <c r="T36" i="23"/>
  <c r="U36" i="23" s="1"/>
  <c r="R36" i="23"/>
  <c r="P36" i="23"/>
  <c r="N36" i="23"/>
  <c r="O36" i="23" s="1"/>
  <c r="L36" i="23"/>
  <c r="M36" i="23" s="1"/>
  <c r="Y35" i="23"/>
  <c r="Z35" i="23" s="1"/>
  <c r="W35" i="23"/>
  <c r="T35" i="23"/>
  <c r="U35" i="23" s="1"/>
  <c r="R35" i="23"/>
  <c r="S35" i="23" s="1"/>
  <c r="P35" i="23"/>
  <c r="Q35" i="23" s="1"/>
  <c r="N35" i="23"/>
  <c r="O35" i="23" s="1"/>
  <c r="L35" i="23"/>
  <c r="M35" i="23" s="1"/>
  <c r="Y34" i="23"/>
  <c r="Z34" i="23" s="1"/>
  <c r="W34" i="23"/>
  <c r="T34" i="23"/>
  <c r="U34" i="23" s="1"/>
  <c r="R34" i="23"/>
  <c r="S34" i="23" s="1"/>
  <c r="P34" i="23"/>
  <c r="Q34" i="23" s="1"/>
  <c r="N34" i="23"/>
  <c r="O34" i="23" s="1"/>
  <c r="L34" i="23"/>
  <c r="M34" i="23" s="1"/>
  <c r="H34" i="23"/>
  <c r="F34" i="23"/>
  <c r="F50" i="23" s="1"/>
  <c r="Y33" i="23"/>
  <c r="Z33" i="23" s="1"/>
  <c r="T33" i="23"/>
  <c r="U33" i="23" s="1"/>
  <c r="R33" i="23"/>
  <c r="S33" i="23" s="1"/>
  <c r="P33" i="23"/>
  <c r="Q33" i="23" s="1"/>
  <c r="N33" i="23"/>
  <c r="O33" i="23" s="1"/>
  <c r="L33" i="23"/>
  <c r="M33" i="23" s="1"/>
  <c r="H33" i="23"/>
  <c r="F33" i="23"/>
  <c r="F46" i="23" s="1"/>
  <c r="W33" i="23" s="1"/>
  <c r="Y32" i="23"/>
  <c r="Z32" i="23" s="1"/>
  <c r="T32" i="23"/>
  <c r="U32" i="23" s="1"/>
  <c r="R32" i="23"/>
  <c r="S32" i="23" s="1"/>
  <c r="P32" i="23"/>
  <c r="Q32" i="23" s="1"/>
  <c r="N32" i="23"/>
  <c r="O32" i="23" s="1"/>
  <c r="L32" i="23"/>
  <c r="M32" i="23" s="1"/>
  <c r="H32" i="23"/>
  <c r="F32" i="23"/>
  <c r="F45" i="23" s="1"/>
  <c r="W32" i="23" s="1"/>
  <c r="B32" i="23"/>
  <c r="Y31" i="23"/>
  <c r="Z31" i="23" s="1"/>
  <c r="T31" i="23"/>
  <c r="U31" i="23" s="1"/>
  <c r="R31" i="23"/>
  <c r="S31" i="23" s="1"/>
  <c r="P31" i="23"/>
  <c r="Q31" i="23" s="1"/>
  <c r="N31" i="23"/>
  <c r="O31" i="23" s="1"/>
  <c r="L31" i="23"/>
  <c r="M31" i="23" s="1"/>
  <c r="I31" i="23"/>
  <c r="H31" i="23"/>
  <c r="G31" i="23"/>
  <c r="F31" i="23"/>
  <c r="B31" i="23"/>
  <c r="Y30" i="23"/>
  <c r="Z30" i="23" s="1"/>
  <c r="T30" i="23"/>
  <c r="U30" i="23" s="1"/>
  <c r="R30" i="23"/>
  <c r="S30" i="23" s="1"/>
  <c r="P30" i="23"/>
  <c r="Q30" i="23" s="1"/>
  <c r="N30" i="23"/>
  <c r="O30" i="23" s="1"/>
  <c r="I30" i="23"/>
  <c r="H30" i="23"/>
  <c r="G30" i="23"/>
  <c r="F30" i="23"/>
  <c r="B30" i="23"/>
  <c r="Z29" i="23"/>
  <c r="Y29" i="23"/>
  <c r="T29" i="23"/>
  <c r="U29" i="23" s="1"/>
  <c r="R29" i="23"/>
  <c r="S29" i="23" s="1"/>
  <c r="P29" i="23"/>
  <c r="N29" i="23"/>
  <c r="O29" i="23" s="1"/>
  <c r="L29" i="23"/>
  <c r="M29" i="23" s="1"/>
  <c r="I29" i="23"/>
  <c r="H29" i="23"/>
  <c r="G29" i="23"/>
  <c r="F29" i="23"/>
  <c r="B29" i="23"/>
  <c r="Y28" i="23"/>
  <c r="Z28" i="23" s="1"/>
  <c r="T28" i="23"/>
  <c r="U28" i="23" s="1"/>
  <c r="R28" i="23"/>
  <c r="S28" i="23" s="1"/>
  <c r="P28" i="23"/>
  <c r="Q28" i="23" s="1"/>
  <c r="N28" i="23"/>
  <c r="O28" i="23" s="1"/>
  <c r="L28" i="23"/>
  <c r="M28" i="23" s="1"/>
  <c r="I28" i="23"/>
  <c r="H28" i="23"/>
  <c r="G28" i="23"/>
  <c r="F28" i="23"/>
  <c r="B28" i="23"/>
  <c r="Y27" i="23"/>
  <c r="Z27" i="23" s="1"/>
  <c r="T27" i="23"/>
  <c r="U27" i="23" s="1"/>
  <c r="R27" i="23"/>
  <c r="P27" i="23"/>
  <c r="Q27" i="23" s="1"/>
  <c r="N27" i="23"/>
  <c r="O27" i="23" s="1"/>
  <c r="L27" i="23"/>
  <c r="M27" i="23" s="1"/>
  <c r="I27" i="23"/>
  <c r="H27" i="23"/>
  <c r="G27" i="23"/>
  <c r="F27" i="23"/>
  <c r="B27" i="23"/>
  <c r="Z26" i="23"/>
  <c r="Y26" i="23"/>
  <c r="T26" i="23"/>
  <c r="U26" i="23" s="1"/>
  <c r="R26" i="23"/>
  <c r="S26" i="23" s="1"/>
  <c r="P26" i="23"/>
  <c r="N26" i="23"/>
  <c r="O26" i="23" s="1"/>
  <c r="L26" i="23"/>
  <c r="M26" i="23" s="1"/>
  <c r="I26" i="23"/>
  <c r="H26" i="23"/>
  <c r="G26" i="23"/>
  <c r="F26" i="23"/>
  <c r="B26" i="23"/>
  <c r="Y25" i="23"/>
  <c r="Z25" i="23" s="1"/>
  <c r="T25" i="23"/>
  <c r="U25" i="23" s="1"/>
  <c r="R25" i="23"/>
  <c r="S25" i="23" s="1"/>
  <c r="P25" i="23"/>
  <c r="Q25" i="23" s="1"/>
  <c r="N25" i="23"/>
  <c r="O25" i="23" s="1"/>
  <c r="L25" i="23"/>
  <c r="M25" i="23" s="1"/>
  <c r="Z24" i="23"/>
  <c r="Y24" i="23"/>
  <c r="T24" i="23"/>
  <c r="U24" i="23" s="1"/>
  <c r="R24" i="23"/>
  <c r="S24" i="23" s="1"/>
  <c r="P24" i="23"/>
  <c r="N24" i="23"/>
  <c r="O24" i="23" s="1"/>
  <c r="L24" i="23"/>
  <c r="M24" i="23" s="1"/>
  <c r="B24" i="23"/>
  <c r="Z23" i="23"/>
  <c r="Y23" i="23"/>
  <c r="T23" i="23"/>
  <c r="U23" i="23" s="1"/>
  <c r="S23" i="23"/>
  <c r="R23" i="23"/>
  <c r="P23" i="23"/>
  <c r="N23" i="23"/>
  <c r="O23" i="23" s="1"/>
  <c r="L23" i="23"/>
  <c r="M23" i="23" s="1"/>
  <c r="F23" i="23"/>
  <c r="F41" i="23" s="1"/>
  <c r="D23" i="23"/>
  <c r="B23" i="23"/>
  <c r="Y22" i="23"/>
  <c r="Z22" i="23" s="1"/>
  <c r="W22" i="23"/>
  <c r="T22" i="23"/>
  <c r="U22" i="23" s="1"/>
  <c r="R22" i="23"/>
  <c r="S22" i="23" s="1"/>
  <c r="P22" i="23"/>
  <c r="Q22" i="23" s="1"/>
  <c r="N22" i="23"/>
  <c r="O22" i="23" s="1"/>
  <c r="L22" i="23"/>
  <c r="M22" i="23" s="1"/>
  <c r="B22" i="23"/>
  <c r="Y21" i="23"/>
  <c r="Z21" i="23" s="1"/>
  <c r="W21" i="23"/>
  <c r="T21" i="23"/>
  <c r="U21" i="23" s="1"/>
  <c r="R21" i="23"/>
  <c r="S21" i="23" s="1"/>
  <c r="P21" i="23"/>
  <c r="Q21" i="23" s="1"/>
  <c r="L21" i="23"/>
  <c r="M21" i="23" s="1"/>
  <c r="Z20" i="23"/>
  <c r="Y20" i="23"/>
  <c r="W20" i="23"/>
  <c r="T20" i="23"/>
  <c r="U20" i="23" s="1"/>
  <c r="S20" i="23"/>
  <c r="R20" i="23"/>
  <c r="P20" i="23"/>
  <c r="Q20" i="23" s="1"/>
  <c r="N20" i="23"/>
  <c r="O20" i="23" s="1"/>
  <c r="L20" i="23"/>
  <c r="M20" i="23" s="1"/>
  <c r="Y19" i="23"/>
  <c r="Z19" i="23" s="1"/>
  <c r="W19" i="23"/>
  <c r="U19" i="23"/>
  <c r="T19" i="23"/>
  <c r="R19" i="23"/>
  <c r="S19" i="23" s="1"/>
  <c r="P19" i="23"/>
  <c r="Q19" i="23" s="1"/>
  <c r="N19" i="23"/>
  <c r="O19" i="23" s="1"/>
  <c r="L19" i="23"/>
  <c r="M19" i="23" s="1"/>
  <c r="Z18" i="23"/>
  <c r="Y18" i="23"/>
  <c r="W18" i="23"/>
  <c r="T18" i="23"/>
  <c r="U18" i="23" s="1"/>
  <c r="R18" i="23"/>
  <c r="S18" i="23" s="1"/>
  <c r="P18" i="23"/>
  <c r="Q18" i="23" s="1"/>
  <c r="N18" i="23"/>
  <c r="O18" i="23" s="1"/>
  <c r="B18" i="23"/>
  <c r="G2" i="23"/>
  <c r="B2" i="23"/>
  <c r="H71" i="22"/>
  <c r="F70" i="22"/>
  <c r="Q24" i="22" s="1"/>
  <c r="H69" i="22"/>
  <c r="F68" i="22"/>
  <c r="E67" i="22"/>
  <c r="E66" i="22"/>
  <c r="H65" i="22"/>
  <c r="E63" i="22"/>
  <c r="D63" i="22"/>
  <c r="H62" i="22"/>
  <c r="H61" i="22"/>
  <c r="H60" i="22"/>
  <c r="F59" i="22"/>
  <c r="E58" i="22"/>
  <c r="D58" i="22"/>
  <c r="H57" i="22"/>
  <c r="H56" i="22"/>
  <c r="H55" i="22"/>
  <c r="F54" i="22"/>
  <c r="E53" i="22"/>
  <c r="D53" i="22"/>
  <c r="H52" i="22"/>
  <c r="H51" i="22"/>
  <c r="H50" i="22"/>
  <c r="F49" i="22"/>
  <c r="E48" i="22"/>
  <c r="H47" i="22"/>
  <c r="H46" i="22"/>
  <c r="H45" i="22"/>
  <c r="F44" i="22"/>
  <c r="S43" i="22"/>
  <c r="Z43" i="22" s="1"/>
  <c r="X43" i="22"/>
  <c r="E43" i="22"/>
  <c r="Y42" i="22"/>
  <c r="X42" i="22"/>
  <c r="S42" i="22"/>
  <c r="Z42" i="22" s="1"/>
  <c r="H42" i="22"/>
  <c r="X41" i="22"/>
  <c r="S41" i="22"/>
  <c r="Z41" i="22" s="1"/>
  <c r="H41" i="22"/>
  <c r="X40" i="22"/>
  <c r="H40" i="22"/>
  <c r="X39" i="22"/>
  <c r="F39" i="22"/>
  <c r="X38" i="22"/>
  <c r="S38" i="22"/>
  <c r="Z38" i="22" s="1"/>
  <c r="E38" i="22"/>
  <c r="X37" i="22"/>
  <c r="H37" i="22"/>
  <c r="X36" i="22"/>
  <c r="S36" i="22"/>
  <c r="H36" i="22"/>
  <c r="X35" i="22"/>
  <c r="S35" i="22"/>
  <c r="Z35" i="22" s="1"/>
  <c r="H35" i="22"/>
  <c r="X34" i="22"/>
  <c r="L34" i="22"/>
  <c r="D38" i="22" s="1"/>
  <c r="F38" i="22" s="1"/>
  <c r="F34" i="22"/>
  <c r="X33" i="22"/>
  <c r="S33" i="22"/>
  <c r="H33" i="22"/>
  <c r="X32" i="22"/>
  <c r="S32" i="22"/>
  <c r="Z32" i="22" s="1"/>
  <c r="H32" i="22"/>
  <c r="X31" i="22"/>
  <c r="S31" i="22"/>
  <c r="Z31" i="22" s="1"/>
  <c r="H31" i="22"/>
  <c r="S30" i="22"/>
  <c r="Y30" i="22" s="1"/>
  <c r="X30" i="22"/>
  <c r="H30" i="22"/>
  <c r="X29" i="22"/>
  <c r="S29" i="22"/>
  <c r="Z29" i="22" s="1"/>
  <c r="H29" i="22"/>
  <c r="H28" i="22"/>
  <c r="H27" i="22"/>
  <c r="F26" i="22"/>
  <c r="H25" i="22"/>
  <c r="H24" i="22"/>
  <c r="H23" i="22"/>
  <c r="F22" i="22"/>
  <c r="H20" i="22"/>
  <c r="H19" i="22"/>
  <c r="F18" i="22"/>
  <c r="H17" i="22"/>
  <c r="H16" i="22"/>
  <c r="H15" i="22"/>
  <c r="Q14" i="22"/>
  <c r="Q30" i="22" s="1"/>
  <c r="F14" i="22"/>
  <c r="Q11" i="22" s="1"/>
  <c r="S11" i="22" s="1"/>
  <c r="H13" i="22"/>
  <c r="H12" i="22"/>
  <c r="H11" i="22"/>
  <c r="F10" i="22"/>
  <c r="Q10" i="22" s="1"/>
  <c r="H71" i="21"/>
  <c r="F70" i="21"/>
  <c r="Q24" i="21" s="1"/>
  <c r="H69" i="21"/>
  <c r="F68" i="21"/>
  <c r="E67" i="21"/>
  <c r="E66" i="21"/>
  <c r="H65" i="21"/>
  <c r="E63" i="21"/>
  <c r="H62" i="21"/>
  <c r="H61" i="21"/>
  <c r="H60" i="21"/>
  <c r="F59" i="21"/>
  <c r="E58" i="21"/>
  <c r="H57" i="21"/>
  <c r="H56" i="21"/>
  <c r="H55" i="21"/>
  <c r="F54" i="21"/>
  <c r="E53" i="21"/>
  <c r="H52" i="21"/>
  <c r="H51" i="21"/>
  <c r="H50" i="21"/>
  <c r="F49" i="21"/>
  <c r="E48" i="21"/>
  <c r="H47" i="21"/>
  <c r="H46" i="21"/>
  <c r="H45" i="21"/>
  <c r="F44" i="21"/>
  <c r="S43" i="21"/>
  <c r="Z43" i="21" s="1"/>
  <c r="E43" i="21"/>
  <c r="X42" i="21"/>
  <c r="S42" i="21"/>
  <c r="H42" i="21"/>
  <c r="X41" i="21"/>
  <c r="H41" i="21"/>
  <c r="S40" i="21"/>
  <c r="Z40" i="21" s="1"/>
  <c r="H40" i="21"/>
  <c r="X39" i="21"/>
  <c r="F39" i="21"/>
  <c r="X38" i="21"/>
  <c r="S38" i="21"/>
  <c r="E38" i="21"/>
  <c r="H37" i="21"/>
  <c r="X36" i="21"/>
  <c r="H36" i="21"/>
  <c r="S35" i="21"/>
  <c r="H35" i="21"/>
  <c r="S34" i="21"/>
  <c r="Z34" i="21" s="1"/>
  <c r="D38" i="21"/>
  <c r="F34" i="21"/>
  <c r="X33" i="21"/>
  <c r="H33" i="21"/>
  <c r="S32" i="21"/>
  <c r="H32" i="21"/>
  <c r="S31" i="21"/>
  <c r="Z31" i="21" s="1"/>
  <c r="H31" i="21"/>
  <c r="F30" i="21"/>
  <c r="Q15" i="21" s="1"/>
  <c r="S29" i="21"/>
  <c r="H29" i="21"/>
  <c r="H28" i="21"/>
  <c r="H27" i="21"/>
  <c r="F26" i="21"/>
  <c r="Q14" i="21" s="1"/>
  <c r="H25" i="21"/>
  <c r="H23" i="21"/>
  <c r="F22" i="21"/>
  <c r="H20" i="21"/>
  <c r="H19" i="21"/>
  <c r="F18" i="21"/>
  <c r="H17" i="21"/>
  <c r="H16" i="21"/>
  <c r="H15" i="21"/>
  <c r="F14" i="21"/>
  <c r="H13" i="21"/>
  <c r="H72" i="21" s="1"/>
  <c r="H12" i="21"/>
  <c r="H11" i="21"/>
  <c r="F10" i="21"/>
  <c r="H25" i="20"/>
  <c r="H24" i="20"/>
  <c r="H23" i="20"/>
  <c r="D23" i="20"/>
  <c r="D22" i="20"/>
  <c r="G22" i="20" s="1"/>
  <c r="H22" i="20" s="1"/>
  <c r="D21" i="20"/>
  <c r="G21" i="20" s="1"/>
  <c r="H21" i="20" s="1"/>
  <c r="H20" i="20"/>
  <c r="E20" i="20"/>
  <c r="D20" i="20"/>
  <c r="H19" i="20"/>
  <c r="E19" i="20"/>
  <c r="D19" i="20"/>
  <c r="H18" i="20"/>
  <c r="E18" i="20"/>
  <c r="D18" i="20"/>
  <c r="E17" i="20"/>
  <c r="D17" i="20"/>
  <c r="E16" i="20"/>
  <c r="D16" i="20"/>
  <c r="H15" i="20"/>
  <c r="E15" i="20"/>
  <c r="D15" i="20"/>
  <c r="H14" i="20"/>
  <c r="G13" i="20"/>
  <c r="H13" i="20" s="1"/>
  <c r="G12" i="20"/>
  <c r="H12" i="20" s="1"/>
  <c r="G11" i="20"/>
  <c r="H11" i="20" s="1"/>
  <c r="G10" i="20"/>
  <c r="H10" i="20" s="1"/>
  <c r="G9" i="20"/>
  <c r="H9" i="20" s="1"/>
  <c r="G8" i="20"/>
  <c r="H8" i="20" s="1"/>
  <c r="G7" i="20"/>
  <c r="D23" i="17"/>
  <c r="H6" i="17"/>
  <c r="D16" i="17"/>
  <c r="F53" i="22" l="1"/>
  <c r="F63" i="22"/>
  <c r="F38" i="21"/>
  <c r="F58" i="22"/>
  <c r="Y40" i="21"/>
  <c r="Y32" i="22"/>
  <c r="Y31" i="22"/>
  <c r="Y29" i="22"/>
  <c r="Y41" i="22"/>
  <c r="X35" i="21"/>
  <c r="X40" i="21"/>
  <c r="S39" i="21"/>
  <c r="Y39" i="21" s="1"/>
  <c r="S36" i="21"/>
  <c r="X34" i="21"/>
  <c r="X32" i="21"/>
  <c r="X29" i="21"/>
  <c r="X31" i="21"/>
  <c r="S41" i="21"/>
  <c r="Z41" i="21" s="1"/>
  <c r="X43" i="21"/>
  <c r="Q10" i="21"/>
  <c r="Q16" i="21"/>
  <c r="Q18" i="21" s="1"/>
  <c r="Q16" i="22"/>
  <c r="Q32" i="22" s="1"/>
  <c r="Q12" i="22"/>
  <c r="S12" i="22" s="1"/>
  <c r="Q11" i="21"/>
  <c r="S11" i="21" s="1"/>
  <c r="G90" i="24"/>
  <c r="H90" i="24"/>
  <c r="H92" i="24" s="1"/>
  <c r="E10" i="19" s="1"/>
  <c r="AA22" i="23"/>
  <c r="AA21" i="23"/>
  <c r="AB21" i="23" s="1"/>
  <c r="AD21" i="23" s="1"/>
  <c r="AA19" i="23"/>
  <c r="AB19" i="23" s="1"/>
  <c r="L18" i="23"/>
  <c r="M18" i="23" s="1"/>
  <c r="AA18" i="23" s="1"/>
  <c r="AB18" i="23" s="1"/>
  <c r="S36" i="23"/>
  <c r="AE19" i="23"/>
  <c r="AD19" i="23"/>
  <c r="V24" i="23"/>
  <c r="V21" i="23"/>
  <c r="V30" i="23"/>
  <c r="AA30" i="23"/>
  <c r="AB30" i="23" s="1"/>
  <c r="V28" i="23"/>
  <c r="AA28" i="23"/>
  <c r="AB28" i="23" s="1"/>
  <c r="V19" i="23"/>
  <c r="V31" i="23"/>
  <c r="AB22" i="23"/>
  <c r="AA20" i="23"/>
  <c r="AB20" i="23" s="1"/>
  <c r="V20" i="23"/>
  <c r="W24" i="23"/>
  <c r="Q24" i="23"/>
  <c r="AA24" i="23" s="1"/>
  <c r="AB24" i="23" s="1"/>
  <c r="Q23" i="23"/>
  <c r="AA23" i="23" s="1"/>
  <c r="AB23" i="23" s="1"/>
  <c r="V35" i="23"/>
  <c r="AA35" i="23"/>
  <c r="AB35" i="23" s="1"/>
  <c r="V32" i="23"/>
  <c r="AA32" i="23"/>
  <c r="AB32" i="23" s="1"/>
  <c r="V33" i="23"/>
  <c r="AA33" i="23"/>
  <c r="AB33" i="23" s="1"/>
  <c r="AA34" i="23"/>
  <c r="AB34" i="23" s="1"/>
  <c r="V34" i="23"/>
  <c r="Q36" i="23"/>
  <c r="W31" i="23"/>
  <c r="AA31" i="23" s="1"/>
  <c r="AB31" i="23" s="1"/>
  <c r="V22" i="23"/>
  <c r="W23" i="23"/>
  <c r="V25" i="23"/>
  <c r="W25" i="23"/>
  <c r="AA25" i="23" s="1"/>
  <c r="AB25" i="23" s="1"/>
  <c r="Q29" i="23"/>
  <c r="V29" i="23" s="1"/>
  <c r="W26" i="23"/>
  <c r="S27" i="23"/>
  <c r="AA27" i="23" s="1"/>
  <c r="AB27" i="23" s="1"/>
  <c r="W27" i="23"/>
  <c r="W28" i="23"/>
  <c r="W29" i="23"/>
  <c r="Q26" i="23"/>
  <c r="V26" i="23" s="1"/>
  <c r="Q39" i="22"/>
  <c r="S10" i="22"/>
  <c r="Q19" i="22"/>
  <c r="V12" i="22"/>
  <c r="R12" i="22"/>
  <c r="S24" i="22"/>
  <c r="Q43" i="22"/>
  <c r="R11" i="22"/>
  <c r="V11" i="22"/>
  <c r="Q13" i="22"/>
  <c r="S34" i="22"/>
  <c r="S37" i="22"/>
  <c r="S40" i="22"/>
  <c r="X44" i="22"/>
  <c r="X45" i="22" s="1"/>
  <c r="S39" i="22"/>
  <c r="Y43" i="22"/>
  <c r="Z36" i="22"/>
  <c r="Y36" i="22"/>
  <c r="D48" i="22"/>
  <c r="F48" i="22" s="1"/>
  <c r="S14" i="22"/>
  <c r="Y35" i="22"/>
  <c r="D43" i="22"/>
  <c r="F43" i="22" s="1"/>
  <c r="D67" i="22"/>
  <c r="F67" i="22" s="1"/>
  <c r="Q23" i="22" s="1"/>
  <c r="Y38" i="22"/>
  <c r="D66" i="22"/>
  <c r="F66" i="22" s="1"/>
  <c r="Q22" i="22" s="1"/>
  <c r="Z30" i="22"/>
  <c r="Z33" i="22"/>
  <c r="Y33" i="22"/>
  <c r="F30" i="22"/>
  <c r="Q15" i="22" s="1"/>
  <c r="Q13" i="21"/>
  <c r="Q21" i="21"/>
  <c r="V11" i="21"/>
  <c r="Q31" i="21"/>
  <c r="V31" i="21" s="1"/>
  <c r="W31" i="21" s="1"/>
  <c r="S15" i="21"/>
  <c r="S14" i="21"/>
  <c r="Q30" i="21"/>
  <c r="S10" i="21"/>
  <c r="Q39" i="21"/>
  <c r="Q12" i="21"/>
  <c r="S12" i="21" s="1"/>
  <c r="Z36" i="21"/>
  <c r="Y36" i="21"/>
  <c r="Z35" i="21"/>
  <c r="Y35" i="21"/>
  <c r="Z38" i="21"/>
  <c r="Y38" i="21"/>
  <c r="Y31" i="21"/>
  <c r="Z42" i="21"/>
  <c r="Y42" i="21"/>
  <c r="Y43" i="21"/>
  <c r="D43" i="21"/>
  <c r="F43" i="21" s="1"/>
  <c r="D66" i="21"/>
  <c r="F66" i="21" s="1"/>
  <c r="Q22" i="21" s="1"/>
  <c r="D67" i="21"/>
  <c r="F67" i="21" s="1"/>
  <c r="Q23" i="21" s="1"/>
  <c r="D63" i="21"/>
  <c r="F63" i="21" s="1"/>
  <c r="D58" i="21"/>
  <c r="F58" i="21" s="1"/>
  <c r="D53" i="21"/>
  <c r="F53" i="21" s="1"/>
  <c r="D48" i="21"/>
  <c r="F48" i="21" s="1"/>
  <c r="S33" i="21"/>
  <c r="S24" i="21"/>
  <c r="Q43" i="21"/>
  <c r="V43" i="21" s="1"/>
  <c r="W43" i="21" s="1"/>
  <c r="Z29" i="21"/>
  <c r="Y29" i="21"/>
  <c r="X30" i="21"/>
  <c r="S30" i="21"/>
  <c r="X37" i="21"/>
  <c r="S37" i="21"/>
  <c r="Z32" i="21"/>
  <c r="Y32" i="21"/>
  <c r="Y34" i="21"/>
  <c r="G26" i="20"/>
  <c r="H7" i="20"/>
  <c r="H26" i="20" s="1"/>
  <c r="Q19" i="21" l="1"/>
  <c r="Q17" i="21"/>
  <c r="Q17" i="22"/>
  <c r="Q20" i="21"/>
  <c r="F72" i="22"/>
  <c r="F74" i="22" s="1"/>
  <c r="S16" i="22"/>
  <c r="V16" i="22" s="1"/>
  <c r="Q20" i="22"/>
  <c r="Q36" i="22" s="1"/>
  <c r="Q18" i="22"/>
  <c r="Q34" i="22" s="1"/>
  <c r="S16" i="21"/>
  <c r="R16" i="21" s="1"/>
  <c r="T16" i="21" s="1"/>
  <c r="Q21" i="22"/>
  <c r="Q25" i="22" s="1"/>
  <c r="Q32" i="21"/>
  <c r="V32" i="21" s="1"/>
  <c r="W32" i="21" s="1"/>
  <c r="F72" i="21"/>
  <c r="F74" i="21" s="1"/>
  <c r="X44" i="21"/>
  <c r="X45" i="21" s="1"/>
  <c r="V30" i="21"/>
  <c r="W30" i="21" s="1"/>
  <c r="Z39" i="21"/>
  <c r="Y41" i="21"/>
  <c r="AE21" i="23"/>
  <c r="AA36" i="23"/>
  <c r="AB36" i="23" s="1"/>
  <c r="AE36" i="23" s="1"/>
  <c r="V18" i="23"/>
  <c r="AA26" i="23"/>
  <c r="AB26" i="23" s="1"/>
  <c r="AE26" i="23" s="1"/>
  <c r="AE27" i="23"/>
  <c r="AD27" i="23"/>
  <c r="AD23" i="23"/>
  <c r="AE23" i="23"/>
  <c r="AD36" i="23"/>
  <c r="AE24" i="23"/>
  <c r="AD24" i="23"/>
  <c r="AD25" i="23"/>
  <c r="AE25" i="23"/>
  <c r="AE31" i="23"/>
  <c r="AD31" i="23"/>
  <c r="V23" i="23"/>
  <c r="AD22" i="23"/>
  <c r="AE22" i="23"/>
  <c r="AD18" i="23"/>
  <c r="AE18" i="23"/>
  <c r="V27" i="23"/>
  <c r="AE32" i="23"/>
  <c r="AD32" i="23"/>
  <c r="AE28" i="23"/>
  <c r="AD28" i="23"/>
  <c r="AE30" i="23"/>
  <c r="AD30" i="23"/>
  <c r="AD20" i="23"/>
  <c r="AE20" i="23"/>
  <c r="AE33" i="23"/>
  <c r="AD33" i="23"/>
  <c r="AA29" i="23"/>
  <c r="AB29" i="23" s="1"/>
  <c r="V36" i="23"/>
  <c r="AE35" i="23"/>
  <c r="AD35" i="23"/>
  <c r="AE34" i="23"/>
  <c r="AD34" i="23"/>
  <c r="Q38" i="22"/>
  <c r="S22" i="22"/>
  <c r="Z34" i="22"/>
  <c r="Y34" i="22"/>
  <c r="R10" i="22"/>
  <c r="V10" i="22"/>
  <c r="S13" i="22"/>
  <c r="Q29" i="22"/>
  <c r="Q42" i="22"/>
  <c r="S23" i="22"/>
  <c r="Q40" i="22"/>
  <c r="Q31" i="22"/>
  <c r="S15" i="22"/>
  <c r="Z39" i="22"/>
  <c r="Y39" i="22"/>
  <c r="U11" i="22"/>
  <c r="W11" i="22"/>
  <c r="Q33" i="22"/>
  <c r="S17" i="22"/>
  <c r="V14" i="22"/>
  <c r="R14" i="22"/>
  <c r="Y40" i="22"/>
  <c r="Z40" i="22"/>
  <c r="R24" i="22"/>
  <c r="V24" i="22"/>
  <c r="Y37" i="22"/>
  <c r="Z37" i="22"/>
  <c r="U12" i="22"/>
  <c r="W12" i="22"/>
  <c r="Q35" i="22"/>
  <c r="S19" i="22"/>
  <c r="Z37" i="21"/>
  <c r="Y37" i="21"/>
  <c r="V14" i="21"/>
  <c r="Q38" i="21"/>
  <c r="V38" i="21" s="1"/>
  <c r="W38" i="21" s="1"/>
  <c r="S22" i="21"/>
  <c r="R22" i="21" s="1"/>
  <c r="V24" i="21"/>
  <c r="V10" i="21"/>
  <c r="T10" i="21"/>
  <c r="Q33" i="21"/>
  <c r="V33" i="21" s="1"/>
  <c r="W33" i="21" s="1"/>
  <c r="S17" i="21"/>
  <c r="R17" i="21" s="1"/>
  <c r="Z33" i="21"/>
  <c r="Y33" i="21"/>
  <c r="Q35" i="21"/>
  <c r="V35" i="21" s="1"/>
  <c r="W35" i="21" s="1"/>
  <c r="S19" i="21"/>
  <c r="R19" i="21" s="1"/>
  <c r="V12" i="21"/>
  <c r="U11" i="21"/>
  <c r="W11" i="21"/>
  <c r="Q36" i="21"/>
  <c r="V36" i="21" s="1"/>
  <c r="W36" i="21" s="1"/>
  <c r="S20" i="21"/>
  <c r="R20" i="21" s="1"/>
  <c r="Z30" i="21"/>
  <c r="Y30" i="21"/>
  <c r="V39" i="21"/>
  <c r="W39" i="21" s="1"/>
  <c r="Q40" i="21"/>
  <c r="Q29" i="21"/>
  <c r="V29" i="21" s="1"/>
  <c r="W29" i="21" s="1"/>
  <c r="S13" i="21"/>
  <c r="V15" i="21"/>
  <c r="S18" i="21"/>
  <c r="R18" i="21" s="1"/>
  <c r="Q34" i="21"/>
  <c r="V34" i="21" s="1"/>
  <c r="W34" i="21" s="1"/>
  <c r="Q42" i="21"/>
  <c r="V42" i="21" s="1"/>
  <c r="W42" i="21" s="1"/>
  <c r="S23" i="21"/>
  <c r="R23" i="21" s="1"/>
  <c r="S21" i="21"/>
  <c r="R21" i="21" s="1"/>
  <c r="Q37" i="21"/>
  <c r="V37" i="21" s="1"/>
  <c r="W37" i="21" s="1"/>
  <c r="S18" i="22" l="1"/>
  <c r="S21" i="22"/>
  <c r="R16" i="22"/>
  <c r="T16" i="22" s="1"/>
  <c r="S20" i="22"/>
  <c r="Q37" i="22"/>
  <c r="Q44" i="22" s="1"/>
  <c r="V16" i="21"/>
  <c r="Y44" i="22"/>
  <c r="Y46" i="22" s="1"/>
  <c r="Y44" i="21"/>
  <c r="Y46" i="21" s="1"/>
  <c r="C4" i="26" s="1"/>
  <c r="H4" i="26" s="1"/>
  <c r="AD26" i="23"/>
  <c r="AE29" i="23"/>
  <c r="AD29" i="23"/>
  <c r="AB37" i="23"/>
  <c r="AC29" i="23" s="1"/>
  <c r="V17" i="22"/>
  <c r="R17" i="22"/>
  <c r="T17" i="22" s="1"/>
  <c r="V20" i="22"/>
  <c r="R20" i="22"/>
  <c r="T20" i="22" s="1"/>
  <c r="V19" i="22"/>
  <c r="R19" i="22"/>
  <c r="T19" i="22" s="1"/>
  <c r="V18" i="22"/>
  <c r="R18" i="22"/>
  <c r="T18" i="22" s="1"/>
  <c r="V22" i="22"/>
  <c r="R22" i="22"/>
  <c r="T22" i="22" s="1"/>
  <c r="W24" i="22"/>
  <c r="U24" i="22"/>
  <c r="Q41" i="22"/>
  <c r="V21" i="22"/>
  <c r="R21" i="22"/>
  <c r="T21" i="22" s="1"/>
  <c r="V13" i="22"/>
  <c r="R13" i="22"/>
  <c r="U14" i="22"/>
  <c r="W14" i="22"/>
  <c r="V15" i="22"/>
  <c r="R15" i="22"/>
  <c r="V23" i="22"/>
  <c r="R23" i="22"/>
  <c r="T23" i="22" s="1"/>
  <c r="W10" i="22"/>
  <c r="U10" i="22"/>
  <c r="W16" i="22"/>
  <c r="U16" i="22"/>
  <c r="U16" i="21"/>
  <c r="W16" i="21"/>
  <c r="T19" i="21"/>
  <c r="V19" i="21"/>
  <c r="V21" i="21"/>
  <c r="T21" i="21"/>
  <c r="W24" i="21"/>
  <c r="U24" i="21"/>
  <c r="U12" i="21"/>
  <c r="W12" i="21"/>
  <c r="T20" i="21"/>
  <c r="V20" i="21"/>
  <c r="T22" i="21"/>
  <c r="V22" i="21"/>
  <c r="T23" i="21"/>
  <c r="V23" i="21"/>
  <c r="V13" i="21"/>
  <c r="T13" i="21"/>
  <c r="V17" i="21"/>
  <c r="T17" i="21"/>
  <c r="U14" i="21"/>
  <c r="W14" i="21"/>
  <c r="V40" i="21"/>
  <c r="W40" i="21" s="1"/>
  <c r="Q41" i="21"/>
  <c r="V41" i="21" s="1"/>
  <c r="W41" i="21" s="1"/>
  <c r="T18" i="21"/>
  <c r="V18" i="21"/>
  <c r="U10" i="21"/>
  <c r="W10" i="21"/>
  <c r="U15" i="21"/>
  <c r="W15" i="21"/>
  <c r="L2" i="23" l="1"/>
  <c r="AD37" i="23"/>
  <c r="AC19" i="23"/>
  <c r="AC21" i="23"/>
  <c r="AC36" i="23"/>
  <c r="AC32" i="23"/>
  <c r="AC20" i="23"/>
  <c r="AC23" i="23"/>
  <c r="AC30" i="23"/>
  <c r="AC24" i="23"/>
  <c r="AC31" i="23"/>
  <c r="AC34" i="23"/>
  <c r="AC26" i="23"/>
  <c r="AC27" i="23"/>
  <c r="AC18" i="23"/>
  <c r="AC35" i="23"/>
  <c r="AC28" i="23"/>
  <c r="AC25" i="23"/>
  <c r="AC33" i="23"/>
  <c r="AC22" i="23"/>
  <c r="AE37" i="23"/>
  <c r="U22" i="22"/>
  <c r="W22" i="22"/>
  <c r="U15" i="22"/>
  <c r="W15" i="22"/>
  <c r="U21" i="22"/>
  <c r="W21" i="22"/>
  <c r="U18" i="22"/>
  <c r="W18" i="22"/>
  <c r="U23" i="22"/>
  <c r="W23" i="22"/>
  <c r="U17" i="22"/>
  <c r="W17" i="22"/>
  <c r="U19" i="22"/>
  <c r="W19" i="22"/>
  <c r="U13" i="22"/>
  <c r="W13" i="22"/>
  <c r="U20" i="22"/>
  <c r="W20" i="22"/>
  <c r="U17" i="21"/>
  <c r="W17" i="21"/>
  <c r="U23" i="21"/>
  <c r="W23" i="21"/>
  <c r="U21" i="21"/>
  <c r="W21" i="21"/>
  <c r="U22" i="21"/>
  <c r="W22" i="21"/>
  <c r="U20" i="21"/>
  <c r="W20" i="21"/>
  <c r="U19" i="21"/>
  <c r="W19" i="21"/>
  <c r="U13" i="21"/>
  <c r="W13" i="21"/>
  <c r="U18" i="21"/>
  <c r="W18" i="21"/>
  <c r="V25" i="21" l="1"/>
  <c r="Z24" i="21" s="1"/>
  <c r="V25" i="22"/>
  <c r="Z23" i="22" s="1"/>
  <c r="U25" i="21"/>
  <c r="Y23" i="21" s="1"/>
  <c r="U25" i="22"/>
  <c r="Y22" i="22" s="1"/>
  <c r="L3" i="23"/>
  <c r="O3" i="23" s="1"/>
  <c r="AF21" i="23"/>
  <c r="AF19" i="23"/>
  <c r="AF32" i="23"/>
  <c r="AF28" i="23"/>
  <c r="AF27" i="23"/>
  <c r="AF36" i="23"/>
  <c r="AF23" i="23"/>
  <c r="AF18" i="23"/>
  <c r="AF35" i="23"/>
  <c r="AF22" i="23"/>
  <c r="AF26" i="23"/>
  <c r="AF24" i="23"/>
  <c r="AF33" i="23"/>
  <c r="AF31" i="23"/>
  <c r="AF25" i="23"/>
  <c r="AF20" i="23"/>
  <c r="AF34" i="23"/>
  <c r="AF30" i="23"/>
  <c r="O2" i="23"/>
  <c r="L5" i="23"/>
  <c r="Q5" i="23" s="1"/>
  <c r="AF29" i="23"/>
  <c r="B4" i="26" l="1"/>
  <c r="G4" i="26" s="1"/>
  <c r="G30" i="15"/>
  <c r="H30" i="15" s="1"/>
  <c r="G31" i="15"/>
  <c r="H31" i="15" s="1"/>
  <c r="G32" i="15"/>
  <c r="H32" i="15" s="1"/>
  <c r="G36" i="15"/>
  <c r="H36" i="15" s="1"/>
  <c r="G37" i="15"/>
  <c r="H37" i="15" s="1"/>
  <c r="G38" i="15"/>
  <c r="H38" i="15" s="1"/>
  <c r="G42" i="15"/>
  <c r="H42" i="15" s="1"/>
  <c r="G43" i="15"/>
  <c r="H43" i="15" s="1"/>
  <c r="G48" i="15"/>
  <c r="H48" i="15" s="1"/>
  <c r="G49" i="15"/>
  <c r="H49" i="15" s="1"/>
  <c r="G50" i="15"/>
  <c r="H50" i="15" s="1"/>
  <c r="G54" i="15"/>
  <c r="H54" i="15" s="1"/>
  <c r="G55" i="15"/>
  <c r="H55" i="15" s="1"/>
  <c r="G56" i="15"/>
  <c r="H56" i="15" s="1"/>
  <c r="G60" i="15"/>
  <c r="H60" i="15" s="1"/>
  <c r="G61" i="15"/>
  <c r="H61" i="15" s="1"/>
  <c r="G62" i="15"/>
  <c r="H62" i="15" s="1"/>
  <c r="G66" i="15"/>
  <c r="H66" i="15" s="1"/>
  <c r="G67" i="15"/>
  <c r="H67" i="15" s="1"/>
  <c r="G68" i="15"/>
  <c r="H68" i="15" s="1"/>
  <c r="G72" i="15"/>
  <c r="H72" i="15" s="1"/>
  <c r="G73" i="15"/>
  <c r="H73" i="15" s="1"/>
  <c r="G74" i="15"/>
  <c r="H74" i="15" s="1"/>
  <c r="G78" i="15"/>
  <c r="H78" i="15" s="1"/>
  <c r="G79" i="15"/>
  <c r="H79" i="15" s="1"/>
  <c r="G81" i="15"/>
  <c r="H81" i="15" s="1"/>
  <c r="G82" i="15"/>
  <c r="H82" i="15" s="1"/>
  <c r="G83" i="15"/>
  <c r="H83" i="15" s="1"/>
  <c r="G84" i="15"/>
  <c r="H84" i="15" s="1"/>
  <c r="G85" i="15"/>
  <c r="H85" i="15" s="1"/>
  <c r="G86" i="15"/>
  <c r="H86" i="15" s="1"/>
  <c r="G87" i="15"/>
  <c r="H87" i="15" s="1"/>
  <c r="G89" i="15"/>
  <c r="H89" i="15" s="1"/>
  <c r="G22" i="15"/>
  <c r="H22" i="15" s="1"/>
  <c r="G21" i="15"/>
  <c r="H21" i="15" s="1"/>
  <c r="G17" i="15"/>
  <c r="H17" i="15" s="1"/>
  <c r="G16" i="15"/>
  <c r="H16" i="15" s="1"/>
  <c r="G15" i="15"/>
  <c r="H15" i="15" s="1"/>
  <c r="G11" i="15"/>
  <c r="H11" i="15" s="1"/>
  <c r="G6" i="15"/>
  <c r="H6" i="15" s="1"/>
  <c r="G7" i="15"/>
  <c r="H7" i="15" s="1"/>
  <c r="G8" i="15"/>
  <c r="H8" i="15" s="1"/>
  <c r="G12" i="15"/>
  <c r="H12" i="15" s="1"/>
  <c r="G13" i="15"/>
  <c r="H13" i="15" s="1"/>
  <c r="G14" i="15"/>
  <c r="H14" i="15" s="1"/>
  <c r="G18" i="15"/>
  <c r="H18" i="15" s="1"/>
  <c r="G19" i="15"/>
  <c r="H19" i="15" s="1"/>
  <c r="G20" i="15"/>
  <c r="H20" i="15" s="1"/>
  <c r="G24" i="15"/>
  <c r="H24" i="15" s="1"/>
  <c r="G25" i="15"/>
  <c r="H25" i="15" s="1"/>
  <c r="G26" i="15"/>
  <c r="H26" i="15" s="1"/>
  <c r="G10" i="15"/>
  <c r="H10" i="15" s="1"/>
  <c r="G9" i="15"/>
  <c r="H9" i="15" s="1"/>
  <c r="G5" i="15"/>
  <c r="H5" i="15" s="1"/>
  <c r="B41" i="4" l="1"/>
  <c r="B3" i="4" s="1"/>
  <c r="F49" i="14" l="1"/>
  <c r="F48" i="14"/>
  <c r="F45" i="14"/>
  <c r="W32" i="14" s="1"/>
  <c r="F44" i="14"/>
  <c r="F43" i="14"/>
  <c r="W25" i="14" s="1"/>
  <c r="Y36" i="14"/>
  <c r="Z36" i="14" s="1"/>
  <c r="W36" i="14"/>
  <c r="R36" i="14"/>
  <c r="P36" i="14"/>
  <c r="N36" i="14"/>
  <c r="O36" i="14" s="1"/>
  <c r="L36" i="14"/>
  <c r="M36" i="14" s="1"/>
  <c r="Y35" i="14"/>
  <c r="Z35" i="14" s="1"/>
  <c r="W35" i="14"/>
  <c r="T35" i="14"/>
  <c r="U35" i="14" s="1"/>
  <c r="R35" i="14"/>
  <c r="S35" i="14" s="1"/>
  <c r="P35" i="14"/>
  <c r="Q35" i="14" s="1"/>
  <c r="Y34" i="14"/>
  <c r="Z34" i="14" s="1"/>
  <c r="W34" i="14"/>
  <c r="T34" i="14"/>
  <c r="U34" i="14" s="1"/>
  <c r="R34" i="14"/>
  <c r="S34" i="14" s="1"/>
  <c r="P34" i="14"/>
  <c r="Q34" i="14" s="1"/>
  <c r="N34" i="14"/>
  <c r="O34" i="14" s="1"/>
  <c r="H34" i="14"/>
  <c r="F34" i="14"/>
  <c r="F50" i="14" s="1"/>
  <c r="Y33" i="14"/>
  <c r="Z33" i="14" s="1"/>
  <c r="T33" i="14"/>
  <c r="U33" i="14" s="1"/>
  <c r="R33" i="14"/>
  <c r="S33" i="14" s="1"/>
  <c r="P33" i="14"/>
  <c r="H33" i="14"/>
  <c r="F33" i="14"/>
  <c r="F46" i="14" s="1"/>
  <c r="W33" i="14" s="1"/>
  <c r="Y32" i="14"/>
  <c r="Z32" i="14" s="1"/>
  <c r="R32" i="14"/>
  <c r="S32" i="14" s="1"/>
  <c r="P32" i="14"/>
  <c r="Q32" i="14" s="1"/>
  <c r="H32" i="14"/>
  <c r="F32" i="14"/>
  <c r="B32" i="14"/>
  <c r="Z31" i="14"/>
  <c r="Y31" i="14"/>
  <c r="R31" i="14"/>
  <c r="S31" i="14" s="1"/>
  <c r="P31" i="14"/>
  <c r="Q31" i="14" s="1"/>
  <c r="I31" i="14"/>
  <c r="H31" i="14"/>
  <c r="G31" i="14"/>
  <c r="F31" i="14"/>
  <c r="B31" i="14"/>
  <c r="Z30" i="14"/>
  <c r="Y30" i="14"/>
  <c r="R30" i="14"/>
  <c r="S30" i="14" s="1"/>
  <c r="P30" i="14"/>
  <c r="Q30" i="14" s="1"/>
  <c r="L30" i="14"/>
  <c r="M30" i="14" s="1"/>
  <c r="I30" i="14"/>
  <c r="H30" i="14"/>
  <c r="G30" i="14"/>
  <c r="F30" i="14"/>
  <c r="B30" i="14"/>
  <c r="Z29" i="14"/>
  <c r="Y29" i="14"/>
  <c r="R29" i="14"/>
  <c r="S29" i="14" s="1"/>
  <c r="P29" i="14"/>
  <c r="I29" i="14"/>
  <c r="H29" i="14"/>
  <c r="G29" i="14"/>
  <c r="F29" i="14"/>
  <c r="B29" i="14"/>
  <c r="Y28" i="14"/>
  <c r="Z28" i="14" s="1"/>
  <c r="T28" i="14"/>
  <c r="U28" i="14" s="1"/>
  <c r="R28" i="14"/>
  <c r="P28" i="14"/>
  <c r="N28" i="14"/>
  <c r="O28" i="14" s="1"/>
  <c r="I28" i="14"/>
  <c r="H28" i="14"/>
  <c r="G28" i="14"/>
  <c r="F28" i="14"/>
  <c r="B28" i="14"/>
  <c r="Y27" i="14"/>
  <c r="Z27" i="14" s="1"/>
  <c r="T27" i="14"/>
  <c r="U27" i="14" s="1"/>
  <c r="R27" i="14"/>
  <c r="P27" i="14"/>
  <c r="I27" i="14"/>
  <c r="H27" i="14"/>
  <c r="G27" i="14"/>
  <c r="F27" i="14"/>
  <c r="B27" i="14"/>
  <c r="Y26" i="14"/>
  <c r="Z26" i="14" s="1"/>
  <c r="R26" i="14"/>
  <c r="P26" i="14"/>
  <c r="N26" i="14"/>
  <c r="O26" i="14" s="1"/>
  <c r="L26" i="14"/>
  <c r="M26" i="14" s="1"/>
  <c r="I26" i="14"/>
  <c r="H26" i="14"/>
  <c r="G26" i="14"/>
  <c r="F26" i="14"/>
  <c r="B26" i="14"/>
  <c r="Z25" i="14"/>
  <c r="Y25" i="14"/>
  <c r="R25" i="14"/>
  <c r="P25" i="14"/>
  <c r="Q25" i="14" s="1"/>
  <c r="Z24" i="14"/>
  <c r="Y24" i="14"/>
  <c r="R24" i="14"/>
  <c r="S24" i="14" s="1"/>
  <c r="P24" i="14"/>
  <c r="B24" i="14"/>
  <c r="Y23" i="14"/>
  <c r="Z23" i="14" s="1"/>
  <c r="W23" i="14"/>
  <c r="R23" i="14"/>
  <c r="S23" i="14" s="1"/>
  <c r="P23" i="14"/>
  <c r="Q23" i="14" s="1"/>
  <c r="N23" i="14"/>
  <c r="O23" i="14" s="1"/>
  <c r="F23" i="14"/>
  <c r="F41" i="14" s="1"/>
  <c r="W24" i="14" s="1"/>
  <c r="D23" i="14"/>
  <c r="B23" i="14"/>
  <c r="Y22" i="14"/>
  <c r="Z22" i="14" s="1"/>
  <c r="W22" i="14"/>
  <c r="R22" i="14"/>
  <c r="S22" i="14" s="1"/>
  <c r="P22" i="14"/>
  <c r="Q22" i="14" s="1"/>
  <c r="N22" i="14"/>
  <c r="O22" i="14" s="1"/>
  <c r="B22" i="14"/>
  <c r="Y21" i="14"/>
  <c r="Z21" i="14" s="1"/>
  <c r="W21" i="14"/>
  <c r="R21" i="14"/>
  <c r="S21" i="14" s="1"/>
  <c r="P21" i="14"/>
  <c r="Q21" i="14" s="1"/>
  <c r="N21" i="14"/>
  <c r="O21" i="14" s="1"/>
  <c r="L21" i="14"/>
  <c r="M21" i="14" s="1"/>
  <c r="Y20" i="14"/>
  <c r="Z20" i="14" s="1"/>
  <c r="W20" i="14"/>
  <c r="R20" i="14"/>
  <c r="S20" i="14" s="1"/>
  <c r="P20" i="14"/>
  <c r="Q20" i="14" s="1"/>
  <c r="N20" i="14"/>
  <c r="O20" i="14" s="1"/>
  <c r="Y19" i="14"/>
  <c r="Z19" i="14" s="1"/>
  <c r="W19" i="14"/>
  <c r="T19" i="14"/>
  <c r="U19" i="14" s="1"/>
  <c r="R19" i="14"/>
  <c r="S19" i="14" s="1"/>
  <c r="P19" i="14"/>
  <c r="Q19" i="14" s="1"/>
  <c r="Z18" i="14"/>
  <c r="Y18" i="14"/>
  <c r="W18" i="14"/>
  <c r="R18" i="14"/>
  <c r="S18" i="14" s="1"/>
  <c r="P18" i="14"/>
  <c r="Q18" i="14" s="1"/>
  <c r="N18" i="14"/>
  <c r="O18" i="14" s="1"/>
  <c r="B18" i="14"/>
  <c r="L35" i="14"/>
  <c r="M35" i="14" s="1"/>
  <c r="G2" i="14"/>
  <c r="B2" i="14"/>
  <c r="G80" i="15" l="1"/>
  <c r="H80" i="15" s="1"/>
  <c r="G39" i="15"/>
  <c r="H39" i="15" s="1"/>
  <c r="G35" i="15"/>
  <c r="H35" i="15" s="1"/>
  <c r="G40" i="15"/>
  <c r="H40" i="15" s="1"/>
  <c r="G75" i="15"/>
  <c r="H75" i="15" s="1"/>
  <c r="G63" i="15"/>
  <c r="H63" i="15" s="1"/>
  <c r="G51" i="15"/>
  <c r="H51" i="15" s="1"/>
  <c r="G71" i="15"/>
  <c r="H71" i="15" s="1"/>
  <c r="G47" i="15"/>
  <c r="H47" i="15" s="1"/>
  <c r="G70" i="15"/>
  <c r="H70" i="15" s="1"/>
  <c r="G46" i="15"/>
  <c r="H46" i="15" s="1"/>
  <c r="G65" i="15"/>
  <c r="H65" i="15" s="1"/>
  <c r="G41" i="15"/>
  <c r="H41" i="15" s="1"/>
  <c r="G59" i="15"/>
  <c r="H59" i="15" s="1"/>
  <c r="G58" i="15"/>
  <c r="H58" i="15" s="1"/>
  <c r="G69" i="15"/>
  <c r="H69" i="15" s="1"/>
  <c r="G45" i="15"/>
  <c r="H45" i="15" s="1"/>
  <c r="G44" i="15"/>
  <c r="H44" i="15" s="1"/>
  <c r="G53" i="15"/>
  <c r="H53" i="15" s="1"/>
  <c r="G76" i="15"/>
  <c r="H76" i="15" s="1"/>
  <c r="G52" i="15"/>
  <c r="H52" i="15" s="1"/>
  <c r="G64" i="15"/>
  <c r="H64" i="15" s="1"/>
  <c r="G57" i="15"/>
  <c r="H57" i="15" s="1"/>
  <c r="G77" i="15"/>
  <c r="H77" i="15" s="1"/>
  <c r="S28" i="14"/>
  <c r="L24" i="14"/>
  <c r="M24" i="14" s="1"/>
  <c r="L32" i="14"/>
  <c r="M32" i="14" s="1"/>
  <c r="Q33" i="14"/>
  <c r="W30" i="14"/>
  <c r="W28" i="14"/>
  <c r="W29" i="14"/>
  <c r="Q27" i="14"/>
  <c r="T25" i="14"/>
  <c r="U25" i="14" s="1"/>
  <c r="T22" i="14"/>
  <c r="U22" i="14" s="1"/>
  <c r="T18" i="14"/>
  <c r="U18" i="14" s="1"/>
  <c r="T31" i="14"/>
  <c r="U31" i="14" s="1"/>
  <c r="T23" i="14"/>
  <c r="U23" i="14" s="1"/>
  <c r="T20" i="14"/>
  <c r="U20" i="14" s="1"/>
  <c r="L19" i="14"/>
  <c r="M19" i="14" s="1"/>
  <c r="Q26" i="14"/>
  <c r="L27" i="14"/>
  <c r="M27" i="14" s="1"/>
  <c r="T29" i="14"/>
  <c r="U29" i="14" s="1"/>
  <c r="T32" i="14"/>
  <c r="U32" i="14" s="1"/>
  <c r="L33" i="14"/>
  <c r="M33" i="14" s="1"/>
  <c r="F47" i="14"/>
  <c r="Q36" i="14" s="1"/>
  <c r="W26" i="14"/>
  <c r="Q29" i="14"/>
  <c r="L25" i="14"/>
  <c r="M25" i="14" s="1"/>
  <c r="L22" i="14"/>
  <c r="M22" i="14" s="1"/>
  <c r="L31" i="14"/>
  <c r="M31" i="14" s="1"/>
  <c r="L23" i="14"/>
  <c r="M23" i="14" s="1"/>
  <c r="L20" i="14"/>
  <c r="M20" i="14" s="1"/>
  <c r="L18" i="14"/>
  <c r="M18" i="14" s="1"/>
  <c r="Q24" i="14"/>
  <c r="S27" i="14"/>
  <c r="L28" i="14"/>
  <c r="M28" i="14" s="1"/>
  <c r="T24" i="14"/>
  <c r="U24" i="14" s="1"/>
  <c r="S26" i="14"/>
  <c r="Q28" i="14"/>
  <c r="L34" i="14"/>
  <c r="M34" i="14" s="1"/>
  <c r="S36" i="14"/>
  <c r="S25" i="14"/>
  <c r="N31" i="14"/>
  <c r="O31" i="14" s="1"/>
  <c r="N29" i="14"/>
  <c r="O29" i="14" s="1"/>
  <c r="N24" i="14"/>
  <c r="O24" i="14" s="1"/>
  <c r="N35" i="14"/>
  <c r="O35" i="14" s="1"/>
  <c r="V35" i="14" s="1"/>
  <c r="N32" i="14"/>
  <c r="O32" i="14" s="1"/>
  <c r="N30" i="14"/>
  <c r="O30" i="14" s="1"/>
  <c r="N19" i="14"/>
  <c r="O19" i="14" s="1"/>
  <c r="T21" i="14"/>
  <c r="U21" i="14" s="1"/>
  <c r="AA21" i="14" s="1"/>
  <c r="AB21" i="14" s="1"/>
  <c r="N25" i="14"/>
  <c r="O25" i="14" s="1"/>
  <c r="T26" i="14"/>
  <c r="U26" i="14" s="1"/>
  <c r="N27" i="14"/>
  <c r="O27" i="14" s="1"/>
  <c r="W27" i="14"/>
  <c r="L29" i="14"/>
  <c r="M29" i="14" s="1"/>
  <c r="T30" i="14"/>
  <c r="U30" i="14" s="1"/>
  <c r="W31" i="14"/>
  <c r="N33" i="14"/>
  <c r="O33" i="14" s="1"/>
  <c r="T36" i="14"/>
  <c r="U36" i="14" s="1"/>
  <c r="G88" i="15" l="1"/>
  <c r="H88" i="15" s="1"/>
  <c r="AA26" i="14"/>
  <c r="AB26" i="14" s="1"/>
  <c r="AE26" i="14" s="1"/>
  <c r="V30" i="14"/>
  <c r="AD21" i="14"/>
  <c r="AE21" i="14"/>
  <c r="AA36" i="14"/>
  <c r="AB36" i="14" s="1"/>
  <c r="V36" i="14"/>
  <c r="V18" i="14"/>
  <c r="AA18" i="14"/>
  <c r="AB18" i="14" s="1"/>
  <c r="AE18" i="14" s="1"/>
  <c r="AA34" i="14"/>
  <c r="AB34" i="14" s="1"/>
  <c r="V34" i="14"/>
  <c r="V26" i="14"/>
  <c r="AA22" i="14"/>
  <c r="AB22" i="14" s="1"/>
  <c r="V22" i="14"/>
  <c r="V19" i="14"/>
  <c r="AA19" i="14"/>
  <c r="AB19" i="14" s="1"/>
  <c r="V29" i="14"/>
  <c r="AA29" i="14"/>
  <c r="AB29" i="14" s="1"/>
  <c r="V31" i="14"/>
  <c r="AA31" i="14"/>
  <c r="AB31" i="14" s="1"/>
  <c r="AA35" i="14"/>
  <c r="AB35" i="14" s="1"/>
  <c r="V32" i="14"/>
  <c r="AA32" i="14"/>
  <c r="AB32" i="14" s="1"/>
  <c r="AA25" i="14"/>
  <c r="AB25" i="14" s="1"/>
  <c r="V25" i="14"/>
  <c r="V24" i="14"/>
  <c r="AA24" i="14"/>
  <c r="AB24" i="14" s="1"/>
  <c r="V21" i="14"/>
  <c r="AA20" i="14"/>
  <c r="AB20" i="14" s="1"/>
  <c r="V20" i="14"/>
  <c r="AA23" i="14"/>
  <c r="AB23" i="14" s="1"/>
  <c r="V23" i="14"/>
  <c r="AA33" i="14"/>
  <c r="AB33" i="14" s="1"/>
  <c r="V33" i="14"/>
  <c r="V28" i="14"/>
  <c r="AA28" i="14"/>
  <c r="AB28" i="14" s="1"/>
  <c r="AA30" i="14"/>
  <c r="AB30" i="14" s="1"/>
  <c r="AA27" i="14"/>
  <c r="AB27" i="14" s="1"/>
  <c r="V27" i="14"/>
  <c r="AD26" i="14" l="1"/>
  <c r="AD23" i="14"/>
  <c r="AE23" i="14"/>
  <c r="AD27" i="14"/>
  <c r="AE27" i="14"/>
  <c r="AE36" i="14"/>
  <c r="AD36" i="14"/>
  <c r="AD20" i="14"/>
  <c r="AE20" i="14"/>
  <c r="AE22" i="14"/>
  <c r="AD22" i="14"/>
  <c r="AE31" i="14"/>
  <c r="AD31" i="14"/>
  <c r="AE24" i="14"/>
  <c r="AD24" i="14"/>
  <c r="AE34" i="14"/>
  <c r="AD34" i="14"/>
  <c r="AD35" i="14"/>
  <c r="AE35" i="14"/>
  <c r="AD28" i="14"/>
  <c r="AE28" i="14"/>
  <c r="AD18" i="14"/>
  <c r="AB37" i="14"/>
  <c r="AC23" i="14" s="1"/>
  <c r="AD32" i="14"/>
  <c r="AE32" i="14"/>
  <c r="AD30" i="14"/>
  <c r="AE30" i="14"/>
  <c r="AE29" i="14"/>
  <c r="AD29" i="14"/>
  <c r="AE33" i="14"/>
  <c r="AD33" i="14"/>
  <c r="AD25" i="14"/>
  <c r="AE25" i="14"/>
  <c r="AD19" i="14"/>
  <c r="AE19" i="14"/>
  <c r="AC36" i="14" l="1"/>
  <c r="AC30" i="14"/>
  <c r="AC20" i="14"/>
  <c r="AC18" i="14"/>
  <c r="AC34" i="14"/>
  <c r="AC25" i="14"/>
  <c r="AC33" i="14"/>
  <c r="AC22" i="14"/>
  <c r="AC27" i="14"/>
  <c r="AC32" i="14"/>
  <c r="AC28" i="14"/>
  <c r="AC24" i="14"/>
  <c r="AC19" i="14"/>
  <c r="AC29" i="14"/>
  <c r="AC35" i="14"/>
  <c r="L2" i="14"/>
  <c r="E4" i="17" s="1"/>
  <c r="E7" i="17" s="1"/>
  <c r="D12" i="17" s="1"/>
  <c r="AD37" i="14"/>
  <c r="AC26" i="14"/>
  <c r="AC21" i="14"/>
  <c r="AE37" i="14"/>
  <c r="AF20" i="14" s="1"/>
  <c r="AC31" i="14"/>
  <c r="AF25" i="14" l="1"/>
  <c r="AF28" i="14"/>
  <c r="AF24" i="14"/>
  <c r="AF22" i="14"/>
  <c r="L3" i="14"/>
  <c r="O3" i="14" s="1"/>
  <c r="AF21" i="14"/>
  <c r="AF26" i="14"/>
  <c r="AF23" i="14"/>
  <c r="AF27" i="14"/>
  <c r="AF18" i="14"/>
  <c r="AF30" i="14"/>
  <c r="AF32" i="14"/>
  <c r="AF19" i="14"/>
  <c r="AF35" i="14"/>
  <c r="AF34" i="14"/>
  <c r="AF29" i="14"/>
  <c r="AF36" i="14"/>
  <c r="O2" i="14"/>
  <c r="L5" i="14"/>
  <c r="Q5" i="14" s="1"/>
  <c r="AF33" i="14"/>
  <c r="AF31" i="14"/>
  <c r="G27" i="15" l="1"/>
  <c r="H27" i="15" s="1"/>
  <c r="G34" i="15"/>
  <c r="H34" i="15" s="1"/>
  <c r="G23" i="15"/>
  <c r="G33" i="15"/>
  <c r="H33" i="15" s="1"/>
  <c r="G29" i="15"/>
  <c r="H29" i="15" s="1"/>
  <c r="G28" i="15"/>
  <c r="H28" i="15" s="1"/>
  <c r="E13" i="19" l="1"/>
  <c r="H23" i="15"/>
  <c r="H90" i="15" s="1"/>
  <c r="H92" i="15" s="1"/>
  <c r="E10" i="9" s="1"/>
  <c r="G90" i="15"/>
  <c r="C7" i="2"/>
  <c r="D23" i="5"/>
  <c r="H6" i="5"/>
  <c r="E5" i="4"/>
  <c r="E49" i="2"/>
  <c r="C43" i="2"/>
  <c r="C46" i="2" s="1"/>
  <c r="E46" i="2" s="1"/>
  <c r="E50" i="2" s="1"/>
  <c r="E51" i="2" s="1"/>
  <c r="C9" i="2" s="1"/>
  <c r="C42" i="2"/>
  <c r="C41" i="2"/>
  <c r="E34" i="2"/>
  <c r="E33" i="2"/>
  <c r="E32" i="2"/>
  <c r="E30" i="2"/>
  <c r="E36" i="2" s="1"/>
  <c r="E37" i="2" s="1"/>
  <c r="C10" i="2" s="1"/>
  <c r="E21" i="2"/>
  <c r="K20" i="2"/>
  <c r="E20" i="2"/>
  <c r="K19" i="2"/>
  <c r="K23" i="2" s="1"/>
  <c r="K24" i="2" s="1"/>
  <c r="E19" i="2"/>
  <c r="E23" i="2" s="1"/>
  <c r="E24" i="2" s="1"/>
  <c r="K17" i="2"/>
  <c r="E17" i="2"/>
  <c r="B11" i="4" l="1"/>
  <c r="B12" i="4" s="1"/>
  <c r="B13" i="4" s="1"/>
  <c r="B9" i="4"/>
  <c r="B10" i="4" s="1"/>
  <c r="D14" i="5" l="1"/>
  <c r="D14" i="17"/>
  <c r="D18" i="17" s="1"/>
  <c r="D25" i="17" s="1"/>
  <c r="D29" i="17" s="1"/>
  <c r="D33" i="17" s="1"/>
  <c r="H33" i="17" s="1"/>
  <c r="H14" i="17"/>
  <c r="H12" i="17"/>
  <c r="B15" i="4"/>
  <c r="H14" i="5"/>
  <c r="H18" i="17" l="1"/>
  <c r="E9" i="19" s="1"/>
  <c r="E12" i="19" s="1"/>
  <c r="E15" i="19" s="1"/>
  <c r="E13" i="9"/>
  <c r="E15" i="9" s="1"/>
  <c r="E7" i="5" l="1"/>
  <c r="D12" i="5" s="1"/>
  <c r="D18" i="5" s="1"/>
  <c r="H12" i="5" l="1"/>
  <c r="H18" i="5" l="1"/>
  <c r="E9" i="9" s="1"/>
  <c r="E12" i="9" s="1"/>
  <c r="D25" i="5"/>
  <c r="D29" i="5" s="1"/>
  <c r="D33" i="5" s="1"/>
  <c r="H33" i="5" s="1"/>
  <c r="V40" i="22" l="1"/>
  <c r="W40" i="22" s="1"/>
  <c r="V29" i="22"/>
  <c r="W29" i="22" s="1"/>
  <c r="V42" i="22"/>
  <c r="W42" i="22" s="1"/>
  <c r="V34" i="22" l="1"/>
  <c r="W34" i="22" s="1"/>
  <c r="V33" i="22"/>
  <c r="W33" i="22" s="1"/>
  <c r="V30" i="22"/>
  <c r="W30" i="22" s="1"/>
  <c r="V39" i="22"/>
  <c r="W39" i="22" s="1"/>
  <c r="V35" i="22"/>
  <c r="W35" i="22" s="1"/>
  <c r="V37" i="22"/>
  <c r="W37" i="22" s="1"/>
  <c r="V38" i="22"/>
  <c r="W38" i="22" s="1"/>
  <c r="V36" i="22"/>
  <c r="W36" i="22" s="1"/>
  <c r="V32" i="22"/>
  <c r="W32" i="22" s="1"/>
  <c r="V31" i="22"/>
  <c r="W31" i="22" s="1"/>
  <c r="V41" i="22"/>
  <c r="W41" i="22" s="1"/>
  <c r="V43" i="22"/>
  <c r="W43" i="22" s="1"/>
</calcChain>
</file>

<file path=xl/sharedStrings.xml><?xml version="1.0" encoding="utf-8"?>
<sst xmlns="http://schemas.openxmlformats.org/spreadsheetml/2006/main" count="1201" uniqueCount="321">
  <si>
    <t>Heat loss from a building</t>
  </si>
  <si>
    <t xml:space="preserve">Area </t>
  </si>
  <si>
    <t>m2</t>
  </si>
  <si>
    <t>(ground floor area)</t>
  </si>
  <si>
    <t>U Values</t>
  </si>
  <si>
    <t>U value</t>
  </si>
  <si>
    <t>Comment</t>
  </si>
  <si>
    <t>Wall</t>
  </si>
  <si>
    <t>See calc</t>
  </si>
  <si>
    <t>(below)</t>
  </si>
  <si>
    <t>Window</t>
  </si>
  <si>
    <t>CIBSE Table</t>
  </si>
  <si>
    <t>Floor</t>
  </si>
  <si>
    <t>Roof</t>
  </si>
  <si>
    <t>Doors</t>
  </si>
  <si>
    <t>Table</t>
  </si>
  <si>
    <t>Walls</t>
  </si>
  <si>
    <t xml:space="preserve">Layer </t>
  </si>
  <si>
    <t>Thickness</t>
  </si>
  <si>
    <t>k value</t>
  </si>
  <si>
    <t>Resistance</t>
  </si>
  <si>
    <t>Outer</t>
  </si>
  <si>
    <t>Outer brick</t>
  </si>
  <si>
    <t>Air gap</t>
  </si>
  <si>
    <t>Insulation</t>
  </si>
  <si>
    <t>Inner brick</t>
  </si>
  <si>
    <t>Plaster</t>
  </si>
  <si>
    <t>Inner</t>
  </si>
  <si>
    <t>Sum</t>
  </si>
  <si>
    <t>Outer surface</t>
  </si>
  <si>
    <t>Felt layers</t>
  </si>
  <si>
    <t>Timber</t>
  </si>
  <si>
    <t>Plasterboard</t>
  </si>
  <si>
    <t>Inner surface</t>
  </si>
  <si>
    <t>=sum R</t>
  </si>
  <si>
    <t>=1/sum R</t>
  </si>
  <si>
    <t>Building Perimeter</t>
  </si>
  <si>
    <t>Building Area</t>
  </si>
  <si>
    <t>P/A</t>
  </si>
  <si>
    <t>c1</t>
  </si>
  <si>
    <t>c2</t>
  </si>
  <si>
    <t>c3</t>
  </si>
  <si>
    <t>R</t>
  </si>
  <si>
    <t>U value (tot)</t>
  </si>
  <si>
    <t>PSR</t>
  </si>
  <si>
    <t>PSR/E</t>
  </si>
  <si>
    <t>Qloss</t>
  </si>
  <si>
    <t>W</t>
  </si>
  <si>
    <t>Qloss/Af</t>
  </si>
  <si>
    <t>W/m2</t>
  </si>
  <si>
    <t>N</t>
  </si>
  <si>
    <t>h-1</t>
  </si>
  <si>
    <t>Eff Fac</t>
  </si>
  <si>
    <t>Qhtg</t>
  </si>
  <si>
    <t>Qhtg/Af</t>
  </si>
  <si>
    <t>Tao</t>
  </si>
  <si>
    <t>deg C</t>
  </si>
  <si>
    <t>Ndd</t>
  </si>
  <si>
    <t>PSR = plant size ratio</t>
  </si>
  <si>
    <t>Ehtg</t>
  </si>
  <si>
    <t>kWh</t>
  </si>
  <si>
    <t>DT</t>
  </si>
  <si>
    <t>E/A</t>
  </si>
  <si>
    <t>kWh/m2/yr</t>
  </si>
  <si>
    <t>U values</t>
  </si>
  <si>
    <t>Windows</t>
  </si>
  <si>
    <t>Floors</t>
  </si>
  <si>
    <t>Roofs</t>
  </si>
  <si>
    <t>Room</t>
  </si>
  <si>
    <t xml:space="preserve">Floor </t>
  </si>
  <si>
    <t>Ceiling</t>
  </si>
  <si>
    <t>sum</t>
  </si>
  <si>
    <t>Infiltration</t>
  </si>
  <si>
    <t>Tai</t>
  </si>
  <si>
    <t>Tai-Tao</t>
  </si>
  <si>
    <t>Sum(UA)+nV/3</t>
  </si>
  <si>
    <t>Heat Loss</t>
  </si>
  <si>
    <t>Heat Loss Rate(%)</t>
  </si>
  <si>
    <t>Heat loss</t>
  </si>
  <si>
    <t>Length</t>
  </si>
  <si>
    <t>Height</t>
  </si>
  <si>
    <t>Width</t>
  </si>
  <si>
    <t>UA</t>
  </si>
  <si>
    <t>nV/3</t>
  </si>
  <si>
    <t>per unit Area</t>
  </si>
  <si>
    <t>x factor</t>
  </si>
  <si>
    <t>(m)</t>
  </si>
  <si>
    <t>(W)</t>
  </si>
  <si>
    <t>(W/m2)</t>
  </si>
  <si>
    <t>Total Heat Loss</t>
  </si>
  <si>
    <t>Afloor</t>
  </si>
  <si>
    <t>Hot water load</t>
  </si>
  <si>
    <t>Floor area</t>
  </si>
  <si>
    <t>(assuming central hot water storage tank)</t>
  </si>
  <si>
    <t>(fed from boiler)</t>
  </si>
  <si>
    <t>No occup</t>
  </si>
  <si>
    <t>Days/yr</t>
  </si>
  <si>
    <t>(days/year building is occupied)</t>
  </si>
  <si>
    <t>Usage/occ</t>
  </si>
  <si>
    <t>litres</t>
  </si>
  <si>
    <t>HW eff</t>
  </si>
  <si>
    <t>cpwater</t>
  </si>
  <si>
    <t>W/J/kg</t>
  </si>
  <si>
    <t>%</t>
  </si>
  <si>
    <t>=(60 -10)</t>
  </si>
  <si>
    <t>h</t>
  </si>
  <si>
    <t>kW</t>
  </si>
  <si>
    <t>Hot water energy</t>
  </si>
  <si>
    <t>J/day</t>
  </si>
  <si>
    <t>(per day)</t>
  </si>
  <si>
    <t>kWh/day</t>
  </si>
  <si>
    <t>kWh/year</t>
  </si>
  <si>
    <t>(annual)</t>
  </si>
  <si>
    <t>Energy use (house)</t>
  </si>
  <si>
    <t>Heating</t>
  </si>
  <si>
    <t>Q=</t>
  </si>
  <si>
    <t>Ti</t>
  </si>
  <si>
    <t>NDD</t>
  </si>
  <si>
    <t xml:space="preserve">(Perimeter) </t>
  </si>
  <si>
    <t>To</t>
  </si>
  <si>
    <t>Q/DT</t>
  </si>
  <si>
    <t>W/oC</t>
  </si>
  <si>
    <t>[Sum UA + nV/3]*24*NDD/1000</t>
  </si>
  <si>
    <t>E/Afloor</t>
  </si>
  <si>
    <t>(kWh/m2/year)</t>
  </si>
  <si>
    <t>Hot water</t>
  </si>
  <si>
    <t>Ehw</t>
  </si>
  <si>
    <t>Etotal</t>
  </si>
  <si>
    <t>Fuel:</t>
  </si>
  <si>
    <t>Kersone</t>
  </si>
  <si>
    <t>J/kg</t>
  </si>
  <si>
    <t>kWh/kg</t>
  </si>
  <si>
    <t>Fuel consumption</t>
  </si>
  <si>
    <t>kg/year</t>
  </si>
  <si>
    <t>Density</t>
  </si>
  <si>
    <t>(Kerosene)</t>
  </si>
  <si>
    <t>/year</t>
  </si>
  <si>
    <t>Cost/l</t>
  </si>
  <si>
    <t>Cost</t>
  </si>
  <si>
    <t>€</t>
  </si>
  <si>
    <t>/m2/year</t>
  </si>
  <si>
    <t>Days/year</t>
  </si>
  <si>
    <t>Load</t>
  </si>
  <si>
    <t xml:space="preserve">Total </t>
  </si>
  <si>
    <t>(kWh)</t>
  </si>
  <si>
    <t>Totals</t>
  </si>
  <si>
    <t>Op time</t>
  </si>
  <si>
    <t>Diversity</t>
  </si>
  <si>
    <t xml:space="preserve">Pt </t>
  </si>
  <si>
    <t>(m2)</t>
  </si>
  <si>
    <t>(Wh)</t>
  </si>
  <si>
    <t xml:space="preserve">Annual electrical energy </t>
  </si>
  <si>
    <t>Primary energy use</t>
  </si>
  <si>
    <t>Area</t>
  </si>
  <si>
    <t>Primary energy factors</t>
  </si>
  <si>
    <t>Demand thermal energy</t>
  </si>
  <si>
    <t>kWh/m2/year</t>
  </si>
  <si>
    <t>Demand electrical energy</t>
  </si>
  <si>
    <t>Primary energy (thermal)</t>
  </si>
  <si>
    <t>Total primary energy</t>
  </si>
  <si>
    <t>Door</t>
    <phoneticPr fontId="6" type="noConversion"/>
  </si>
  <si>
    <t>Doors</t>
    <phoneticPr fontId="6" type="noConversion"/>
  </si>
  <si>
    <t>Stair 1</t>
    <phoneticPr fontId="6" type="noConversion"/>
  </si>
  <si>
    <t>Stair 2</t>
    <phoneticPr fontId="6" type="noConversion"/>
  </si>
  <si>
    <t>Threater</t>
    <phoneticPr fontId="6" type="noConversion"/>
  </si>
  <si>
    <t>Café</t>
    <phoneticPr fontId="6" type="noConversion"/>
  </si>
  <si>
    <t>Toilet</t>
    <phoneticPr fontId="6" type="noConversion"/>
  </si>
  <si>
    <t xml:space="preserve">Classroom </t>
    <phoneticPr fontId="6" type="noConversion"/>
  </si>
  <si>
    <t>PC Lab</t>
    <phoneticPr fontId="6" type="noConversion"/>
  </si>
  <si>
    <t>Tutorial Classroom</t>
    <phoneticPr fontId="6" type="noConversion"/>
  </si>
  <si>
    <t>café</t>
    <phoneticPr fontId="6" type="noConversion"/>
  </si>
  <si>
    <t>Corridor1</t>
    <phoneticPr fontId="6" type="noConversion"/>
  </si>
  <si>
    <t>Corridor2</t>
    <phoneticPr fontId="6" type="noConversion"/>
  </si>
  <si>
    <t>Corridor3</t>
  </si>
  <si>
    <t>Corridor3</t>
    <phoneticPr fontId="6" type="noConversion"/>
  </si>
  <si>
    <t>PC</t>
    <phoneticPr fontId="6" type="noConversion"/>
  </si>
  <si>
    <t>Classroom</t>
  </si>
  <si>
    <t>PC Lab</t>
  </si>
  <si>
    <t>Stair 1</t>
  </si>
  <si>
    <t>Stair 2</t>
  </si>
  <si>
    <t>Threater</t>
  </si>
  <si>
    <t>Tutorial Classroom</t>
  </si>
  <si>
    <t>Café</t>
  </si>
  <si>
    <t>Toilet</t>
  </si>
  <si>
    <t>Corridor1</t>
  </si>
  <si>
    <t>Corridor2</t>
  </si>
  <si>
    <t>stair 1</t>
    <phoneticPr fontId="6" type="noConversion"/>
  </si>
  <si>
    <t>Classroom (70 seats)_</t>
    <phoneticPr fontId="6" type="noConversion"/>
  </si>
  <si>
    <t>PC Lab (20 pcs)</t>
    <phoneticPr fontId="6" type="noConversion"/>
  </si>
  <si>
    <t>Threater (150 seats)</t>
    <phoneticPr fontId="6" type="noConversion"/>
  </si>
  <si>
    <t>Tutorial Classroom (62 seats)</t>
    <phoneticPr fontId="6" type="noConversion"/>
  </si>
  <si>
    <t>Café (24 seats)</t>
    <phoneticPr fontId="6" type="noConversion"/>
  </si>
  <si>
    <t>Lights</t>
    <phoneticPr fontId="6" type="noConversion"/>
  </si>
  <si>
    <t>Projector</t>
    <phoneticPr fontId="6" type="noConversion"/>
  </si>
  <si>
    <t>Electrical loads</t>
    <phoneticPr fontId="6" type="noConversion"/>
  </si>
  <si>
    <t>HVAC</t>
  </si>
  <si>
    <t>Controls</t>
    <phoneticPr fontId="6" type="noConversion"/>
  </si>
  <si>
    <t>Fire Alarm</t>
    <phoneticPr fontId="6" type="noConversion"/>
  </si>
  <si>
    <t>Hand dryer</t>
    <phoneticPr fontId="6" type="noConversion"/>
  </si>
  <si>
    <t>Router, Switch ports</t>
    <phoneticPr fontId="6" type="noConversion"/>
  </si>
  <si>
    <t>Network Switches</t>
    <phoneticPr fontId="6" type="noConversion"/>
  </si>
  <si>
    <t>Theater</t>
    <phoneticPr fontId="6" type="noConversion"/>
  </si>
  <si>
    <t>Audio system, spotlighting</t>
  </si>
  <si>
    <t>Media equipment</t>
    <phoneticPr fontId="6" type="noConversion"/>
  </si>
  <si>
    <t xml:space="preserve">Corridor </t>
    <phoneticPr fontId="6" type="noConversion"/>
  </si>
  <si>
    <t>Coffee machine</t>
    <phoneticPr fontId="6" type="noConversion"/>
  </si>
  <si>
    <t>Refrigerator</t>
    <phoneticPr fontId="6" type="noConversion"/>
  </si>
  <si>
    <t>Microwave</t>
    <phoneticPr fontId="6" type="noConversion"/>
  </si>
  <si>
    <t>Kettle</t>
    <phoneticPr fontId="6" type="noConversion"/>
  </si>
  <si>
    <t>Router, POS</t>
    <phoneticPr fontId="6" type="noConversion"/>
  </si>
  <si>
    <t>Plug loads</t>
    <phoneticPr fontId="6" type="noConversion"/>
  </si>
  <si>
    <r>
      <t>Projector</t>
    </r>
    <r>
      <rPr>
        <sz val="10"/>
        <color rgb="FF000000"/>
        <rFont val="Microsoft YaHei"/>
        <family val="2"/>
        <charset val="134"/>
      </rPr>
      <t>，</t>
    </r>
    <r>
      <rPr>
        <sz val="10"/>
        <color rgb="FF000000"/>
        <rFont val="Times New Roman"/>
        <family val="1"/>
      </rPr>
      <t>A</t>
    </r>
    <r>
      <rPr>
        <sz val="10"/>
        <color indexed="8"/>
        <rFont val="Times New Roman"/>
        <family val="1"/>
      </rPr>
      <t>mplifiers</t>
    </r>
    <phoneticPr fontId="6" type="noConversion"/>
  </si>
  <si>
    <t>Pre-heat time (h)</t>
    <phoneticPr fontId="6" type="noConversion"/>
  </si>
  <si>
    <t>(thermal efficiency of hot water system)</t>
    <phoneticPr fontId="6" type="noConversion"/>
  </si>
  <si>
    <t>Hot water energy</t>
    <phoneticPr fontId="6" type="noConversion"/>
  </si>
  <si>
    <t>Thermal energy</t>
    <phoneticPr fontId="6" type="noConversion"/>
  </si>
  <si>
    <t>0.8kg/l</t>
    <phoneticPr fontId="6" type="noConversion"/>
  </si>
  <si>
    <t>kg/m3</t>
    <phoneticPr fontId="6" type="noConversion"/>
  </si>
  <si>
    <t>PEF (thermal)</t>
    <phoneticPr fontId="6" type="noConversion"/>
  </si>
  <si>
    <t>Primary energy (elect)</t>
    <phoneticPr fontId="6" type="noConversion"/>
  </si>
  <si>
    <t>Q_solar</t>
    <phoneticPr fontId="6" type="noConversion"/>
  </si>
  <si>
    <t>g</t>
  </si>
  <si>
    <t>E_solar</t>
    <phoneticPr fontId="6" type="noConversion"/>
  </si>
  <si>
    <t>kWh/yr</t>
  </si>
  <si>
    <t>kWh/yr</t>
    <phoneticPr fontId="6" type="noConversion"/>
  </si>
  <si>
    <t>kW</t>
    <phoneticPr fontId="6" type="noConversion"/>
  </si>
  <si>
    <t>Area (fl)/Quan.</t>
    <phoneticPr fontId="6" type="noConversion"/>
  </si>
  <si>
    <t>(m2)/(pc)</t>
    <phoneticPr fontId="6" type="noConversion"/>
  </si>
  <si>
    <t>LED Lights</t>
  </si>
  <si>
    <t>Pumps</t>
  </si>
  <si>
    <t>EM &amp; HT</t>
  </si>
  <si>
    <t>L</t>
  </si>
  <si>
    <t>Room Ref</t>
  </si>
  <si>
    <t>Hint</t>
  </si>
  <si>
    <t>Supply</t>
  </si>
  <si>
    <t>Heat gains</t>
  </si>
  <si>
    <t>Load (s)</t>
  </si>
  <si>
    <t>Qs</t>
  </si>
  <si>
    <t>Ql</t>
  </si>
  <si>
    <t>Vol flow</t>
  </si>
  <si>
    <t>Mass flow</t>
  </si>
  <si>
    <t>m3/s</t>
  </si>
  <si>
    <t>kg/s</t>
  </si>
  <si>
    <t>a/c/h</t>
  </si>
  <si>
    <t>Lights</t>
  </si>
  <si>
    <t>Occupants</t>
  </si>
  <si>
    <t>https://re.jrc.ec.europa.eu/pvg_tools/en/</t>
  </si>
  <si>
    <t>T (oC)</t>
  </si>
  <si>
    <t>Fan effi</t>
  </si>
  <si>
    <t>Pressure</t>
  </si>
  <si>
    <t>pa</t>
  </si>
  <si>
    <t>T1</t>
  </si>
  <si>
    <t>kg/m³</t>
  </si>
  <si>
    <t>T2</t>
  </si>
  <si>
    <t>oC</t>
  </si>
  <si>
    <t xml:space="preserve">Cp air </t>
  </si>
  <si>
    <t xml:space="preserve"> J /(kg K)  </t>
  </si>
  <si>
    <t>T3</t>
  </si>
  <si>
    <t>Quan.</t>
  </si>
  <si>
    <t>Daily Solar Irradiation estimate (June)</t>
  </si>
  <si>
    <t>Q_totalheat gain</t>
  </si>
  <si>
    <t xml:space="preserve">airflow </t>
  </si>
  <si>
    <t>Pfan</t>
  </si>
  <si>
    <t xml:space="preserve">Q_preheat </t>
  </si>
  <si>
    <t>Q_coil</t>
  </si>
  <si>
    <t>Pcs</t>
  </si>
  <si>
    <t>Time(h)</t>
  </si>
  <si>
    <t>Irradiation (w/m2)</t>
  </si>
  <si>
    <t>Projector</t>
  </si>
  <si>
    <t>PC</t>
  </si>
  <si>
    <t>Efan</t>
  </si>
  <si>
    <t>Corridor</t>
  </si>
  <si>
    <t>Epreheat+Ecoil</t>
  </si>
  <si>
    <t>Annual</t>
  </si>
  <si>
    <t>sumUA+nV/3</t>
  </si>
  <si>
    <t>Ti -To</t>
  </si>
  <si>
    <t>Ti max</t>
  </si>
  <si>
    <t>Total</t>
  </si>
  <si>
    <t>solar</t>
  </si>
  <si>
    <r>
      <t xml:space="preserve">Heat loss from a building </t>
    </r>
    <r>
      <rPr>
        <b/>
        <sz val="10"/>
        <color rgb="FF000000"/>
        <rFont val="Microsoft YaHei"/>
        <family val="2"/>
        <charset val="134"/>
      </rPr>
      <t>（</t>
    </r>
    <r>
      <rPr>
        <b/>
        <sz val="10"/>
        <color rgb="FF000000"/>
        <rFont val="Arial"/>
        <family val="2"/>
      </rPr>
      <t>Improved</t>
    </r>
    <r>
      <rPr>
        <b/>
        <sz val="10"/>
        <color rgb="FF000000"/>
        <rFont val="Microsoft YaHei"/>
        <family val="2"/>
        <charset val="134"/>
      </rPr>
      <t>）</t>
    </r>
    <phoneticPr fontId="6" type="noConversion"/>
  </si>
  <si>
    <r>
      <t>(Wm</t>
    </r>
    <r>
      <rPr>
        <vertAlign val="superscript"/>
        <sz val="10"/>
        <color indexed="8"/>
        <rFont val="Arial"/>
        <family val="2"/>
      </rPr>
      <t>-2</t>
    </r>
    <r>
      <rPr>
        <sz val="10"/>
        <color indexed="8"/>
        <rFont val="Arial"/>
        <family val="2"/>
      </rPr>
      <t>K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>)</t>
    </r>
  </si>
  <si>
    <r>
      <t>(WK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>)</t>
    </r>
  </si>
  <si>
    <r>
      <t>(</t>
    </r>
    <r>
      <rPr>
        <vertAlign val="superscript"/>
        <sz val="10"/>
        <color indexed="8"/>
        <rFont val="Arial"/>
        <family val="2"/>
      </rPr>
      <t>o</t>
    </r>
    <r>
      <rPr>
        <sz val="10"/>
        <color indexed="8"/>
        <rFont val="Arial"/>
        <family val="2"/>
      </rPr>
      <t>C)</t>
    </r>
  </si>
  <si>
    <t>(used in Building Part L)</t>
    <phoneticPr fontId="6" type="noConversion"/>
  </si>
  <si>
    <t>DT</t>
    <phoneticPr fontId="6" type="noConversion"/>
  </si>
  <si>
    <t>Floor</t>
    <phoneticPr fontId="6" type="noConversion"/>
  </si>
  <si>
    <t>Floor Area (m2)</t>
    <phoneticPr fontId="6" type="noConversion"/>
  </si>
  <si>
    <t>Thermal energy (Improved)</t>
    <phoneticPr fontId="6" type="noConversion"/>
  </si>
  <si>
    <r>
      <t xml:space="preserve">Heat loss from a building </t>
    </r>
    <r>
      <rPr>
        <b/>
        <sz val="10"/>
        <color rgb="FF000000"/>
        <rFont val="Microsoft YaHei"/>
        <family val="2"/>
        <charset val="134"/>
      </rPr>
      <t>（Original）</t>
    </r>
    <phoneticPr fontId="6" type="noConversion"/>
  </si>
  <si>
    <t>Afloor(m2)</t>
    <phoneticPr fontId="6" type="noConversion"/>
  </si>
  <si>
    <t>Vroom (m3)</t>
    <phoneticPr fontId="6" type="noConversion"/>
  </si>
  <si>
    <t>stair 2</t>
    <phoneticPr fontId="6" type="noConversion"/>
  </si>
  <si>
    <t>Pumps</t>
    <phoneticPr fontId="6" type="noConversion"/>
  </si>
  <si>
    <t xml:space="preserve">HVAC </t>
    <phoneticPr fontId="6" type="noConversion"/>
  </si>
  <si>
    <t>PC(enable sleep mode)</t>
  </si>
  <si>
    <t>PC(enable sleep mode)</t>
    <phoneticPr fontId="6" type="noConversion"/>
  </si>
  <si>
    <t>LED Projector</t>
  </si>
  <si>
    <t>LED Projector，Amplifiers</t>
  </si>
  <si>
    <t>HVAC</t>
    <phoneticPr fontId="6" type="noConversion"/>
  </si>
  <si>
    <t>Type</t>
  </si>
  <si>
    <t>Existing Building (Before)</t>
  </si>
  <si>
    <t>Improved Building (After)</t>
  </si>
  <si>
    <t>Unit</t>
  </si>
  <si>
    <t>Annual Thermal Energy</t>
  </si>
  <si>
    <t>Annual Electricity Load</t>
  </si>
  <si>
    <t>Qtotal</t>
    <phoneticPr fontId="6" type="noConversion"/>
  </si>
  <si>
    <t>ρ</t>
    <phoneticPr fontId="6" type="noConversion"/>
  </si>
  <si>
    <t>solar</t>
    <phoneticPr fontId="6" type="noConversion"/>
  </si>
  <si>
    <t>Ti max</t>
    <phoneticPr fontId="6" type="noConversion"/>
  </si>
  <si>
    <t>Window</t>
    <phoneticPr fontId="6" type="noConversion"/>
  </si>
  <si>
    <t>roof</t>
    <phoneticPr fontId="6" type="noConversion"/>
  </si>
  <si>
    <t>PVGIS</t>
    <phoneticPr fontId="6" type="noConversion"/>
  </si>
  <si>
    <t>Source</t>
    <phoneticPr fontId="6" type="noConversion"/>
  </si>
  <si>
    <t>Building</t>
    <phoneticPr fontId="6" type="noConversion"/>
  </si>
  <si>
    <t>Met.ie</t>
    <phoneticPr fontId="6" type="noConversion"/>
  </si>
  <si>
    <t>source</t>
    <phoneticPr fontId="6" type="noConversion"/>
  </si>
  <si>
    <t>Price</t>
    <phoneticPr fontId="6" type="noConversion"/>
  </si>
  <si>
    <t>€/kWh</t>
  </si>
  <si>
    <t>Total Cost</t>
    <phoneticPr fontId="6" type="noConversion"/>
  </si>
  <si>
    <t>Improved</t>
    <phoneticPr fontId="6" type="noConversion"/>
  </si>
  <si>
    <t>Original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</si>
</sst>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"/>
    <numFmt numFmtId="178" formatCode="0.00_);[Red]\(0.00\)"/>
    <numFmt numFmtId="179" formatCode="0_);[Red]\(0\)"/>
    <numFmt numFmtId="180" formatCode="0.00_ "/>
  </numFmts>
  <fonts count="20" x14ac:knownFonts="1">
    <font>
      <sz val="10"/>
      <color indexed="8"/>
      <name val="Arial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sz val="9"/>
      <name val="FangSong"/>
      <family val="3"/>
      <charset val="134"/>
    </font>
    <font>
      <sz val="12"/>
      <color rgb="FF000000"/>
      <name val="Times New Roman"/>
      <family val="1"/>
    </font>
    <font>
      <sz val="12"/>
      <color indexed="8"/>
      <name val="Helvetic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Microsoft YaHei"/>
      <family val="2"/>
      <charset val="134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Microsoft YaHei"/>
      <family val="2"/>
      <charset val="134"/>
    </font>
    <font>
      <sz val="10"/>
      <color indexed="8"/>
      <name val="FangSong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tted">
        <color indexed="12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 style="dotted">
        <color indexed="12"/>
      </left>
      <right/>
      <top style="dotted">
        <color indexed="12"/>
      </top>
      <bottom style="dotted">
        <color indexed="12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16" fillId="0" borderId="0" applyNumberFormat="0" applyFill="0" applyBorder="0" applyAlignment="0" applyProtection="0"/>
  </cellStyleXfs>
  <cellXfs count="188">
    <xf numFmtId="0" fontId="0" fillId="0" borderId="0" xfId="0"/>
    <xf numFmtId="0" fontId="0" fillId="0" borderId="0" xfId="0" applyNumberFormat="1"/>
    <xf numFmtId="49" fontId="2" fillId="0" borderId="1" xfId="0" applyNumberFormat="1" applyFont="1" applyBorder="1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0" fillId="0" borderId="2" xfId="0" applyBorder="1"/>
    <xf numFmtId="49" fontId="2" fillId="0" borderId="3" xfId="0" applyNumberFormat="1" applyFont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49" fontId="0" fillId="0" borderId="8" xfId="0" applyNumberFormat="1" applyBorder="1"/>
    <xf numFmtId="49" fontId="0" fillId="0" borderId="9" xfId="0" applyNumberFormat="1" applyBorder="1"/>
    <xf numFmtId="0" fontId="0" fillId="0" borderId="3" xfId="0" applyBorder="1"/>
    <xf numFmtId="49" fontId="0" fillId="0" borderId="4" xfId="0" applyNumberFormat="1" applyBorder="1"/>
    <xf numFmtId="176" fontId="0" fillId="0" borderId="4" xfId="0" applyNumberFormat="1" applyBorder="1"/>
    <xf numFmtId="49" fontId="0" fillId="0" borderId="5" xfId="0" applyNumberFormat="1" applyBorder="1"/>
    <xf numFmtId="49" fontId="0" fillId="2" borderId="6" xfId="0" applyNumberFormat="1" applyFill="1" applyBorder="1"/>
    <xf numFmtId="0" fontId="0" fillId="0" borderId="10" xfId="0" applyBorder="1"/>
    <xf numFmtId="49" fontId="0" fillId="0" borderId="11" xfId="0" applyNumberFormat="1" applyBorder="1"/>
    <xf numFmtId="176" fontId="0" fillId="0" borderId="11" xfId="0" applyNumberFormat="1" applyBorder="1"/>
    <xf numFmtId="49" fontId="0" fillId="0" borderId="12" xfId="0" applyNumberFormat="1" applyBorder="1"/>
    <xf numFmtId="0" fontId="0" fillId="0" borderId="12" xfId="0" applyBorder="1"/>
    <xf numFmtId="176" fontId="0" fillId="0" borderId="8" xfId="0" applyNumberFormat="1" applyBorder="1"/>
    <xf numFmtId="0" fontId="0" fillId="0" borderId="13" xfId="0" applyBorder="1"/>
    <xf numFmtId="0" fontId="0" fillId="2" borderId="2" xfId="0" applyFill="1" applyBorder="1"/>
    <xf numFmtId="176" fontId="0" fillId="2" borderId="5" xfId="0" applyNumberFormat="1" applyFill="1" applyBorder="1"/>
    <xf numFmtId="0" fontId="0" fillId="0" borderId="14" xfId="0" applyBorder="1"/>
    <xf numFmtId="176" fontId="0" fillId="0" borderId="5" xfId="0" applyNumberFormat="1" applyBorder="1"/>
    <xf numFmtId="49" fontId="0" fillId="2" borderId="9" xfId="0" applyNumberFormat="1" applyFill="1" applyBorder="1"/>
    <xf numFmtId="0" fontId="0" fillId="0" borderId="11" xfId="0" applyNumberFormat="1" applyBorder="1"/>
    <xf numFmtId="176" fontId="0" fillId="2" borderId="12" xfId="0" applyNumberFormat="1" applyFill="1" applyBorder="1"/>
    <xf numFmtId="176" fontId="0" fillId="0" borderId="12" xfId="0" applyNumberFormat="1" applyBorder="1"/>
    <xf numFmtId="0" fontId="0" fillId="0" borderId="11" xfId="0" applyBorder="1"/>
    <xf numFmtId="176" fontId="0" fillId="2" borderId="9" xfId="0" applyNumberFormat="1" applyFill="1" applyBorder="1"/>
    <xf numFmtId="176" fontId="0" fillId="0" borderId="9" xfId="0" applyNumberFormat="1" applyBorder="1"/>
    <xf numFmtId="0" fontId="0" fillId="2" borderId="13" xfId="0" applyFill="1" applyBorder="1"/>
    <xf numFmtId="0" fontId="0" fillId="0" borderId="6" xfId="0" applyBorder="1"/>
    <xf numFmtId="49" fontId="0" fillId="0" borderId="6" xfId="0" applyNumberFormat="1" applyBorder="1"/>
    <xf numFmtId="176" fontId="0" fillId="2" borderId="4" xfId="0" applyNumberFormat="1" applyFill="1" applyBorder="1"/>
    <xf numFmtId="176" fontId="0" fillId="2" borderId="11" xfId="0" applyNumberFormat="1" applyFill="1" applyBorder="1"/>
    <xf numFmtId="49" fontId="0" fillId="2" borderId="11" xfId="0" applyNumberFormat="1" applyFill="1" applyBorder="1"/>
    <xf numFmtId="176" fontId="0" fillId="2" borderId="8" xfId="0" applyNumberFormat="1" applyFill="1" applyBorder="1"/>
    <xf numFmtId="0" fontId="0" fillId="0" borderId="9" xfId="0" applyBorder="1"/>
    <xf numFmtId="49" fontId="3" fillId="2" borderId="1" xfId="0" applyNumberFormat="1" applyFont="1" applyFill="1" applyBorder="1"/>
    <xf numFmtId="49" fontId="0" fillId="2" borderId="1" xfId="0" applyNumberFormat="1" applyFill="1" applyBorder="1"/>
    <xf numFmtId="1" fontId="0" fillId="2" borderId="1" xfId="0" applyNumberFormat="1" applyFill="1" applyBorder="1"/>
    <xf numFmtId="0" fontId="0" fillId="2" borderId="1" xfId="0" applyNumberFormat="1" applyFill="1" applyBorder="1"/>
    <xf numFmtId="0" fontId="0" fillId="2" borderId="15" xfId="0" applyFill="1" applyBorder="1"/>
    <xf numFmtId="0" fontId="0" fillId="2" borderId="3" xfId="0" applyFill="1" applyBorder="1"/>
    <xf numFmtId="49" fontId="0" fillId="2" borderId="4" xfId="0" applyNumberFormat="1" applyFill="1" applyBorder="1"/>
    <xf numFmtId="0" fontId="0" fillId="2" borderId="4" xfId="0" applyFill="1" applyBorder="1"/>
    <xf numFmtId="49" fontId="0" fillId="2" borderId="5" xfId="0" applyNumberForma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177" fontId="0" fillId="2" borderId="11" xfId="0" applyNumberFormat="1" applyFill="1" applyBorder="1"/>
    <xf numFmtId="49" fontId="0" fillId="2" borderId="10" xfId="0" applyNumberFormat="1" applyFill="1" applyBorder="1"/>
    <xf numFmtId="0" fontId="0" fillId="2" borderId="7" xfId="0" applyFill="1" applyBorder="1"/>
    <xf numFmtId="0" fontId="0" fillId="2" borderId="8" xfId="0" applyFill="1" applyBorder="1"/>
    <xf numFmtId="177" fontId="0" fillId="2" borderId="8" xfId="0" applyNumberFormat="1" applyFill="1" applyBorder="1"/>
    <xf numFmtId="0" fontId="0" fillId="2" borderId="9" xfId="0" applyFill="1" applyBorder="1"/>
    <xf numFmtId="0" fontId="0" fillId="2" borderId="16" xfId="0" applyFill="1" applyBorder="1"/>
    <xf numFmtId="49" fontId="0" fillId="2" borderId="17" xfId="0" applyNumberFormat="1" applyFill="1" applyBorder="1"/>
    <xf numFmtId="177" fontId="0" fillId="2" borderId="17" xfId="0" applyNumberFormat="1" applyFill="1" applyBorder="1"/>
    <xf numFmtId="0" fontId="0" fillId="2" borderId="17" xfId="0" applyFill="1" applyBorder="1"/>
    <xf numFmtId="0" fontId="0" fillId="2" borderId="18" xfId="0" applyFill="1" applyBorder="1"/>
    <xf numFmtId="11" fontId="0" fillId="2" borderId="1" xfId="0" applyNumberFormat="1" applyFill="1" applyBorder="1"/>
    <xf numFmtId="2" fontId="0" fillId="2" borderId="1" xfId="0" applyNumberFormat="1" applyFill="1" applyBorder="1"/>
    <xf numFmtId="177" fontId="0" fillId="2" borderId="1" xfId="0" applyNumberFormat="1" applyFill="1" applyBorder="1"/>
    <xf numFmtId="49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0" fontId="3" fillId="2" borderId="1" xfId="0" applyNumberFormat="1" applyFont="1" applyFill="1" applyBorder="1"/>
    <xf numFmtId="0" fontId="5" fillId="0" borderId="0" xfId="0" applyFont="1"/>
    <xf numFmtId="0" fontId="7" fillId="0" borderId="0" xfId="0" applyFont="1"/>
    <xf numFmtId="179" fontId="12" fillId="0" borderId="0" xfId="0" applyNumberFormat="1" applyFont="1"/>
    <xf numFmtId="49" fontId="5" fillId="2" borderId="1" xfId="0" applyNumberFormat="1" applyFont="1" applyFill="1" applyBorder="1"/>
    <xf numFmtId="49" fontId="0" fillId="2" borderId="20" xfId="0" applyNumberFormat="1" applyFill="1" applyBorder="1"/>
    <xf numFmtId="49" fontId="0" fillId="2" borderId="21" xfId="0" applyNumberFormat="1" applyFill="1" applyBorder="1"/>
    <xf numFmtId="177" fontId="0" fillId="2" borderId="21" xfId="0" applyNumberFormat="1" applyFill="1" applyBorder="1"/>
    <xf numFmtId="0" fontId="0" fillId="2" borderId="21" xfId="0" applyFill="1" applyBorder="1"/>
    <xf numFmtId="0" fontId="0" fillId="2" borderId="22" xfId="0" applyFill="1" applyBorder="1"/>
    <xf numFmtId="49" fontId="5" fillId="2" borderId="21" xfId="0" applyNumberFormat="1" applyFont="1" applyFill="1" applyBorder="1"/>
    <xf numFmtId="178" fontId="12" fillId="0" borderId="1" xfId="0" applyNumberFormat="1" applyFont="1" applyBorder="1"/>
    <xf numFmtId="178" fontId="12" fillId="0" borderId="2" xfId="0" applyNumberFormat="1" applyFont="1" applyBorder="1"/>
    <xf numFmtId="178" fontId="13" fillId="0" borderId="3" xfId="0" applyNumberFormat="1" applyFont="1" applyBorder="1"/>
    <xf numFmtId="178" fontId="13" fillId="0" borderId="4" xfId="0" applyNumberFormat="1" applyFont="1" applyBorder="1"/>
    <xf numFmtId="178" fontId="12" fillId="0" borderId="4" xfId="0" applyNumberFormat="1" applyFont="1" applyBorder="1"/>
    <xf numFmtId="178" fontId="13" fillId="0" borderId="5" xfId="0" applyNumberFormat="1" applyFont="1" applyBorder="1"/>
    <xf numFmtId="178" fontId="12" fillId="0" borderId="24" xfId="0" applyNumberFormat="1" applyFont="1" applyBorder="1"/>
    <xf numFmtId="178" fontId="12" fillId="0" borderId="10" xfId="0" applyNumberFormat="1" applyFont="1" applyBorder="1"/>
    <xf numFmtId="178" fontId="12" fillId="0" borderId="11" xfId="0" applyNumberFormat="1" applyFont="1" applyBorder="1"/>
    <xf numFmtId="178" fontId="13" fillId="0" borderId="11" xfId="0" applyNumberFormat="1" applyFont="1" applyBorder="1"/>
    <xf numFmtId="178" fontId="14" fillId="0" borderId="11" xfId="0" applyNumberFormat="1" applyFont="1" applyBorder="1"/>
    <xf numFmtId="178" fontId="12" fillId="0" borderId="12" xfId="0" applyNumberFormat="1" applyFont="1" applyBorder="1"/>
    <xf numFmtId="178" fontId="15" fillId="0" borderId="11" xfId="0" applyNumberFormat="1" applyFont="1" applyBorder="1"/>
    <xf numFmtId="178" fontId="12" fillId="0" borderId="7" xfId="0" applyNumberFormat="1" applyFont="1" applyBorder="1"/>
    <xf numFmtId="178" fontId="12" fillId="0" borderId="8" xfId="0" applyNumberFormat="1" applyFont="1" applyBorder="1"/>
    <xf numFmtId="178" fontId="12" fillId="0" borderId="9" xfId="0" applyNumberFormat="1" applyFont="1" applyBorder="1"/>
    <xf numFmtId="178" fontId="12" fillId="0" borderId="13" xfId="0" applyNumberFormat="1" applyFont="1" applyBorder="1"/>
    <xf numFmtId="178" fontId="15" fillId="0" borderId="26" xfId="0" applyNumberFormat="1" applyFont="1" applyBorder="1"/>
    <xf numFmtId="17" fontId="0" fillId="0" borderId="0" xfId="0" applyNumberFormat="1"/>
    <xf numFmtId="180" fontId="0" fillId="0" borderId="0" xfId="0" applyNumberFormat="1"/>
    <xf numFmtId="178" fontId="0" fillId="0" borderId="0" xfId="0" applyNumberFormat="1" applyAlignment="1">
      <alignment horizontal="center" vertical="center"/>
    </xf>
    <xf numFmtId="178" fontId="0" fillId="0" borderId="27" xfId="0" applyNumberFormat="1" applyBorder="1" applyAlignment="1">
      <alignment horizontal="center" vertical="center"/>
    </xf>
    <xf numFmtId="179" fontId="0" fillId="0" borderId="27" xfId="0" applyNumberFormat="1" applyBorder="1" applyAlignment="1">
      <alignment horizontal="center" vertical="center"/>
    </xf>
    <xf numFmtId="180" fontId="0" fillId="0" borderId="27" xfId="0" applyNumberFormat="1" applyBorder="1" applyAlignment="1">
      <alignment horizontal="center" vertical="center"/>
    </xf>
    <xf numFmtId="178" fontId="0" fillId="0" borderId="27" xfId="0" applyNumberFormat="1" applyBorder="1" applyAlignment="1">
      <alignment vertical="center"/>
    </xf>
    <xf numFmtId="178" fontId="5" fillId="0" borderId="27" xfId="0" applyNumberFormat="1" applyFont="1" applyBorder="1"/>
    <xf numFmtId="0" fontId="5" fillId="0" borderId="27" xfId="0" applyNumberFormat="1" applyFont="1" applyBorder="1" applyAlignment="1">
      <alignment horizontal="center"/>
    </xf>
    <xf numFmtId="178" fontId="2" fillId="3" borderId="30" xfId="0" applyNumberFormat="1" applyFont="1" applyFill="1" applyBorder="1" applyAlignment="1">
      <alignment horizontal="center" vertical="center"/>
    </xf>
    <xf numFmtId="178" fontId="5" fillId="3" borderId="30" xfId="0" applyNumberFormat="1" applyFont="1" applyFill="1" applyBorder="1" applyAlignment="1">
      <alignment horizontal="center"/>
    </xf>
    <xf numFmtId="178" fontId="5" fillId="3" borderId="1" xfId="0" applyNumberFormat="1" applyFont="1" applyFill="1" applyBorder="1" applyAlignment="1">
      <alignment horizontal="center"/>
    </xf>
    <xf numFmtId="178" fontId="5" fillId="3" borderId="0" xfId="0" applyNumberFormat="1" applyFont="1" applyFill="1" applyAlignment="1">
      <alignment horizontal="center"/>
    </xf>
    <xf numFmtId="178" fontId="5" fillId="3" borderId="27" xfId="0" applyNumberFormat="1" applyFont="1" applyFill="1" applyBorder="1" applyAlignment="1">
      <alignment horizontal="center"/>
    </xf>
    <xf numFmtId="178" fontId="5" fillId="3" borderId="36" xfId="0" applyNumberFormat="1" applyFont="1" applyFill="1" applyBorder="1" applyAlignment="1">
      <alignment horizontal="center"/>
    </xf>
    <xf numFmtId="178" fontId="5" fillId="3" borderId="29" xfId="0" applyNumberFormat="1" applyFont="1" applyFill="1" applyBorder="1" applyAlignment="1">
      <alignment horizontal="center"/>
    </xf>
    <xf numFmtId="178" fontId="5" fillId="3" borderId="38" xfId="0" applyNumberFormat="1" applyFont="1" applyFill="1" applyBorder="1" applyAlignment="1">
      <alignment horizontal="center"/>
    </xf>
    <xf numFmtId="178" fontId="1" fillId="3" borderId="44" xfId="0" applyNumberFormat="1" applyFont="1" applyFill="1" applyBorder="1" applyAlignment="1">
      <alignment horizontal="center"/>
    </xf>
    <xf numFmtId="178" fontId="5" fillId="3" borderId="44" xfId="0" applyNumberFormat="1" applyFont="1" applyFill="1" applyBorder="1" applyAlignment="1">
      <alignment horizontal="center"/>
    </xf>
    <xf numFmtId="178" fontId="5" fillId="3" borderId="35" xfId="0" applyNumberFormat="1" applyFont="1" applyFill="1" applyBorder="1" applyAlignment="1">
      <alignment horizontal="center"/>
    </xf>
    <xf numFmtId="0" fontId="5" fillId="3" borderId="27" xfId="0" applyNumberFormat="1" applyFont="1" applyFill="1" applyBorder="1" applyAlignment="1">
      <alignment horizontal="center"/>
    </xf>
    <xf numFmtId="178" fontId="5" fillId="3" borderId="19" xfId="0" applyNumberFormat="1" applyFont="1" applyFill="1" applyBorder="1" applyAlignment="1">
      <alignment horizontal="center"/>
    </xf>
    <xf numFmtId="178" fontId="5" fillId="3" borderId="32" xfId="0" applyNumberFormat="1" applyFont="1" applyFill="1" applyBorder="1" applyAlignment="1">
      <alignment horizontal="center"/>
    </xf>
    <xf numFmtId="178" fontId="5" fillId="3" borderId="37" xfId="0" applyNumberFormat="1" applyFont="1" applyFill="1" applyBorder="1" applyAlignment="1">
      <alignment horizontal="center"/>
    </xf>
    <xf numFmtId="178" fontId="5" fillId="3" borderId="23" xfId="0" applyNumberFormat="1" applyFont="1" applyFill="1" applyBorder="1" applyAlignment="1">
      <alignment horizontal="center"/>
    </xf>
    <xf numFmtId="178" fontId="5" fillId="3" borderId="39" xfId="0" applyNumberFormat="1" applyFont="1" applyFill="1" applyBorder="1" applyAlignment="1">
      <alignment horizontal="center"/>
    </xf>
    <xf numFmtId="178" fontId="5" fillId="3" borderId="27" xfId="0" applyNumberFormat="1" applyFont="1" applyFill="1" applyBorder="1" applyAlignment="1">
      <alignment horizontal="center" wrapText="1"/>
    </xf>
    <xf numFmtId="178" fontId="5" fillId="3" borderId="23" xfId="0" applyNumberFormat="1" applyFont="1" applyFill="1" applyBorder="1"/>
    <xf numFmtId="178" fontId="5" fillId="3" borderId="34" xfId="0" applyNumberFormat="1" applyFont="1" applyFill="1" applyBorder="1"/>
    <xf numFmtId="178" fontId="5" fillId="3" borderId="35" xfId="0" applyNumberFormat="1" applyFont="1" applyFill="1" applyBorder="1"/>
    <xf numFmtId="178" fontId="5" fillId="3" borderId="38" xfId="0" applyNumberFormat="1" applyFont="1" applyFill="1" applyBorder="1"/>
    <xf numFmtId="178" fontId="5" fillId="3" borderId="33" xfId="0" applyNumberFormat="1" applyFont="1" applyFill="1" applyBorder="1" applyAlignment="1">
      <alignment horizontal="center"/>
    </xf>
    <xf numFmtId="178" fontId="17" fillId="3" borderId="45" xfId="0" applyNumberFormat="1" applyFont="1" applyFill="1" applyBorder="1" applyAlignment="1">
      <alignment horizontal="center"/>
    </xf>
    <xf numFmtId="178" fontId="5" fillId="3" borderId="45" xfId="0" applyNumberFormat="1" applyFont="1" applyFill="1" applyBorder="1" applyAlignment="1">
      <alignment horizontal="center"/>
    </xf>
    <xf numFmtId="178" fontId="17" fillId="3" borderId="46" xfId="0" applyNumberFormat="1" applyFont="1" applyFill="1" applyBorder="1" applyAlignment="1">
      <alignment horizontal="center"/>
    </xf>
    <xf numFmtId="178" fontId="5" fillId="3" borderId="46" xfId="0" applyNumberFormat="1" applyFont="1" applyFill="1" applyBorder="1" applyAlignment="1">
      <alignment horizontal="center"/>
    </xf>
    <xf numFmtId="0" fontId="19" fillId="0" borderId="0" xfId="0" applyFont="1"/>
    <xf numFmtId="178" fontId="5" fillId="3" borderId="47" xfId="0" applyNumberFormat="1" applyFont="1" applyFill="1" applyBorder="1" applyAlignment="1">
      <alignment horizontal="center"/>
    </xf>
    <xf numFmtId="178" fontId="5" fillId="3" borderId="48" xfId="0" applyNumberFormat="1" applyFont="1" applyFill="1" applyBorder="1" applyAlignment="1">
      <alignment horizontal="center"/>
    </xf>
    <xf numFmtId="178" fontId="5" fillId="3" borderId="40" xfId="0" applyNumberFormat="1" applyFont="1" applyFill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49" fontId="5" fillId="0" borderId="27" xfId="0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2" fontId="5" fillId="0" borderId="27" xfId="0" applyNumberFormat="1" applyFont="1" applyBorder="1" applyAlignment="1">
      <alignment horizontal="center"/>
    </xf>
    <xf numFmtId="177" fontId="5" fillId="0" borderId="27" xfId="0" applyNumberFormat="1" applyFont="1" applyBorder="1" applyAlignment="1">
      <alignment horizontal="center"/>
    </xf>
    <xf numFmtId="49" fontId="5" fillId="0" borderId="27" xfId="0" applyNumberFormat="1" applyFont="1" applyBorder="1" applyAlignment="1">
      <alignment horizontal="left"/>
    </xf>
    <xf numFmtId="178" fontId="5" fillId="0" borderId="49" xfId="0" applyNumberFormat="1" applyFont="1" applyBorder="1" applyAlignment="1">
      <alignment horizontal="center"/>
    </xf>
    <xf numFmtId="0" fontId="5" fillId="0" borderId="27" xfId="0" applyNumberFormat="1" applyFont="1" applyFill="1" applyBorder="1" applyAlignment="1">
      <alignment horizontal="center"/>
    </xf>
    <xf numFmtId="180" fontId="0" fillId="2" borderId="1" xfId="0" applyNumberFormat="1" applyFill="1" applyBorder="1"/>
    <xf numFmtId="180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 vertical="center"/>
    </xf>
    <xf numFmtId="180" fontId="5" fillId="0" borderId="27" xfId="0" applyNumberFormat="1" applyFont="1" applyBorder="1" applyAlignment="1">
      <alignment horizontal="center" vertical="center"/>
    </xf>
    <xf numFmtId="180" fontId="0" fillId="0" borderId="1" xfId="0" applyNumberFormat="1" applyBorder="1"/>
    <xf numFmtId="180" fontId="0" fillId="0" borderId="0" xfId="0" applyNumberFormat="1" applyAlignment="1">
      <alignment horizontal="center"/>
    </xf>
    <xf numFmtId="180" fontId="5" fillId="0" borderId="0" xfId="0" applyNumberFormat="1" applyFont="1"/>
    <xf numFmtId="180" fontId="0" fillId="0" borderId="27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80" fontId="5" fillId="0" borderId="27" xfId="0" applyNumberFormat="1" applyFont="1" applyBorder="1" applyAlignment="1">
      <alignment horizontal="center"/>
    </xf>
    <xf numFmtId="178" fontId="16" fillId="0" borderId="1" xfId="1" applyNumberFormat="1" applyBorder="1"/>
    <xf numFmtId="0" fontId="14" fillId="0" borderId="0" xfId="0" applyFont="1"/>
    <xf numFmtId="180" fontId="0" fillId="0" borderId="0" xfId="0" applyNumberFormat="1" applyAlignment="1">
      <alignment wrapText="1"/>
    </xf>
    <xf numFmtId="180" fontId="7" fillId="0" borderId="0" xfId="0" applyNumberFormat="1" applyFont="1" applyAlignment="1">
      <alignment horizontal="center" vertical="center" wrapText="1"/>
    </xf>
    <xf numFmtId="180" fontId="9" fillId="0" borderId="0" xfId="0" applyNumberFormat="1" applyFont="1" applyAlignment="1">
      <alignment horizontal="center" vertical="center" wrapText="1"/>
    </xf>
    <xf numFmtId="180" fontId="8" fillId="0" borderId="0" xfId="0" applyNumberFormat="1" applyFont="1" applyAlignment="1">
      <alignment horizontal="center" vertical="center" wrapText="1"/>
    </xf>
    <xf numFmtId="180" fontId="15" fillId="0" borderId="0" xfId="0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180" fontId="5" fillId="0" borderId="0" xfId="0" applyNumberFormat="1" applyFont="1" applyAlignment="1">
      <alignment wrapText="1"/>
    </xf>
    <xf numFmtId="178" fontId="5" fillId="3" borderId="27" xfId="0" applyNumberFormat="1" applyFont="1" applyFill="1" applyBorder="1" applyAlignment="1">
      <alignment horizontal="center"/>
    </xf>
    <xf numFmtId="178" fontId="1" fillId="3" borderId="44" xfId="0" applyNumberFormat="1" applyFont="1" applyFill="1" applyBorder="1" applyAlignment="1">
      <alignment horizontal="center"/>
    </xf>
    <xf numFmtId="178" fontId="5" fillId="3" borderId="41" xfId="0" applyNumberFormat="1" applyFont="1" applyFill="1" applyBorder="1" applyAlignment="1">
      <alignment horizontal="center"/>
    </xf>
    <xf numFmtId="178" fontId="5" fillId="3" borderId="42" xfId="0" applyNumberFormat="1" applyFont="1" applyFill="1" applyBorder="1" applyAlignment="1">
      <alignment horizontal="center"/>
    </xf>
    <xf numFmtId="178" fontId="5" fillId="3" borderId="43" xfId="0" applyNumberFormat="1" applyFont="1" applyFill="1" applyBorder="1" applyAlignment="1">
      <alignment horizontal="center"/>
    </xf>
    <xf numFmtId="178" fontId="5" fillId="3" borderId="23" xfId="0" applyNumberFormat="1" applyFont="1" applyFill="1" applyBorder="1" applyAlignment="1">
      <alignment horizontal="center"/>
    </xf>
    <xf numFmtId="178" fontId="5" fillId="3" borderId="25" xfId="0" applyNumberFormat="1" applyFont="1" applyFill="1" applyBorder="1" applyAlignment="1">
      <alignment horizontal="center"/>
    </xf>
    <xf numFmtId="178" fontId="5" fillId="3" borderId="24" xfId="0" applyNumberFormat="1" applyFont="1" applyFill="1" applyBorder="1" applyAlignment="1">
      <alignment horizontal="center"/>
    </xf>
    <xf numFmtId="178" fontId="12" fillId="0" borderId="51" xfId="0" applyNumberFormat="1" applyFont="1" applyBorder="1" applyAlignment="1">
      <alignment horizontal="center" vertical="center"/>
    </xf>
    <xf numFmtId="178" fontId="12" fillId="0" borderId="52" xfId="0" applyNumberFormat="1" applyFont="1" applyBorder="1" applyAlignment="1">
      <alignment horizontal="center" vertical="center"/>
    </xf>
    <xf numFmtId="178" fontId="12" fillId="0" borderId="31" xfId="0" applyNumberFormat="1" applyFont="1" applyBorder="1" applyAlignment="1">
      <alignment horizontal="center" vertical="center"/>
    </xf>
    <xf numFmtId="180" fontId="0" fillId="0" borderId="44" xfId="0" applyNumberFormat="1" applyBorder="1" applyAlignment="1">
      <alignment horizontal="center" vertical="center"/>
    </xf>
    <xf numFmtId="180" fontId="0" fillId="0" borderId="28" xfId="0" applyNumberFormat="1" applyBorder="1" applyAlignment="1">
      <alignment horizontal="center" vertical="center"/>
    </xf>
    <xf numFmtId="180" fontId="0" fillId="0" borderId="50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Loss (W)</a:t>
            </a:r>
            <a:r>
              <a:rPr lang="zh-CN"/>
              <a:t> </a:t>
            </a:r>
            <a:r>
              <a:rPr lang="en-US"/>
              <a:t>Oringinal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'Ht Loss_house1'!$AB$15:$AB$17</c:f>
              <c:strCache>
                <c:ptCount val="3"/>
                <c:pt idx="0">
                  <c:v>Heat Loss</c:v>
                </c:pt>
                <c:pt idx="2">
                  <c:v>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'Ht Loss_house1'!$A$18:$A$36</c:f>
              <c:strCache>
                <c:ptCount val="19"/>
                <c:pt idx="0">
                  <c:v>Classroom (70 seats)_</c:v>
                </c:pt>
                <c:pt idx="1">
                  <c:v>Classroom (70 seats)_</c:v>
                </c:pt>
                <c:pt idx="2">
                  <c:v>Classroom (70 seats)_</c:v>
                </c:pt>
                <c:pt idx="3">
                  <c:v>PC Lab (20 pcs)</c:v>
                </c:pt>
                <c:pt idx="4">
                  <c:v>PC Lab (20 pcs)</c:v>
                </c:pt>
                <c:pt idx="5">
                  <c:v>Stair 1</c:v>
                </c:pt>
                <c:pt idx="6">
                  <c:v>Stair 2</c:v>
                </c:pt>
                <c:pt idx="7">
                  <c:v>Threater (150 seats)</c:v>
                </c:pt>
                <c:pt idx="8">
                  <c:v>Tutorial Classroom (62 seats)</c:v>
                </c:pt>
                <c:pt idx="9">
                  <c:v>Tutorial Classroom (62 seats)</c:v>
                </c:pt>
                <c:pt idx="10">
                  <c:v>Tutorial Classroom (62 seats)</c:v>
                </c:pt>
                <c:pt idx="11">
                  <c:v>Tutorial Classroom (62 seats)</c:v>
                </c:pt>
                <c:pt idx="12">
                  <c:v>Tutorial Classroom (62 seats)</c:v>
                </c:pt>
                <c:pt idx="13">
                  <c:v>Tutorial Classroom (62 seats)</c:v>
                </c:pt>
                <c:pt idx="14">
                  <c:v>Café (24 seats)</c:v>
                </c:pt>
                <c:pt idx="15">
                  <c:v>Toilet</c:v>
                </c:pt>
                <c:pt idx="16">
                  <c:v>Corridor1</c:v>
                </c:pt>
                <c:pt idx="17">
                  <c:v>Corridor2</c:v>
                </c:pt>
                <c:pt idx="18">
                  <c:v>Corridor3</c:v>
                </c:pt>
              </c:strCache>
            </c:strRef>
          </c:cat>
          <c:val>
            <c:numRef>
              <c:f>'Ht Loss_house1'!$AB$18:$AB$36</c:f>
              <c:numCache>
                <c:formatCode>0.00_);[Red]\(0.00\)</c:formatCode>
                <c:ptCount val="19"/>
                <c:pt idx="0">
                  <c:v>3671.7977798247721</c:v>
                </c:pt>
                <c:pt idx="1">
                  <c:v>3575.3715162680569</c:v>
                </c:pt>
                <c:pt idx="2">
                  <c:v>3575.3715162680569</c:v>
                </c:pt>
                <c:pt idx="3">
                  <c:v>3484.291516268057</c:v>
                </c:pt>
                <c:pt idx="4">
                  <c:v>3580.7177798247726</c:v>
                </c:pt>
                <c:pt idx="5">
                  <c:v>2511.4270878522379</c:v>
                </c:pt>
                <c:pt idx="6">
                  <c:v>1068.3876534691003</c:v>
                </c:pt>
                <c:pt idx="7">
                  <c:v>6619.4862277003813</c:v>
                </c:pt>
                <c:pt idx="8">
                  <c:v>3862.6397904662822</c:v>
                </c:pt>
                <c:pt idx="9">
                  <c:v>3862.6397904662822</c:v>
                </c:pt>
                <c:pt idx="10">
                  <c:v>3862.6397904662822</c:v>
                </c:pt>
                <c:pt idx="11">
                  <c:v>3862.6397904662822</c:v>
                </c:pt>
                <c:pt idx="12">
                  <c:v>3862.6397904662822</c:v>
                </c:pt>
                <c:pt idx="13">
                  <c:v>3862.6397904662822</c:v>
                </c:pt>
                <c:pt idx="14">
                  <c:v>19591.457516916889</c:v>
                </c:pt>
                <c:pt idx="15">
                  <c:v>4412.2678790670143</c:v>
                </c:pt>
                <c:pt idx="16">
                  <c:v>3757.5315162680572</c:v>
                </c:pt>
                <c:pt idx="17">
                  <c:v>1889.91</c:v>
                </c:pt>
                <c:pt idx="18">
                  <c:v>1463.1967784094466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D-D341-AC4E-A4FC6254A9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31084399"/>
        <c:axId val="2131086111"/>
      </c:barChart>
      <c:catAx>
        <c:axId val="213108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086111"/>
        <c:crosses val="autoZero"/>
        <c:auto val="1"/>
        <c:lblAlgn val="ctr"/>
        <c:lblOffset val="100"/>
        <c:noMultiLvlLbl val="0"/>
      </c:catAx>
      <c:valAx>
        <c:axId val="2131086111"/>
        <c:scaling>
          <c:orientation val="minMax"/>
        </c:scaling>
        <c:delete val="1"/>
        <c:axPos val="l"/>
        <c:numFmt formatCode="0.00_);[Red]\(0.00\)" sourceLinked="1"/>
        <c:majorTickMark val="none"/>
        <c:minorTickMark val="none"/>
        <c:tickLblPos val="nextTo"/>
        <c:crossAx val="213108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Loss (W)</a:t>
            </a:r>
            <a:r>
              <a:rPr lang="zh-CN" altLang="en-US"/>
              <a:t> </a:t>
            </a:r>
            <a:r>
              <a:rPr lang="en-US" altLang="zh-CN"/>
              <a:t>Improved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'Ht Loss_house2 '!$AB$15:$AB$17</c:f>
              <c:strCache>
                <c:ptCount val="3"/>
                <c:pt idx="0">
                  <c:v>Heat Loss</c:v>
                </c:pt>
                <c:pt idx="2">
                  <c:v>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'Ht Loss_house2 '!$A$18:$A$36</c:f>
              <c:strCache>
                <c:ptCount val="19"/>
                <c:pt idx="0">
                  <c:v>Classroom (70 seats)_</c:v>
                </c:pt>
                <c:pt idx="1">
                  <c:v>Classroom (70 seats)_</c:v>
                </c:pt>
                <c:pt idx="2">
                  <c:v>Classroom (70 seats)_</c:v>
                </c:pt>
                <c:pt idx="3">
                  <c:v>PC Lab (20 pcs)</c:v>
                </c:pt>
                <c:pt idx="4">
                  <c:v>PC Lab (20 pcs)</c:v>
                </c:pt>
                <c:pt idx="5">
                  <c:v>Stair 1</c:v>
                </c:pt>
                <c:pt idx="6">
                  <c:v>Stair 2</c:v>
                </c:pt>
                <c:pt idx="7">
                  <c:v>Threater (150 seats)</c:v>
                </c:pt>
                <c:pt idx="8">
                  <c:v>Tutorial Classroom (62 seats)</c:v>
                </c:pt>
                <c:pt idx="9">
                  <c:v>Tutorial Classroom (62 seats)</c:v>
                </c:pt>
                <c:pt idx="10">
                  <c:v>Tutorial Classroom (62 seats)</c:v>
                </c:pt>
                <c:pt idx="11">
                  <c:v>Tutorial Classroom (62 seats)</c:v>
                </c:pt>
                <c:pt idx="12">
                  <c:v>Tutorial Classroom (62 seats)</c:v>
                </c:pt>
                <c:pt idx="13">
                  <c:v>Tutorial Classroom (62 seats)</c:v>
                </c:pt>
                <c:pt idx="14">
                  <c:v>Café (24 seats)</c:v>
                </c:pt>
                <c:pt idx="15">
                  <c:v>Toilet</c:v>
                </c:pt>
                <c:pt idx="16">
                  <c:v>Corridor1</c:v>
                </c:pt>
                <c:pt idx="17">
                  <c:v>Corridor2</c:v>
                </c:pt>
                <c:pt idx="18">
                  <c:v>Corridor3</c:v>
                </c:pt>
              </c:strCache>
            </c:strRef>
          </c:cat>
          <c:val>
            <c:numRef>
              <c:f>'Ht Loss_house2 '!$AB$18:$AB$36</c:f>
              <c:numCache>
                <c:formatCode>0.00_);[Red]\(0.00\)</c:formatCode>
                <c:ptCount val="19"/>
                <c:pt idx="0">
                  <c:v>1045.3499999999999</c:v>
                </c:pt>
                <c:pt idx="1">
                  <c:v>983.25</c:v>
                </c:pt>
                <c:pt idx="2">
                  <c:v>983.25</c:v>
                </c:pt>
                <c:pt idx="3">
                  <c:v>917.0100000000001</c:v>
                </c:pt>
                <c:pt idx="4">
                  <c:v>979.11</c:v>
                </c:pt>
                <c:pt idx="5">
                  <c:v>1165.1799999999998</c:v>
                </c:pt>
                <c:pt idx="6">
                  <c:v>386.40000000000003</c:v>
                </c:pt>
                <c:pt idx="7">
                  <c:v>1746.4467381395641</c:v>
                </c:pt>
                <c:pt idx="8">
                  <c:v>1368.6765075233291</c:v>
                </c:pt>
                <c:pt idx="9">
                  <c:v>1368.6765075233291</c:v>
                </c:pt>
                <c:pt idx="10">
                  <c:v>1368.6765075233291</c:v>
                </c:pt>
                <c:pt idx="11">
                  <c:v>1368.6765075233291</c:v>
                </c:pt>
                <c:pt idx="12">
                  <c:v>1368.6765075233291</c:v>
                </c:pt>
                <c:pt idx="13">
                  <c:v>1368.6765075233291</c:v>
                </c:pt>
                <c:pt idx="14">
                  <c:v>6772.3902500000004</c:v>
                </c:pt>
                <c:pt idx="15">
                  <c:v>1645.6500000000003</c:v>
                </c:pt>
                <c:pt idx="16">
                  <c:v>1115.73</c:v>
                </c:pt>
                <c:pt idx="17">
                  <c:v>701.73</c:v>
                </c:pt>
                <c:pt idx="18">
                  <c:v>487.73225946981546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9-9443-86AC-F78F5CC2F6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87372367"/>
        <c:axId val="1487754943"/>
      </c:barChart>
      <c:catAx>
        <c:axId val="148737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754943"/>
        <c:crosses val="autoZero"/>
        <c:auto val="1"/>
        <c:lblAlgn val="ctr"/>
        <c:lblOffset val="100"/>
        <c:noMultiLvlLbl val="0"/>
      </c:catAx>
      <c:valAx>
        <c:axId val="1487754943"/>
        <c:scaling>
          <c:orientation val="minMax"/>
        </c:scaling>
        <c:delete val="1"/>
        <c:axPos val="l"/>
        <c:numFmt formatCode="0.00_);[Red]\(0.00\)" sourceLinked="1"/>
        <c:majorTickMark val="none"/>
        <c:minorTickMark val="none"/>
        <c:tickLblPos val="nextTo"/>
        <c:crossAx val="148737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185350</xdr:colOff>
      <xdr:row>41</xdr:row>
      <xdr:rowOff>144389</xdr:rowOff>
    </xdr:from>
    <xdr:to>
      <xdr:col>30</xdr:col>
      <xdr:colOff>240269</xdr:colOff>
      <xdr:row>63</xdr:row>
      <xdr:rowOff>45764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69CC62-49FB-438F-B33E-30F2884A9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282605</xdr:colOff>
      <xdr:row>38</xdr:row>
      <xdr:rowOff>155832</xdr:rowOff>
    </xdr:from>
    <xdr:to>
      <xdr:col>30</xdr:col>
      <xdr:colOff>160180</xdr:colOff>
      <xdr:row>59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F281217-CB31-AEE4-BACE-306C0EBAA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neyang/Downloads/Solar/Jinyan_Room_vent_sys_calcs.xlsx" TargetMode="External"/><Relationship Id="rId1" Type="http://schemas.openxmlformats.org/officeDocument/2006/relationships/externalLinkPath" Target="Solar/Jinyan_Room_vent_sys_cal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atloss1"/>
      <sheetName val="Heatloss2"/>
      <sheetName val="Room_01"/>
      <sheetName val="Tmax_final2"/>
      <sheetName val="Tmax_final1"/>
      <sheetName val="Sheet7"/>
      <sheetName val="Flows (2)"/>
      <sheetName val="Tmax"/>
      <sheetName val="Flows"/>
    </sheetNames>
    <sheetDataSet>
      <sheetData sheetId="0">
        <row r="26">
          <cell r="D26">
            <v>7</v>
          </cell>
          <cell r="E26">
            <v>2.5</v>
          </cell>
        </row>
        <row r="32">
          <cell r="D32">
            <v>29</v>
          </cell>
          <cell r="E32">
            <v>2.5</v>
          </cell>
        </row>
        <row r="33">
          <cell r="D33">
            <v>9</v>
          </cell>
          <cell r="E33">
            <v>2.5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showGridLines="0" workbookViewId="0">
      <selection activeCell="B2" sqref="B2"/>
    </sheetView>
  </sheetViews>
  <sheetFormatPr baseColWidth="10" defaultColWidth="8.83203125" defaultRowHeight="12.75" customHeight="1" x14ac:dyDescent="0.15"/>
  <cols>
    <col min="1" max="1" width="8.83203125" style="1" customWidth="1"/>
    <col min="2" max="2" width="17.5" style="1" customWidth="1"/>
    <col min="3" max="3" width="8.83203125" style="1" customWidth="1"/>
    <col min="4" max="5" width="12.1640625" style="1" customWidth="1"/>
    <col min="6" max="7" width="8.83203125" style="1" customWidth="1"/>
    <col min="8" max="8" width="14.5" style="1" customWidth="1"/>
    <col min="9" max="10" width="8.83203125" style="1" customWidth="1"/>
    <col min="11" max="11" width="12.5" style="1" customWidth="1"/>
    <col min="12" max="12" width="8.83203125" style="1" customWidth="1"/>
    <col min="13" max="16384" width="8.83203125" style="1"/>
  </cols>
  <sheetData>
    <row r="1" spans="1:11" ht="13.75" customHeight="1" x14ac:dyDescent="0.15">
      <c r="A1" s="2" t="s">
        <v>0</v>
      </c>
      <c r="B1" s="3"/>
      <c r="C1" s="3"/>
      <c r="D1" s="3"/>
      <c r="E1" s="4"/>
      <c r="F1" s="3"/>
      <c r="G1" s="3"/>
      <c r="H1" s="3"/>
      <c r="I1" s="3"/>
      <c r="J1" s="3"/>
      <c r="K1" s="3"/>
    </row>
    <row r="2" spans="1:11" ht="13.75" customHeight="1" x14ac:dyDescent="0.15">
      <c r="A2" s="5" t="s">
        <v>1</v>
      </c>
      <c r="B2" s="156">
        <f>Room_01!G26</f>
        <v>1565.0823610693203</v>
      </c>
      <c r="C2" s="5" t="s">
        <v>2</v>
      </c>
      <c r="D2" s="5" t="s">
        <v>3</v>
      </c>
      <c r="E2" s="4"/>
      <c r="F2" s="3"/>
      <c r="G2" s="3"/>
      <c r="H2" s="3"/>
      <c r="I2" s="3"/>
      <c r="J2" s="3"/>
      <c r="K2" s="3"/>
    </row>
    <row r="3" spans="1:11" ht="13.75" customHeight="1" x14ac:dyDescent="0.15">
      <c r="A3" s="3"/>
      <c r="B3" s="3"/>
      <c r="C3" s="3"/>
      <c r="D3" s="3"/>
      <c r="E3" s="4"/>
      <c r="F3" s="3"/>
      <c r="G3" s="3"/>
      <c r="H3" s="3"/>
      <c r="I3" s="3"/>
      <c r="J3" s="3"/>
      <c r="K3" s="3"/>
    </row>
    <row r="4" spans="1:11" ht="13.5" customHeight="1" x14ac:dyDescent="0.15">
      <c r="A4" s="6"/>
      <c r="B4" s="6"/>
      <c r="C4" s="6"/>
      <c r="D4" s="6"/>
      <c r="E4" s="4"/>
      <c r="F4" s="3"/>
      <c r="G4" s="3"/>
      <c r="H4" s="3"/>
      <c r="I4" s="3"/>
      <c r="J4" s="3"/>
      <c r="K4" s="3"/>
    </row>
    <row r="5" spans="1:11" ht="14.25" customHeight="1" x14ac:dyDescent="0.15">
      <c r="A5" s="7" t="s">
        <v>4</v>
      </c>
      <c r="B5" s="8"/>
      <c r="C5" s="8"/>
      <c r="D5" s="9"/>
      <c r="E5" s="10"/>
      <c r="F5" s="3"/>
      <c r="G5" s="3"/>
      <c r="H5" s="3"/>
      <c r="I5" s="3"/>
      <c r="J5" s="3"/>
      <c r="K5" s="3"/>
    </row>
    <row r="6" spans="1:11" ht="13.5" customHeight="1" x14ac:dyDescent="0.15">
      <c r="A6" s="11"/>
      <c r="B6" s="12"/>
      <c r="C6" s="13" t="s">
        <v>5</v>
      </c>
      <c r="D6" s="14" t="s">
        <v>6</v>
      </c>
      <c r="E6" s="10"/>
      <c r="F6" s="3"/>
      <c r="G6" s="3"/>
      <c r="H6" s="3"/>
      <c r="I6" s="3"/>
      <c r="J6" s="3"/>
      <c r="K6" s="3"/>
    </row>
    <row r="7" spans="1:11" ht="14.25" customHeight="1" x14ac:dyDescent="0.15">
      <c r="A7" s="15"/>
      <c r="B7" s="16" t="s">
        <v>7</v>
      </c>
      <c r="C7" s="17">
        <f>E24</f>
        <v>0.27949641610641884</v>
      </c>
      <c r="D7" s="18" t="s">
        <v>8</v>
      </c>
      <c r="E7" s="19" t="s">
        <v>9</v>
      </c>
      <c r="F7" s="3"/>
      <c r="G7" s="3"/>
      <c r="H7" s="3"/>
      <c r="I7" s="3"/>
      <c r="J7" s="3"/>
      <c r="K7" s="3"/>
    </row>
    <row r="8" spans="1:11" ht="13.75" customHeight="1" x14ac:dyDescent="0.15">
      <c r="A8" s="20"/>
      <c r="B8" s="21" t="s">
        <v>10</v>
      </c>
      <c r="C8" s="22">
        <v>2.2000000000000002</v>
      </c>
      <c r="D8" s="23" t="s">
        <v>11</v>
      </c>
      <c r="E8" s="10"/>
      <c r="F8" s="3"/>
      <c r="G8" s="3"/>
      <c r="H8" s="3"/>
      <c r="I8" s="3"/>
      <c r="J8" s="3"/>
      <c r="K8" s="3"/>
    </row>
    <row r="9" spans="1:11" ht="13.75" customHeight="1" x14ac:dyDescent="0.15">
      <c r="A9" s="20"/>
      <c r="B9" s="21" t="s">
        <v>12</v>
      </c>
      <c r="C9" s="22">
        <f>E51</f>
        <v>0.23789321046846129</v>
      </c>
      <c r="D9" s="24"/>
      <c r="E9" s="10"/>
      <c r="F9" s="3"/>
      <c r="G9" s="3"/>
      <c r="H9" s="3"/>
      <c r="I9" s="3"/>
      <c r="J9" s="3"/>
      <c r="K9" s="3"/>
    </row>
    <row r="10" spans="1:11" ht="13.75" customHeight="1" x14ac:dyDescent="0.15">
      <c r="A10" s="20"/>
      <c r="B10" s="21" t="s">
        <v>13</v>
      </c>
      <c r="C10" s="22">
        <f>E37</f>
        <v>0.33370080147781783</v>
      </c>
      <c r="D10" s="24"/>
      <c r="E10" s="10"/>
      <c r="F10" s="3"/>
      <c r="G10" s="3"/>
      <c r="H10" s="3"/>
      <c r="I10" s="3"/>
      <c r="J10" s="3"/>
      <c r="K10" s="3"/>
    </row>
    <row r="11" spans="1:11" ht="13.5" customHeight="1" x14ac:dyDescent="0.15">
      <c r="A11" s="11"/>
      <c r="B11" s="13" t="s">
        <v>14</v>
      </c>
      <c r="C11" s="25">
        <v>2.2000000000000002</v>
      </c>
      <c r="D11" s="14" t="s">
        <v>15</v>
      </c>
      <c r="E11" s="10"/>
      <c r="F11" s="3"/>
      <c r="G11" s="3"/>
      <c r="H11" s="3"/>
      <c r="I11" s="3"/>
      <c r="J11" s="3"/>
      <c r="K11" s="3"/>
    </row>
    <row r="12" spans="1:11" ht="14.25" customHeight="1" x14ac:dyDescent="0.15">
      <c r="A12" s="26"/>
      <c r="B12" s="26"/>
      <c r="C12" s="26"/>
      <c r="D12" s="26"/>
      <c r="E12" s="4"/>
      <c r="F12" s="3"/>
      <c r="G12" s="3"/>
      <c r="H12" s="3"/>
      <c r="I12" s="3"/>
      <c r="J12" s="3"/>
      <c r="K12" s="3"/>
    </row>
    <row r="13" spans="1:11" ht="13.5" customHeight="1" x14ac:dyDescent="0.15">
      <c r="A13" s="6"/>
      <c r="B13" s="6"/>
      <c r="C13" s="6"/>
      <c r="D13" s="6"/>
      <c r="E13" s="27"/>
      <c r="F13" s="3"/>
      <c r="G13" s="6"/>
      <c r="H13" s="6"/>
      <c r="I13" s="6"/>
      <c r="J13" s="6"/>
      <c r="K13" s="6"/>
    </row>
    <row r="14" spans="1:11" ht="14.25" customHeight="1" x14ac:dyDescent="0.15">
      <c r="A14" s="7" t="s">
        <v>16</v>
      </c>
      <c r="B14" s="8"/>
      <c r="C14" s="8"/>
      <c r="D14" s="8"/>
      <c r="E14" s="28"/>
      <c r="F14" s="29"/>
      <c r="G14" s="7" t="s">
        <v>16</v>
      </c>
      <c r="H14" s="8"/>
      <c r="I14" s="8"/>
      <c r="J14" s="8"/>
      <c r="K14" s="30"/>
    </row>
    <row r="15" spans="1:11" ht="13.5" customHeight="1" x14ac:dyDescent="0.15">
      <c r="A15" s="11"/>
      <c r="B15" s="13" t="s">
        <v>17</v>
      </c>
      <c r="C15" s="13" t="s">
        <v>18</v>
      </c>
      <c r="D15" s="13" t="s">
        <v>19</v>
      </c>
      <c r="E15" s="31" t="s">
        <v>20</v>
      </c>
      <c r="F15" s="29"/>
      <c r="G15" s="11"/>
      <c r="H15" s="13" t="s">
        <v>17</v>
      </c>
      <c r="I15" s="13" t="s">
        <v>18</v>
      </c>
      <c r="J15" s="13" t="s">
        <v>19</v>
      </c>
      <c r="K15" s="14" t="s">
        <v>20</v>
      </c>
    </row>
    <row r="16" spans="1:11" ht="14.25" customHeight="1" x14ac:dyDescent="0.15">
      <c r="A16" s="15"/>
      <c r="B16" s="16" t="s">
        <v>21</v>
      </c>
      <c r="C16" s="8"/>
      <c r="D16" s="8"/>
      <c r="E16" s="28">
        <v>0.06</v>
      </c>
      <c r="F16" s="29"/>
      <c r="G16" s="15"/>
      <c r="H16" s="16" t="s">
        <v>21</v>
      </c>
      <c r="I16" s="8"/>
      <c r="J16" s="8"/>
      <c r="K16" s="30">
        <v>0.06</v>
      </c>
    </row>
    <row r="17" spans="1:11" ht="13.75" customHeight="1" x14ac:dyDescent="0.15">
      <c r="A17" s="20"/>
      <c r="B17" s="21" t="s">
        <v>22</v>
      </c>
      <c r="C17" s="32">
        <v>100</v>
      </c>
      <c r="D17" s="32">
        <v>0.84</v>
      </c>
      <c r="E17" s="33">
        <f>C17/D17/1000</f>
        <v>0.11904761904761905</v>
      </c>
      <c r="F17" s="29"/>
      <c r="G17" s="20"/>
      <c r="H17" s="21" t="s">
        <v>22</v>
      </c>
      <c r="I17" s="32">
        <v>100</v>
      </c>
      <c r="J17" s="32">
        <v>0.84</v>
      </c>
      <c r="K17" s="34">
        <f>I17/J17/1000</f>
        <v>0.11904761904761905</v>
      </c>
    </row>
    <row r="18" spans="1:11" ht="13.75" customHeight="1" x14ac:dyDescent="0.15">
      <c r="A18" s="20"/>
      <c r="B18" s="21" t="s">
        <v>23</v>
      </c>
      <c r="C18" s="32">
        <v>50</v>
      </c>
      <c r="D18" s="35"/>
      <c r="E18" s="33">
        <v>0.18</v>
      </c>
      <c r="F18" s="29"/>
      <c r="G18" s="20"/>
      <c r="H18" s="21" t="s">
        <v>23</v>
      </c>
      <c r="I18" s="35"/>
      <c r="J18" s="35"/>
      <c r="K18" s="34"/>
    </row>
    <row r="19" spans="1:11" ht="13.75" customHeight="1" x14ac:dyDescent="0.15">
      <c r="A19" s="20"/>
      <c r="B19" s="21" t="s">
        <v>24</v>
      </c>
      <c r="C19" s="32">
        <v>100</v>
      </c>
      <c r="D19" s="32">
        <v>0.04</v>
      </c>
      <c r="E19" s="33">
        <f>C19/D19/1000</f>
        <v>2.5</v>
      </c>
      <c r="F19" s="29"/>
      <c r="G19" s="20"/>
      <c r="H19" s="21" t="s">
        <v>24</v>
      </c>
      <c r="I19" s="32">
        <v>100</v>
      </c>
      <c r="J19" s="32">
        <v>3.5000000000000003E-2</v>
      </c>
      <c r="K19" s="34">
        <f>I19/J19/1000</f>
        <v>2.8571428571428568</v>
      </c>
    </row>
    <row r="20" spans="1:11" ht="13.75" customHeight="1" x14ac:dyDescent="0.15">
      <c r="A20" s="20"/>
      <c r="B20" s="21" t="s">
        <v>25</v>
      </c>
      <c r="C20" s="32">
        <v>100</v>
      </c>
      <c r="D20" s="32">
        <v>0.19</v>
      </c>
      <c r="E20" s="33">
        <f>C20/D20/1000</f>
        <v>0.52631578947368418</v>
      </c>
      <c r="F20" s="29"/>
      <c r="G20" s="20"/>
      <c r="H20" s="21" t="s">
        <v>25</v>
      </c>
      <c r="I20" s="32">
        <v>100</v>
      </c>
      <c r="J20" s="32">
        <v>0.19</v>
      </c>
      <c r="K20" s="34">
        <f>I20/J20/1000</f>
        <v>0.52631578947368418</v>
      </c>
    </row>
    <row r="21" spans="1:11" ht="13.75" customHeight="1" x14ac:dyDescent="0.15">
      <c r="A21" s="20"/>
      <c r="B21" s="21" t="s">
        <v>26</v>
      </c>
      <c r="C21" s="32">
        <v>10</v>
      </c>
      <c r="D21" s="32">
        <v>0.16</v>
      </c>
      <c r="E21" s="33">
        <f>C21/D21/1000</f>
        <v>6.25E-2</v>
      </c>
      <c r="F21" s="29"/>
      <c r="G21" s="20"/>
      <c r="H21" s="21" t="s">
        <v>26</v>
      </c>
      <c r="I21" s="35"/>
      <c r="J21" s="35"/>
      <c r="K21" s="34">
        <v>0</v>
      </c>
    </row>
    <row r="22" spans="1:11" ht="13.75" customHeight="1" x14ac:dyDescent="0.15">
      <c r="A22" s="20"/>
      <c r="B22" s="21" t="s">
        <v>27</v>
      </c>
      <c r="C22" s="35"/>
      <c r="D22" s="35"/>
      <c r="E22" s="33">
        <v>0.13</v>
      </c>
      <c r="F22" s="29"/>
      <c r="G22" s="20"/>
      <c r="H22" s="21" t="s">
        <v>27</v>
      </c>
      <c r="I22" s="35"/>
      <c r="J22" s="35"/>
      <c r="K22" s="34">
        <v>0.12</v>
      </c>
    </row>
    <row r="23" spans="1:11" ht="13.75" customHeight="1" x14ac:dyDescent="0.15">
      <c r="A23" s="20"/>
      <c r="B23" s="35"/>
      <c r="C23" s="35"/>
      <c r="D23" s="21" t="s">
        <v>28</v>
      </c>
      <c r="E23" s="33">
        <f>SUM(E16:E22)</f>
        <v>3.5778634085213028</v>
      </c>
      <c r="F23" s="29"/>
      <c r="G23" s="20"/>
      <c r="H23" s="35"/>
      <c r="I23" s="35"/>
      <c r="J23" s="21" t="s">
        <v>28</v>
      </c>
      <c r="K23" s="34">
        <f>SUM(K16:K22)</f>
        <v>3.6825062656641601</v>
      </c>
    </row>
    <row r="24" spans="1:11" ht="13.5" customHeight="1" x14ac:dyDescent="0.15">
      <c r="A24" s="11"/>
      <c r="B24" s="12"/>
      <c r="C24" s="12"/>
      <c r="D24" s="13" t="s">
        <v>5</v>
      </c>
      <c r="E24" s="36">
        <f>1/E23</f>
        <v>0.27949641610641884</v>
      </c>
      <c r="F24" s="29"/>
      <c r="G24" s="11"/>
      <c r="H24" s="12"/>
      <c r="I24" s="12"/>
      <c r="J24" s="13" t="s">
        <v>5</v>
      </c>
      <c r="K24" s="37">
        <f>1/K23</f>
        <v>0.27155418833201755</v>
      </c>
    </row>
    <row r="25" spans="1:11" ht="14.25" customHeight="1" x14ac:dyDescent="0.15">
      <c r="A25" s="26"/>
      <c r="B25" s="26"/>
      <c r="C25" s="26"/>
      <c r="D25" s="26"/>
      <c r="E25" s="38"/>
      <c r="F25" s="3"/>
      <c r="G25" s="26"/>
      <c r="H25" s="26"/>
      <c r="I25" s="26"/>
      <c r="J25" s="26"/>
      <c r="K25" s="26"/>
    </row>
    <row r="26" spans="1:11" ht="13.5" customHeight="1" x14ac:dyDescent="0.15">
      <c r="A26" s="6"/>
      <c r="B26" s="6"/>
      <c r="C26" s="6"/>
      <c r="D26" s="6"/>
      <c r="E26" s="27"/>
      <c r="F26" s="3"/>
      <c r="G26" s="3"/>
      <c r="H26" s="3"/>
      <c r="I26" s="3"/>
      <c r="J26" s="3"/>
      <c r="K26" s="3"/>
    </row>
    <row r="27" spans="1:11" ht="14.25" customHeight="1" x14ac:dyDescent="0.15">
      <c r="A27" s="7" t="s">
        <v>13</v>
      </c>
      <c r="B27" s="8"/>
      <c r="C27" s="8"/>
      <c r="D27" s="8"/>
      <c r="E27" s="28"/>
      <c r="F27" s="39"/>
      <c r="G27" s="3"/>
      <c r="H27" s="3"/>
      <c r="I27" s="3"/>
      <c r="J27" s="3"/>
      <c r="K27" s="3"/>
    </row>
    <row r="28" spans="1:11" ht="13.5" customHeight="1" x14ac:dyDescent="0.15">
      <c r="A28" s="11"/>
      <c r="B28" s="13" t="s">
        <v>17</v>
      </c>
      <c r="C28" s="13" t="s">
        <v>18</v>
      </c>
      <c r="D28" s="13" t="s">
        <v>19</v>
      </c>
      <c r="E28" s="31" t="s">
        <v>20</v>
      </c>
      <c r="F28" s="39"/>
      <c r="G28" s="3"/>
      <c r="H28" s="3"/>
      <c r="I28" s="3"/>
      <c r="J28" s="3"/>
      <c r="K28" s="3"/>
    </row>
    <row r="29" spans="1:11" ht="14.25" customHeight="1" x14ac:dyDescent="0.15">
      <c r="A29" s="15"/>
      <c r="B29" s="16" t="s">
        <v>29</v>
      </c>
      <c r="C29" s="8"/>
      <c r="D29" s="8"/>
      <c r="E29" s="28">
        <v>0.04</v>
      </c>
      <c r="F29" s="39"/>
      <c r="G29" s="3"/>
      <c r="H29" s="3"/>
      <c r="I29" s="3"/>
      <c r="J29" s="3"/>
      <c r="K29" s="3"/>
    </row>
    <row r="30" spans="1:11" ht="13.75" customHeight="1" x14ac:dyDescent="0.15">
      <c r="A30" s="20"/>
      <c r="B30" s="21" t="s">
        <v>30</v>
      </c>
      <c r="C30" s="32">
        <v>10</v>
      </c>
      <c r="D30" s="32">
        <v>0.5</v>
      </c>
      <c r="E30" s="33">
        <f>C30/D30/1000</f>
        <v>0.02</v>
      </c>
      <c r="F30" s="39"/>
      <c r="G30" s="3"/>
      <c r="H30" s="3"/>
      <c r="I30" s="3"/>
      <c r="J30" s="3"/>
      <c r="K30" s="3"/>
    </row>
    <row r="31" spans="1:11" ht="13.75" customHeight="1" x14ac:dyDescent="0.15">
      <c r="A31" s="20"/>
      <c r="B31" s="21" t="s">
        <v>23</v>
      </c>
      <c r="C31" s="32">
        <v>50</v>
      </c>
      <c r="D31" s="35"/>
      <c r="E31" s="33">
        <v>0.18</v>
      </c>
      <c r="F31" s="39"/>
      <c r="G31" s="3"/>
      <c r="H31" s="3"/>
      <c r="I31" s="3"/>
      <c r="J31" s="3"/>
      <c r="K31" s="3"/>
    </row>
    <row r="32" spans="1:11" ht="13.75" customHeight="1" x14ac:dyDescent="0.15">
      <c r="A32" s="20"/>
      <c r="B32" s="21" t="s">
        <v>24</v>
      </c>
      <c r="C32" s="32">
        <v>100</v>
      </c>
      <c r="D32" s="32">
        <v>0.04</v>
      </c>
      <c r="E32" s="33">
        <f>C32/D32/1000</f>
        <v>2.5</v>
      </c>
      <c r="F32" s="39"/>
      <c r="G32" s="3"/>
      <c r="H32" s="3"/>
      <c r="I32" s="3"/>
      <c r="J32" s="3"/>
      <c r="K32" s="3"/>
    </row>
    <row r="33" spans="1:11" ht="13.75" customHeight="1" x14ac:dyDescent="0.15">
      <c r="A33" s="20"/>
      <c r="B33" s="21" t="s">
        <v>31</v>
      </c>
      <c r="C33" s="32">
        <v>25</v>
      </c>
      <c r="D33" s="32">
        <v>0.14000000000000001</v>
      </c>
      <c r="E33" s="33">
        <f>C33/D33/1000</f>
        <v>0.17857142857142855</v>
      </c>
      <c r="F33" s="39"/>
      <c r="G33" s="3"/>
      <c r="H33" s="3"/>
      <c r="I33" s="3"/>
      <c r="J33" s="3"/>
      <c r="K33" s="3"/>
    </row>
    <row r="34" spans="1:11" ht="13.75" customHeight="1" x14ac:dyDescent="0.15">
      <c r="A34" s="20"/>
      <c r="B34" s="21" t="s">
        <v>32</v>
      </c>
      <c r="C34" s="32">
        <v>12.5</v>
      </c>
      <c r="D34" s="32">
        <v>0.16</v>
      </c>
      <c r="E34" s="33">
        <f>C34/D34/1000</f>
        <v>7.8125E-2</v>
      </c>
      <c r="F34" s="39"/>
      <c r="G34" s="3"/>
      <c r="H34" s="3"/>
      <c r="I34" s="3"/>
      <c r="J34" s="3"/>
      <c r="K34" s="3"/>
    </row>
    <row r="35" spans="1:11" ht="13.75" customHeight="1" x14ac:dyDescent="0.15">
      <c r="A35" s="20"/>
      <c r="B35" s="21" t="s">
        <v>33</v>
      </c>
      <c r="C35" s="35"/>
      <c r="D35" s="35"/>
      <c r="E35" s="33">
        <v>0.1</v>
      </c>
      <c r="F35" s="39"/>
      <c r="G35" s="3"/>
      <c r="H35" s="3"/>
      <c r="I35" s="3"/>
      <c r="J35" s="3"/>
      <c r="K35" s="3"/>
    </row>
    <row r="36" spans="1:11" ht="13.75" customHeight="1" x14ac:dyDescent="0.15">
      <c r="A36" s="20"/>
      <c r="B36" s="35"/>
      <c r="C36" s="35"/>
      <c r="D36" s="21" t="s">
        <v>28</v>
      </c>
      <c r="E36" s="33">
        <f>SUM(E29:E34)</f>
        <v>2.9966964285714286</v>
      </c>
      <c r="F36" s="40" t="s">
        <v>34</v>
      </c>
      <c r="G36" s="3"/>
      <c r="H36" s="3"/>
      <c r="I36" s="3"/>
      <c r="J36" s="3"/>
      <c r="K36" s="3"/>
    </row>
    <row r="37" spans="1:11" ht="13.5" customHeight="1" x14ac:dyDescent="0.15">
      <c r="A37" s="11"/>
      <c r="B37" s="12"/>
      <c r="C37" s="12"/>
      <c r="D37" s="13" t="s">
        <v>5</v>
      </c>
      <c r="E37" s="36">
        <f>1/E36</f>
        <v>0.33370080147781783</v>
      </c>
      <c r="F37" s="40" t="s">
        <v>35</v>
      </c>
      <c r="G37" s="3"/>
      <c r="H37" s="3"/>
      <c r="I37" s="3"/>
      <c r="J37" s="3"/>
      <c r="K37" s="3"/>
    </row>
    <row r="38" spans="1:11" ht="14.25" customHeight="1" x14ac:dyDescent="0.15">
      <c r="A38" s="26"/>
      <c r="B38" s="26"/>
      <c r="C38" s="26"/>
      <c r="D38" s="26"/>
      <c r="E38" s="38"/>
      <c r="F38" s="3"/>
      <c r="G38" s="3"/>
      <c r="H38" s="3"/>
      <c r="I38" s="3"/>
      <c r="J38" s="3"/>
      <c r="K38" s="3"/>
    </row>
    <row r="39" spans="1:11" ht="13.5" customHeight="1" x14ac:dyDescent="0.15">
      <c r="A39" s="6"/>
      <c r="B39" s="6"/>
      <c r="C39" s="6"/>
      <c r="D39" s="6"/>
      <c r="E39" s="27"/>
      <c r="F39" s="6"/>
      <c r="G39" s="6"/>
      <c r="H39" s="3"/>
      <c r="I39" s="3"/>
      <c r="J39" s="3"/>
      <c r="K39" s="3"/>
    </row>
    <row r="40" spans="1:11" ht="14.25" customHeight="1" x14ac:dyDescent="0.15">
      <c r="A40" s="7" t="s">
        <v>12</v>
      </c>
      <c r="B40" s="8"/>
      <c r="C40" s="8"/>
      <c r="D40" s="8"/>
      <c r="E40" s="41"/>
      <c r="F40" s="8"/>
      <c r="G40" s="9"/>
      <c r="H40" s="39"/>
      <c r="I40" s="3"/>
      <c r="J40" s="3"/>
      <c r="K40" s="3"/>
    </row>
    <row r="41" spans="1:11" ht="13.75" customHeight="1" x14ac:dyDescent="0.15">
      <c r="A41" s="20"/>
      <c r="B41" s="21" t="s">
        <v>36</v>
      </c>
      <c r="C41" s="32">
        <f>2*(9.5+12)</f>
        <v>43</v>
      </c>
      <c r="D41" s="35"/>
      <c r="E41" s="42"/>
      <c r="F41" s="35"/>
      <c r="G41" s="24"/>
      <c r="H41" s="39"/>
      <c r="I41" s="3"/>
      <c r="J41" s="3"/>
      <c r="K41" s="3"/>
    </row>
    <row r="42" spans="1:11" ht="13.75" customHeight="1" x14ac:dyDescent="0.15">
      <c r="A42" s="20"/>
      <c r="B42" s="21" t="s">
        <v>37</v>
      </c>
      <c r="C42" s="32">
        <f>9.5*12</f>
        <v>114</v>
      </c>
      <c r="D42" s="35"/>
      <c r="E42" s="42"/>
      <c r="F42" s="35"/>
      <c r="G42" s="24"/>
      <c r="H42" s="39"/>
      <c r="I42" s="3"/>
      <c r="J42" s="3"/>
      <c r="K42" s="3"/>
    </row>
    <row r="43" spans="1:11" ht="13.75" customHeight="1" x14ac:dyDescent="0.15">
      <c r="A43" s="20"/>
      <c r="B43" s="21" t="s">
        <v>38</v>
      </c>
      <c r="C43" s="22">
        <f>C41/C42</f>
        <v>0.37719298245614036</v>
      </c>
      <c r="D43" s="35"/>
      <c r="E43" s="42"/>
      <c r="F43" s="35"/>
      <c r="G43" s="24"/>
      <c r="H43" s="39"/>
      <c r="I43" s="3"/>
      <c r="J43" s="3"/>
      <c r="K43" s="3"/>
    </row>
    <row r="44" spans="1:11" ht="13.75" customHeight="1" x14ac:dyDescent="0.15">
      <c r="A44" s="20"/>
      <c r="B44" s="35"/>
      <c r="C44" s="22"/>
      <c r="D44" s="35"/>
      <c r="E44" s="42"/>
      <c r="F44" s="35"/>
      <c r="G44" s="24"/>
      <c r="H44" s="39"/>
      <c r="I44" s="3"/>
      <c r="J44" s="3"/>
      <c r="K44" s="3"/>
    </row>
    <row r="45" spans="1:11" ht="13.75" customHeight="1" x14ac:dyDescent="0.15">
      <c r="A45" s="20"/>
      <c r="B45" s="21" t="s">
        <v>39</v>
      </c>
      <c r="C45" s="22">
        <v>0.05</v>
      </c>
      <c r="D45" s="21" t="s">
        <v>40</v>
      </c>
      <c r="E45" s="42">
        <v>1.65</v>
      </c>
      <c r="F45" s="21" t="s">
        <v>41</v>
      </c>
      <c r="G45" s="34">
        <v>-0.6</v>
      </c>
      <c r="H45" s="39"/>
      <c r="I45" s="3"/>
      <c r="J45" s="3"/>
      <c r="K45" s="3"/>
    </row>
    <row r="46" spans="1:11" ht="13.75" customHeight="1" x14ac:dyDescent="0.15">
      <c r="A46" s="20"/>
      <c r="B46" s="21" t="s">
        <v>5</v>
      </c>
      <c r="C46" s="22">
        <f>$C$45+$E$45*C43+$G$45*C43*C43</f>
        <v>0.58700369344413672</v>
      </c>
      <c r="D46" s="21" t="s">
        <v>42</v>
      </c>
      <c r="E46" s="42">
        <f>1/C46</f>
        <v>1.7035667938180816</v>
      </c>
      <c r="F46" s="35"/>
      <c r="G46" s="24"/>
      <c r="H46" s="39"/>
      <c r="I46" s="3"/>
      <c r="J46" s="3"/>
      <c r="K46" s="3"/>
    </row>
    <row r="47" spans="1:11" ht="13.75" customHeight="1" x14ac:dyDescent="0.15">
      <c r="A47" s="20"/>
      <c r="B47" s="35"/>
      <c r="C47" s="22"/>
      <c r="D47" s="35"/>
      <c r="E47" s="42"/>
      <c r="F47" s="35"/>
      <c r="G47" s="24"/>
      <c r="H47" s="39"/>
      <c r="I47" s="3"/>
      <c r="J47" s="3"/>
      <c r="K47" s="3"/>
    </row>
    <row r="48" spans="1:11" ht="13.75" customHeight="1" x14ac:dyDescent="0.15">
      <c r="A48" s="20"/>
      <c r="B48" s="35"/>
      <c r="C48" s="21" t="s">
        <v>18</v>
      </c>
      <c r="D48" s="21" t="s">
        <v>19</v>
      </c>
      <c r="E48" s="43" t="s">
        <v>20</v>
      </c>
      <c r="F48" s="35"/>
      <c r="G48" s="24"/>
      <c r="H48" s="39"/>
      <c r="I48" s="3"/>
      <c r="J48" s="3"/>
      <c r="K48" s="3"/>
    </row>
    <row r="49" spans="1:11" ht="13.75" customHeight="1" x14ac:dyDescent="0.15">
      <c r="A49" s="20"/>
      <c r="B49" s="21" t="s">
        <v>24</v>
      </c>
      <c r="C49" s="32">
        <v>100</v>
      </c>
      <c r="D49" s="32">
        <v>0.04</v>
      </c>
      <c r="E49" s="42">
        <f>C49/D49/1000</f>
        <v>2.5</v>
      </c>
      <c r="F49" s="35"/>
      <c r="G49" s="24"/>
      <c r="H49" s="39"/>
      <c r="I49" s="3"/>
      <c r="J49" s="3"/>
      <c r="K49" s="3"/>
    </row>
    <row r="50" spans="1:11" ht="13.75" customHeight="1" x14ac:dyDescent="0.15">
      <c r="A50" s="20"/>
      <c r="B50" s="35"/>
      <c r="C50" s="35"/>
      <c r="D50" s="21" t="s">
        <v>28</v>
      </c>
      <c r="E50" s="42">
        <f>E46+E49</f>
        <v>4.2035667938180818</v>
      </c>
      <c r="F50" s="35"/>
      <c r="G50" s="24"/>
      <c r="H50" s="39"/>
      <c r="I50" s="3"/>
      <c r="J50" s="3"/>
      <c r="K50" s="3"/>
    </row>
    <row r="51" spans="1:11" ht="13.5" customHeight="1" x14ac:dyDescent="0.15">
      <c r="A51" s="11"/>
      <c r="B51" s="12"/>
      <c r="C51" s="12"/>
      <c r="D51" s="13" t="s">
        <v>43</v>
      </c>
      <c r="E51" s="44">
        <f>1/E50</f>
        <v>0.23789321046846129</v>
      </c>
      <c r="F51" s="12"/>
      <c r="G51" s="45"/>
      <c r="H51" s="39"/>
      <c r="I51" s="3"/>
      <c r="J51" s="3"/>
      <c r="K51" s="3"/>
    </row>
  </sheetData>
  <phoneticPr fontId="6" type="noConversion"/>
  <pageMargins left="0.75" right="0.75" top="1" bottom="1" header="0.5" footer="0.5"/>
  <pageSetup orientation="portrait"/>
  <headerFooter>
    <oddFooter>&amp;L&amp;"Arial,Regular"&amp;10&amp;K000000Energy_use_house.xlsx&amp;C&amp;"Arial,Regular"&amp;10&amp;K000000Uvals&amp;R&amp;"Arial,Regular"&amp;10&amp;K00000018/03/2025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5"/>
  <sheetViews>
    <sheetView showGridLines="0" workbookViewId="0">
      <selection activeCell="E12" sqref="E12:E13"/>
    </sheetView>
  </sheetViews>
  <sheetFormatPr baseColWidth="10" defaultColWidth="8.83203125" defaultRowHeight="15" customHeight="1" x14ac:dyDescent="0.15"/>
  <cols>
    <col min="1" max="7" width="9.1640625" style="1" customWidth="1"/>
    <col min="8" max="8" width="8.83203125" style="1" customWidth="1"/>
    <col min="9" max="16384" width="8.83203125" style="1"/>
  </cols>
  <sheetData>
    <row r="1" spans="1:7" ht="16.5" customHeight="1" x14ac:dyDescent="0.15">
      <c r="A1" s="47" t="s">
        <v>152</v>
      </c>
      <c r="B1" s="4"/>
      <c r="C1" s="4"/>
      <c r="D1" s="4"/>
      <c r="E1" s="47" t="s">
        <v>153</v>
      </c>
      <c r="F1" s="49">
        <f>Uvals!B2</f>
        <v>1565.0823610693203</v>
      </c>
      <c r="G1" s="4"/>
    </row>
    <row r="2" spans="1:7" ht="13.75" customHeight="1" x14ac:dyDescent="0.15">
      <c r="A2" s="4"/>
      <c r="B2" s="4"/>
      <c r="C2" s="4"/>
      <c r="D2" s="4"/>
      <c r="E2" s="4"/>
      <c r="F2" s="4"/>
      <c r="G2" s="4"/>
    </row>
    <row r="3" spans="1:7" ht="16.5" customHeight="1" x14ac:dyDescent="0.15">
      <c r="A3" s="4"/>
      <c r="B3" s="47" t="s">
        <v>154</v>
      </c>
      <c r="C3" s="4"/>
      <c r="D3" s="4"/>
      <c r="E3" s="4"/>
      <c r="F3" s="4"/>
      <c r="G3" s="4"/>
    </row>
    <row r="4" spans="1:7" ht="13.75" customHeight="1" x14ac:dyDescent="0.15">
      <c r="A4" s="4"/>
      <c r="B4" s="4"/>
      <c r="C4" s="4"/>
      <c r="D4" s="4"/>
      <c r="E4" s="4"/>
      <c r="F4" s="4"/>
      <c r="G4" s="4"/>
    </row>
    <row r="5" spans="1:7" ht="16.5" customHeight="1" x14ac:dyDescent="0.15">
      <c r="A5" s="4"/>
      <c r="B5" s="78" t="s">
        <v>218</v>
      </c>
      <c r="C5" s="4"/>
      <c r="D5" s="71">
        <v>1.1000000000000001</v>
      </c>
      <c r="E5" s="4"/>
      <c r="F5" s="4"/>
      <c r="G5" s="4"/>
    </row>
    <row r="6" spans="1:7" ht="16.5" customHeight="1" x14ac:dyDescent="0.15">
      <c r="A6" s="4"/>
      <c r="B6" s="78"/>
      <c r="C6" s="4"/>
      <c r="D6" s="71">
        <v>2</v>
      </c>
      <c r="E6" s="4"/>
      <c r="F6" s="4"/>
      <c r="G6" s="4"/>
    </row>
    <row r="7" spans="1:7" ht="13.75" customHeight="1" x14ac:dyDescent="0.15">
      <c r="A7" s="4"/>
      <c r="B7" s="4"/>
      <c r="C7" s="4"/>
      <c r="D7" s="4"/>
      <c r="E7" s="4"/>
      <c r="F7" s="4"/>
      <c r="G7" s="4"/>
    </row>
    <row r="8" spans="1:7" ht="13.75" customHeight="1" x14ac:dyDescent="0.15">
      <c r="A8" s="4"/>
      <c r="B8" s="4"/>
      <c r="C8" s="4"/>
      <c r="D8" s="4"/>
      <c r="E8" s="4"/>
      <c r="F8" s="4"/>
      <c r="G8" s="4"/>
    </row>
    <row r="9" spans="1:7" ht="16.5" customHeight="1" x14ac:dyDescent="0.15">
      <c r="A9" s="4"/>
      <c r="B9" s="47" t="s">
        <v>155</v>
      </c>
      <c r="C9" s="4"/>
      <c r="D9" s="4"/>
      <c r="E9" s="70">
        <f>Th_energy1!H18</f>
        <v>144.38454334603975</v>
      </c>
      <c r="F9" s="47" t="s">
        <v>156</v>
      </c>
      <c r="G9" s="4"/>
    </row>
    <row r="10" spans="1:7" ht="16.5" customHeight="1" x14ac:dyDescent="0.15">
      <c r="A10" s="4"/>
      <c r="B10" s="47" t="s">
        <v>157</v>
      </c>
      <c r="C10" s="4"/>
      <c r="D10" s="4"/>
      <c r="E10" s="70">
        <f>'Electricity Load1'!H92/F1</f>
        <v>13.91553993413431</v>
      </c>
      <c r="F10" s="47" t="s">
        <v>156</v>
      </c>
      <c r="G10" s="4"/>
    </row>
    <row r="11" spans="1:7" ht="13.75" customHeight="1" x14ac:dyDescent="0.15">
      <c r="A11" s="4"/>
      <c r="B11" s="4"/>
      <c r="C11" s="4"/>
      <c r="D11" s="4"/>
      <c r="E11" s="4"/>
      <c r="F11" s="4"/>
      <c r="G11" s="4"/>
    </row>
    <row r="12" spans="1:7" ht="16.5" customHeight="1" x14ac:dyDescent="0.15">
      <c r="A12" s="4"/>
      <c r="B12" s="47" t="s">
        <v>158</v>
      </c>
      <c r="C12" s="4"/>
      <c r="D12" s="4"/>
      <c r="E12" s="49">
        <f>E9*D5</f>
        <v>158.82299768064374</v>
      </c>
      <c r="F12" s="4"/>
      <c r="G12" s="4"/>
    </row>
    <row r="13" spans="1:7" ht="16.5" customHeight="1" x14ac:dyDescent="0.15">
      <c r="A13" s="4"/>
      <c r="B13" s="78" t="s">
        <v>219</v>
      </c>
      <c r="C13" s="4"/>
      <c r="D13" s="4"/>
      <c r="E13" s="49">
        <f>E10*D6</f>
        <v>27.83107986826862</v>
      </c>
      <c r="F13" s="4"/>
      <c r="G13" s="4"/>
    </row>
    <row r="14" spans="1:7" ht="13.75" customHeight="1" x14ac:dyDescent="0.15">
      <c r="A14" s="4"/>
      <c r="B14" s="4"/>
      <c r="C14" s="4"/>
      <c r="D14" s="4"/>
      <c r="E14" s="4"/>
      <c r="F14" s="4"/>
      <c r="G14" s="4"/>
    </row>
    <row r="15" spans="1:7" ht="15.75" customHeight="1" x14ac:dyDescent="0.2">
      <c r="A15" s="4"/>
      <c r="B15" s="46" t="s">
        <v>159</v>
      </c>
      <c r="C15" s="73"/>
      <c r="D15" s="73"/>
      <c r="E15" s="74">
        <f>E12+E13</f>
        <v>186.65407754891237</v>
      </c>
      <c r="F15" s="46" t="s">
        <v>156</v>
      </c>
      <c r="G15" s="73"/>
    </row>
  </sheetData>
  <phoneticPr fontId="6" type="noConversion"/>
  <pageMargins left="0.7" right="0.7" top="0.75" bottom="0.75" header="0.3" footer="0.3"/>
  <pageSetup orientation="portrait"/>
  <headerFooter>
    <oddFooter>&amp;C&amp;"Helvetica Neue,Regular"&amp;11&amp;K000000&amp;P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3F028-28B8-894F-8134-B07A210CF34C}">
  <dimension ref="A1:G15"/>
  <sheetViews>
    <sheetView showGridLines="0" workbookViewId="0">
      <selection activeCell="E12" sqref="E12:E13"/>
    </sheetView>
  </sheetViews>
  <sheetFormatPr baseColWidth="10" defaultColWidth="8.83203125" defaultRowHeight="15" customHeight="1" x14ac:dyDescent="0.15"/>
  <cols>
    <col min="1" max="7" width="9.1640625" style="1" customWidth="1"/>
    <col min="8" max="8" width="8.83203125" style="1" customWidth="1"/>
    <col min="9" max="16384" width="8.83203125" style="1"/>
  </cols>
  <sheetData>
    <row r="1" spans="1:7" ht="16.5" customHeight="1" x14ac:dyDescent="0.15">
      <c r="A1" s="47" t="s">
        <v>152</v>
      </c>
      <c r="B1" s="4"/>
      <c r="C1" s="4"/>
      <c r="D1" s="4"/>
      <c r="E1" s="47" t="s">
        <v>153</v>
      </c>
      <c r="F1" s="49">
        <f>Uvals!B2</f>
        <v>1565.0823610693203</v>
      </c>
      <c r="G1" s="4"/>
    </row>
    <row r="2" spans="1:7" ht="13.75" customHeight="1" x14ac:dyDescent="0.15">
      <c r="A2" s="4"/>
      <c r="B2" s="4"/>
      <c r="C2" s="4"/>
      <c r="D2" s="4"/>
      <c r="E2" s="4"/>
      <c r="F2" s="4"/>
      <c r="G2" s="4"/>
    </row>
    <row r="3" spans="1:7" ht="16.5" customHeight="1" x14ac:dyDescent="0.15">
      <c r="A3" s="4"/>
      <c r="B3" s="47" t="s">
        <v>154</v>
      </c>
      <c r="C3" s="4"/>
      <c r="D3" s="4"/>
      <c r="E3" s="4"/>
      <c r="F3" s="4"/>
      <c r="G3" s="4"/>
    </row>
    <row r="4" spans="1:7" ht="13.75" customHeight="1" x14ac:dyDescent="0.15">
      <c r="A4" s="4"/>
      <c r="B4" s="4"/>
      <c r="C4" s="4"/>
      <c r="D4" s="4"/>
      <c r="E4" s="4"/>
      <c r="F4" s="4"/>
      <c r="G4" s="4"/>
    </row>
    <row r="5" spans="1:7" ht="16.5" customHeight="1" x14ac:dyDescent="0.15">
      <c r="A5" s="4"/>
      <c r="B5" s="78" t="s">
        <v>218</v>
      </c>
      <c r="C5" s="4"/>
      <c r="D5" s="71">
        <v>1.1000000000000001</v>
      </c>
      <c r="E5" s="4"/>
      <c r="F5" s="4"/>
      <c r="G5" s="4"/>
    </row>
    <row r="6" spans="1:7" ht="16.5" customHeight="1" x14ac:dyDescent="0.15">
      <c r="A6" s="4"/>
      <c r="B6" s="78"/>
      <c r="C6" s="4"/>
      <c r="D6" s="71">
        <v>2</v>
      </c>
      <c r="E6" s="4"/>
      <c r="F6" s="4"/>
      <c r="G6" s="4"/>
    </row>
    <row r="7" spans="1:7" ht="13.75" customHeight="1" x14ac:dyDescent="0.15">
      <c r="A7" s="4"/>
      <c r="B7" s="4"/>
      <c r="C7" s="4"/>
      <c r="D7" s="4"/>
      <c r="E7" s="4"/>
      <c r="F7" s="4"/>
      <c r="G7" s="4"/>
    </row>
    <row r="8" spans="1:7" ht="13.75" customHeight="1" x14ac:dyDescent="0.15">
      <c r="A8" s="4"/>
      <c r="B8" s="4"/>
      <c r="C8" s="4"/>
      <c r="D8" s="4"/>
      <c r="E8" s="4"/>
      <c r="F8" s="4"/>
      <c r="G8" s="4"/>
    </row>
    <row r="9" spans="1:7" ht="16.5" customHeight="1" x14ac:dyDescent="0.15">
      <c r="A9" s="4"/>
      <c r="B9" s="47" t="s">
        <v>155</v>
      </c>
      <c r="C9" s="4"/>
      <c r="D9" s="4"/>
      <c r="E9" s="70">
        <f>Th_energy2!H18</f>
        <v>25.479602388071736</v>
      </c>
      <c r="F9" s="47" t="s">
        <v>156</v>
      </c>
      <c r="G9" s="4"/>
    </row>
    <row r="10" spans="1:7" ht="16.5" customHeight="1" x14ac:dyDescent="0.15">
      <c r="A10" s="4"/>
      <c r="B10" s="47" t="s">
        <v>157</v>
      </c>
      <c r="C10" s="4"/>
      <c r="D10" s="4"/>
      <c r="E10" s="70">
        <f>'Electricity Load2'!H92/F1</f>
        <v>6.8400927522322288</v>
      </c>
      <c r="F10" s="47" t="s">
        <v>156</v>
      </c>
      <c r="G10" s="4"/>
    </row>
    <row r="11" spans="1:7" ht="13.75" customHeight="1" x14ac:dyDescent="0.15">
      <c r="A11" s="4"/>
      <c r="B11" s="4"/>
      <c r="C11" s="4"/>
      <c r="D11" s="4"/>
      <c r="E11" s="4"/>
      <c r="F11" s="4"/>
      <c r="G11" s="4"/>
    </row>
    <row r="12" spans="1:7" ht="16.5" customHeight="1" x14ac:dyDescent="0.15">
      <c r="A12" s="4"/>
      <c r="B12" s="47" t="s">
        <v>158</v>
      </c>
      <c r="C12" s="4"/>
      <c r="D12" s="4"/>
      <c r="E12" s="49">
        <f>E9*D5</f>
        <v>28.027562626878911</v>
      </c>
      <c r="F12" s="4"/>
      <c r="G12" s="4"/>
    </row>
    <row r="13" spans="1:7" ht="16.5" customHeight="1" x14ac:dyDescent="0.15">
      <c r="A13" s="4"/>
      <c r="B13" s="78" t="s">
        <v>219</v>
      </c>
      <c r="C13" s="4"/>
      <c r="D13" s="4"/>
      <c r="E13" s="49">
        <f>E10*D6</f>
        <v>13.680185504464458</v>
      </c>
      <c r="F13" s="4"/>
      <c r="G13" s="4"/>
    </row>
    <row r="14" spans="1:7" ht="13.75" customHeight="1" x14ac:dyDescent="0.15">
      <c r="A14" s="4"/>
      <c r="B14" s="4"/>
      <c r="C14" s="4"/>
      <c r="D14" s="4"/>
      <c r="E14" s="4"/>
      <c r="F14" s="4"/>
      <c r="G14" s="4"/>
    </row>
    <row r="15" spans="1:7" ht="15.75" customHeight="1" x14ac:dyDescent="0.2">
      <c r="A15" s="4"/>
      <c r="B15" s="46" t="s">
        <v>159</v>
      </c>
      <c r="C15" s="73"/>
      <c r="D15" s="73"/>
      <c r="E15" s="74">
        <f>E12+E13</f>
        <v>41.707748131343365</v>
      </c>
      <c r="F15" s="46" t="s">
        <v>156</v>
      </c>
      <c r="G15" s="73"/>
    </row>
  </sheetData>
  <phoneticPr fontId="6" type="noConversion"/>
  <pageMargins left="0.7" right="0.7" top="0.75" bottom="0.75" header="0.3" footer="0.3"/>
  <pageSetup orientation="portrait"/>
  <headerFooter>
    <oddFooter>&amp;C&amp;"Helvetica Neue,Regular"&amp;11&amp;K000000&amp;P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2AF6-FAAE-E044-B3F3-3CCA2C85002C}">
  <dimension ref="A1:AA74"/>
  <sheetViews>
    <sheetView topLeftCell="D1" workbookViewId="0">
      <selection activeCell="L34" sqref="L34"/>
    </sheetView>
  </sheetViews>
  <sheetFormatPr baseColWidth="10" defaultRowHeight="13" x14ac:dyDescent="0.15"/>
  <cols>
    <col min="1" max="1" width="8.83203125" style="104" customWidth="1"/>
    <col min="2" max="2" width="15" style="104" customWidth="1"/>
    <col min="3" max="8" width="11" style="104" bestFit="1" customWidth="1"/>
    <col min="9" max="10" width="10.83203125" style="104"/>
    <col min="11" max="11" width="11" style="157" bestFit="1" customWidth="1"/>
    <col min="12" max="12" width="18.5" style="157" customWidth="1"/>
    <col min="13" max="14" width="10.83203125" style="104"/>
    <col min="15" max="15" width="8.5" style="104" customWidth="1"/>
    <col min="16" max="16" width="17.33203125" style="104" customWidth="1"/>
    <col min="17" max="21" width="11" style="104" bestFit="1" customWidth="1"/>
    <col min="22" max="23" width="12" style="104" bestFit="1" customWidth="1"/>
    <col min="24" max="26" width="11" style="104" bestFit="1" customWidth="1"/>
    <col min="27" max="16384" width="10.83203125" style="104"/>
  </cols>
  <sheetData>
    <row r="1" spans="1:23" x14ac:dyDescent="0.15">
      <c r="A1" s="104" t="s">
        <v>230</v>
      </c>
      <c r="B1" s="158" t="s">
        <v>319</v>
      </c>
    </row>
    <row r="2" spans="1:23" x14ac:dyDescent="0.15">
      <c r="A2" s="158" t="s">
        <v>293</v>
      </c>
    </row>
    <row r="4" spans="1:23" x14ac:dyDescent="0.15">
      <c r="B4" s="153"/>
      <c r="C4" s="153" t="s">
        <v>247</v>
      </c>
      <c r="D4" s="153" t="s">
        <v>248</v>
      </c>
      <c r="E4" s="153">
        <v>0.7</v>
      </c>
      <c r="F4" s="153"/>
      <c r="G4" s="153" t="s">
        <v>249</v>
      </c>
      <c r="H4" s="153">
        <v>500</v>
      </c>
      <c r="I4" s="153" t="s">
        <v>250</v>
      </c>
      <c r="K4" s="153" t="s">
        <v>251</v>
      </c>
      <c r="L4" s="153">
        <v>0</v>
      </c>
      <c r="M4" s="153" t="s">
        <v>254</v>
      </c>
    </row>
    <row r="5" spans="1:23" x14ac:dyDescent="0.15">
      <c r="B5" s="153" t="s">
        <v>234</v>
      </c>
      <c r="C5" s="153">
        <v>15</v>
      </c>
      <c r="D5" s="164" t="s">
        <v>306</v>
      </c>
      <c r="E5" s="153">
        <v>1.2</v>
      </c>
      <c r="F5" s="153" t="s">
        <v>252</v>
      </c>
      <c r="G5" s="153" t="s">
        <v>221</v>
      </c>
      <c r="H5" s="153">
        <v>0.3</v>
      </c>
      <c r="I5" s="153"/>
      <c r="K5" s="153" t="s">
        <v>253</v>
      </c>
      <c r="L5" s="153">
        <v>10</v>
      </c>
      <c r="M5" s="153" t="s">
        <v>254</v>
      </c>
    </row>
    <row r="6" spans="1:23" x14ac:dyDescent="0.15">
      <c r="B6" s="153" t="s">
        <v>68</v>
      </c>
      <c r="C6" s="153">
        <v>22</v>
      </c>
      <c r="D6" s="153" t="s">
        <v>119</v>
      </c>
      <c r="E6" s="153">
        <v>18</v>
      </c>
      <c r="F6" s="153" t="s">
        <v>254</v>
      </c>
      <c r="G6" s="153" t="s">
        <v>255</v>
      </c>
      <c r="H6" s="153">
        <v>1020</v>
      </c>
      <c r="I6" s="153" t="s">
        <v>256</v>
      </c>
      <c r="K6" s="153" t="s">
        <v>257</v>
      </c>
      <c r="L6" s="153">
        <v>30</v>
      </c>
      <c r="M6" s="153" t="s">
        <v>254</v>
      </c>
    </row>
    <row r="8" spans="1:23" x14ac:dyDescent="0.15">
      <c r="B8" s="153" t="s">
        <v>68</v>
      </c>
      <c r="C8" s="153" t="s">
        <v>235</v>
      </c>
      <c r="D8" s="153" t="s">
        <v>236</v>
      </c>
      <c r="E8" s="153" t="s">
        <v>153</v>
      </c>
      <c r="F8" s="153" t="s">
        <v>237</v>
      </c>
      <c r="G8" s="153" t="s">
        <v>258</v>
      </c>
      <c r="H8" s="153" t="s">
        <v>238</v>
      </c>
      <c r="K8" s="159" t="s">
        <v>259</v>
      </c>
      <c r="L8" s="153"/>
      <c r="P8" s="108"/>
      <c r="Q8" s="108" t="s">
        <v>260</v>
      </c>
      <c r="R8" s="108" t="s">
        <v>239</v>
      </c>
      <c r="S8" s="108" t="s">
        <v>240</v>
      </c>
      <c r="T8" s="108" t="s">
        <v>261</v>
      </c>
      <c r="U8" s="108" t="s">
        <v>262</v>
      </c>
      <c r="V8" s="108" t="s">
        <v>263</v>
      </c>
      <c r="W8" s="108" t="s">
        <v>264</v>
      </c>
    </row>
    <row r="9" spans="1:23" x14ac:dyDescent="0.15">
      <c r="B9" s="153"/>
      <c r="C9" s="153"/>
      <c r="D9" s="153" t="s">
        <v>88</v>
      </c>
      <c r="E9" s="153" t="s">
        <v>149</v>
      </c>
      <c r="F9" s="153" t="s">
        <v>87</v>
      </c>
      <c r="G9" s="153" t="s">
        <v>265</v>
      </c>
      <c r="H9" s="153" t="s">
        <v>87</v>
      </c>
      <c r="K9" s="153" t="s">
        <v>266</v>
      </c>
      <c r="L9" s="153" t="s">
        <v>267</v>
      </c>
      <c r="P9" s="108"/>
      <c r="Q9" s="108" t="s">
        <v>47</v>
      </c>
      <c r="R9" s="108" t="s">
        <v>241</v>
      </c>
      <c r="S9" s="108" t="s">
        <v>242</v>
      </c>
      <c r="T9" s="108" t="s">
        <v>243</v>
      </c>
      <c r="U9" s="108" t="s">
        <v>47</v>
      </c>
      <c r="V9" s="108" t="s">
        <v>47</v>
      </c>
      <c r="W9" s="108" t="s">
        <v>47</v>
      </c>
    </row>
    <row r="10" spans="1:23" x14ac:dyDescent="0.15">
      <c r="B10" s="185" t="s">
        <v>176</v>
      </c>
      <c r="C10" s="153" t="s">
        <v>244</v>
      </c>
      <c r="D10" s="153">
        <v>10</v>
      </c>
      <c r="E10" s="153">
        <f>Room_01!$G$7</f>
        <v>75</v>
      </c>
      <c r="F10" s="153">
        <f>D10*E10</f>
        <v>750</v>
      </c>
      <c r="G10" s="153"/>
      <c r="H10" s="153"/>
      <c r="K10" s="153">
        <v>0</v>
      </c>
      <c r="L10" s="153">
        <v>0</v>
      </c>
      <c r="P10" s="108" t="s">
        <v>176</v>
      </c>
      <c r="Q10" s="108">
        <f>H12+H13+F10+H11</f>
        <v>6650</v>
      </c>
      <c r="R10" s="106">
        <f>S10/$E$5</f>
        <v>0.77614379084967322</v>
      </c>
      <c r="S10" s="108">
        <f>Q10/($C$6-$C$5)/$H$6</f>
        <v>0.93137254901960786</v>
      </c>
      <c r="T10" s="108">
        <f>R10*3600/Room_01!H7</f>
        <v>12.418300653594772</v>
      </c>
      <c r="U10" s="108">
        <f>R10*$H$4/$E$4</f>
        <v>554.38842203548086</v>
      </c>
      <c r="V10" s="108">
        <f>S10*$H$6*($L$5-$L$4)</f>
        <v>9500</v>
      </c>
      <c r="W10" s="108">
        <f>T10*$H$6*($L$6-$L$5)</f>
        <v>253333.33333333331</v>
      </c>
    </row>
    <row r="11" spans="1:23" x14ac:dyDescent="0.15">
      <c r="B11" s="187"/>
      <c r="C11" s="153" t="s">
        <v>245</v>
      </c>
      <c r="D11" s="153">
        <v>140</v>
      </c>
      <c r="E11" s="153"/>
      <c r="F11" s="153"/>
      <c r="G11" s="153">
        <v>40</v>
      </c>
      <c r="H11" s="153">
        <f>G11*D11</f>
        <v>5600</v>
      </c>
      <c r="K11" s="153">
        <v>1</v>
      </c>
      <c r="L11" s="153">
        <v>0</v>
      </c>
      <c r="P11" s="108" t="s">
        <v>176</v>
      </c>
      <c r="Q11" s="108">
        <f>H17+H16+H15+F14</f>
        <v>6650</v>
      </c>
      <c r="R11" s="106">
        <f t="shared" ref="R11:R24" si="0">S11/$E$5</f>
        <v>0.77614379084967322</v>
      </c>
      <c r="S11" s="108">
        <f t="shared" ref="S11:S24" si="1">Q11/($C$6-$C$5)/$H$6</f>
        <v>0.93137254901960786</v>
      </c>
      <c r="T11" s="108">
        <f>R11*3600/Room_01!H8</f>
        <v>12.418300653594772</v>
      </c>
      <c r="U11" s="108">
        <f t="shared" ref="U11:U24" si="2">R11*$H$4/$E$4</f>
        <v>554.38842203548086</v>
      </c>
      <c r="V11" s="108">
        <f t="shared" ref="V11:V24" si="3">S11*$H$6*($L$5-$L$4)</f>
        <v>9500</v>
      </c>
      <c r="W11" s="108">
        <f t="shared" ref="W11:W24" si="4">T11*$H$6*($L$6-$L$5)</f>
        <v>253333.33333333331</v>
      </c>
    </row>
    <row r="12" spans="1:23" x14ac:dyDescent="0.15">
      <c r="B12" s="187"/>
      <c r="C12" s="153" t="s">
        <v>268</v>
      </c>
      <c r="D12" s="153">
        <v>200</v>
      </c>
      <c r="E12" s="153"/>
      <c r="F12" s="153"/>
      <c r="G12" s="153"/>
      <c r="H12" s="153">
        <f>D12</f>
        <v>200</v>
      </c>
      <c r="K12" s="153">
        <v>2</v>
      </c>
      <c r="L12" s="153">
        <v>0</v>
      </c>
      <c r="P12" s="108" t="s">
        <v>176</v>
      </c>
      <c r="Q12" s="108">
        <f>H21+H20+H19+F18</f>
        <v>6650</v>
      </c>
      <c r="R12" s="106">
        <f t="shared" si="0"/>
        <v>0.77614379084967322</v>
      </c>
      <c r="S12" s="108">
        <f t="shared" si="1"/>
        <v>0.93137254901960786</v>
      </c>
      <c r="T12" s="108">
        <f>R12*3600/Room_01!H9</f>
        <v>12.418300653594772</v>
      </c>
      <c r="U12" s="108">
        <f t="shared" si="2"/>
        <v>554.38842203548086</v>
      </c>
      <c r="V12" s="108">
        <f t="shared" si="3"/>
        <v>9500</v>
      </c>
      <c r="W12" s="108">
        <f t="shared" si="4"/>
        <v>253333.33333333331</v>
      </c>
    </row>
    <row r="13" spans="1:23" x14ac:dyDescent="0.15">
      <c r="B13" s="186"/>
      <c r="C13" s="153" t="s">
        <v>269</v>
      </c>
      <c r="D13" s="153">
        <v>100</v>
      </c>
      <c r="E13" s="153"/>
      <c r="F13" s="153"/>
      <c r="G13" s="153">
        <v>1</v>
      </c>
      <c r="H13" s="153">
        <f>D13*G13</f>
        <v>100</v>
      </c>
      <c r="K13" s="153">
        <v>3</v>
      </c>
      <c r="L13" s="153">
        <v>0</v>
      </c>
      <c r="P13" s="108" t="s">
        <v>177</v>
      </c>
      <c r="Q13" s="108">
        <f>F22+H23+H24+H25</f>
        <v>5050</v>
      </c>
      <c r="R13" s="106">
        <f t="shared" si="0"/>
        <v>0.58940242763772177</v>
      </c>
      <c r="S13" s="108">
        <f t="shared" si="1"/>
        <v>0.70728291316526615</v>
      </c>
      <c r="T13" s="108">
        <f>R13*3600/Room_01!H10</f>
        <v>9.4304388422035483</v>
      </c>
      <c r="U13" s="108">
        <f t="shared" si="2"/>
        <v>421.00173402694412</v>
      </c>
      <c r="V13" s="108">
        <f t="shared" si="3"/>
        <v>7214.2857142857147</v>
      </c>
      <c r="W13" s="108">
        <f t="shared" si="4"/>
        <v>192380.9523809524</v>
      </c>
    </row>
    <row r="14" spans="1:23" x14ac:dyDescent="0.15">
      <c r="B14" s="185" t="s">
        <v>176</v>
      </c>
      <c r="C14" s="153" t="s">
        <v>244</v>
      </c>
      <c r="D14" s="153">
        <v>10</v>
      </c>
      <c r="E14" s="153">
        <f>Room_01!$G$7</f>
        <v>75</v>
      </c>
      <c r="F14" s="153">
        <f>D14*E14</f>
        <v>750</v>
      </c>
      <c r="G14" s="153"/>
      <c r="H14" s="153"/>
      <c r="K14" s="153">
        <v>4</v>
      </c>
      <c r="L14" s="153">
        <v>0</v>
      </c>
      <c r="P14" s="108" t="s">
        <v>177</v>
      </c>
      <c r="Q14" s="108">
        <f>F26+H27+H28+H29</f>
        <v>5050</v>
      </c>
      <c r="R14" s="106">
        <f t="shared" si="0"/>
        <v>0.58940242763772177</v>
      </c>
      <c r="S14" s="108">
        <f t="shared" si="1"/>
        <v>0.70728291316526615</v>
      </c>
      <c r="T14" s="108">
        <f>R14*3600/Room_01!H11</f>
        <v>9.4304388422035483</v>
      </c>
      <c r="U14" s="108">
        <f t="shared" si="2"/>
        <v>421.00173402694412</v>
      </c>
      <c r="V14" s="108">
        <f t="shared" si="3"/>
        <v>7214.2857142857147</v>
      </c>
      <c r="W14" s="108">
        <f t="shared" si="4"/>
        <v>192380.9523809524</v>
      </c>
    </row>
    <row r="15" spans="1:23" x14ac:dyDescent="0.15">
      <c r="B15" s="187"/>
      <c r="C15" s="153" t="s">
        <v>245</v>
      </c>
      <c r="D15" s="153">
        <v>140</v>
      </c>
      <c r="E15" s="153"/>
      <c r="F15" s="153"/>
      <c r="G15" s="153">
        <v>40</v>
      </c>
      <c r="H15" s="153">
        <f>G15*D15</f>
        <v>5600</v>
      </c>
      <c r="K15" s="153">
        <v>5</v>
      </c>
      <c r="L15" s="153">
        <v>142.44999999999999</v>
      </c>
      <c r="P15" s="108" t="s">
        <v>180</v>
      </c>
      <c r="Q15" s="108">
        <f>F30+H31+H32+H33</f>
        <v>15731.388152791849</v>
      </c>
      <c r="R15" s="106">
        <f t="shared" si="0"/>
        <v>1.836063043042933</v>
      </c>
      <c r="S15" s="108">
        <f t="shared" si="1"/>
        <v>2.2032756516515195</v>
      </c>
      <c r="T15" s="108">
        <f>R15*3600/Room_01!H14</f>
        <v>15.392579904717969</v>
      </c>
      <c r="U15" s="108">
        <f t="shared" si="2"/>
        <v>1311.4736021735237</v>
      </c>
      <c r="V15" s="108">
        <f t="shared" si="3"/>
        <v>22473.411646845496</v>
      </c>
      <c r="W15" s="108">
        <f t="shared" si="4"/>
        <v>314008.63005624659</v>
      </c>
    </row>
    <row r="16" spans="1:23" x14ac:dyDescent="0.15">
      <c r="B16" s="187"/>
      <c r="C16" s="153" t="s">
        <v>268</v>
      </c>
      <c r="D16" s="153">
        <v>200</v>
      </c>
      <c r="E16" s="153"/>
      <c r="F16" s="153"/>
      <c r="G16" s="153"/>
      <c r="H16" s="153">
        <f>D16</f>
        <v>200</v>
      </c>
      <c r="K16" s="153">
        <v>6</v>
      </c>
      <c r="L16" s="153">
        <v>253.46</v>
      </c>
      <c r="P16" s="108" t="s">
        <v>181</v>
      </c>
      <c r="Q16" s="108">
        <f>F34+H35+H36+H37+F38</f>
        <v>5148.6758834739421</v>
      </c>
      <c r="R16" s="106">
        <f t="shared" si="0"/>
        <v>0.60091922076026405</v>
      </c>
      <c r="S16" s="108">
        <f t="shared" si="1"/>
        <v>0.72110306491231679</v>
      </c>
      <c r="T16" s="108">
        <f>R16*3600/Room_01!H14</f>
        <v>5.0377884119401317</v>
      </c>
      <c r="U16" s="108">
        <f t="shared" si="2"/>
        <v>429.22801482876002</v>
      </c>
      <c r="V16" s="108">
        <f t="shared" si="3"/>
        <v>7355.2512621056312</v>
      </c>
      <c r="W16" s="108">
        <f t="shared" si="4"/>
        <v>102770.8836035787</v>
      </c>
    </row>
    <row r="17" spans="2:27" x14ac:dyDescent="0.15">
      <c r="B17" s="186"/>
      <c r="C17" s="153" t="s">
        <v>269</v>
      </c>
      <c r="D17" s="153">
        <v>100</v>
      </c>
      <c r="E17" s="153"/>
      <c r="F17" s="153"/>
      <c r="G17" s="153">
        <v>1</v>
      </c>
      <c r="H17" s="153">
        <f>D17*G17</f>
        <v>100</v>
      </c>
      <c r="K17" s="153">
        <v>7</v>
      </c>
      <c r="L17" s="153">
        <v>340.45</v>
      </c>
      <c r="P17" s="108" t="s">
        <v>181</v>
      </c>
      <c r="Q17" s="108">
        <f>$Q$16</f>
        <v>5148.6758834739421</v>
      </c>
      <c r="R17" s="106">
        <f t="shared" si="0"/>
        <v>0.60091922076026405</v>
      </c>
      <c r="S17" s="108">
        <f t="shared" si="1"/>
        <v>0.72110306491231679</v>
      </c>
      <c r="T17" s="108">
        <f>R17*3600/Room_01!H15</f>
        <v>11.381862868711844</v>
      </c>
      <c r="U17" s="108">
        <f t="shared" si="2"/>
        <v>429.22801482876002</v>
      </c>
      <c r="V17" s="108">
        <f t="shared" si="3"/>
        <v>7355.2512621056312</v>
      </c>
      <c r="W17" s="108">
        <f t="shared" si="4"/>
        <v>232190.00252172162</v>
      </c>
    </row>
    <row r="18" spans="2:27" x14ac:dyDescent="0.15">
      <c r="B18" s="185" t="s">
        <v>176</v>
      </c>
      <c r="C18" s="153" t="s">
        <v>244</v>
      </c>
      <c r="D18" s="153">
        <v>10</v>
      </c>
      <c r="E18" s="153">
        <f>Room_01!$G$7</f>
        <v>75</v>
      </c>
      <c r="F18" s="153">
        <f>D18*E18</f>
        <v>750</v>
      </c>
      <c r="G18" s="153"/>
      <c r="H18" s="153"/>
      <c r="K18" s="153">
        <v>8</v>
      </c>
      <c r="L18" s="153">
        <v>376.93</v>
      </c>
      <c r="P18" s="108" t="s">
        <v>181</v>
      </c>
      <c r="Q18" s="108">
        <f t="shared" ref="Q18:Q21" si="5">$Q$16</f>
        <v>5148.6758834739421</v>
      </c>
      <c r="R18" s="106">
        <f t="shared" si="0"/>
        <v>0.60091922076026405</v>
      </c>
      <c r="S18" s="108">
        <f t="shared" si="1"/>
        <v>0.72110306491231679</v>
      </c>
      <c r="T18" s="108">
        <f>R18*3600/Room_01!H16</f>
        <v>11.381862868711844</v>
      </c>
      <c r="U18" s="108">
        <f t="shared" si="2"/>
        <v>429.22801482876002</v>
      </c>
      <c r="V18" s="108">
        <f t="shared" si="3"/>
        <v>7355.2512621056312</v>
      </c>
      <c r="W18" s="108">
        <f t="shared" si="4"/>
        <v>232190.00252172162</v>
      </c>
    </row>
    <row r="19" spans="2:27" x14ac:dyDescent="0.15">
      <c r="B19" s="187"/>
      <c r="C19" s="153" t="s">
        <v>245</v>
      </c>
      <c r="D19" s="153">
        <v>140</v>
      </c>
      <c r="E19" s="153"/>
      <c r="F19" s="153"/>
      <c r="G19" s="153">
        <v>40</v>
      </c>
      <c r="H19" s="153">
        <f>G19*D19</f>
        <v>5600</v>
      </c>
      <c r="K19" s="153">
        <v>9</v>
      </c>
      <c r="L19" s="153">
        <v>362.07</v>
      </c>
      <c r="P19" s="108" t="s">
        <v>181</v>
      </c>
      <c r="Q19" s="108">
        <f t="shared" si="5"/>
        <v>5148.6758834739421</v>
      </c>
      <c r="R19" s="106">
        <f t="shared" si="0"/>
        <v>0.60091922076026405</v>
      </c>
      <c r="S19" s="108">
        <f t="shared" si="1"/>
        <v>0.72110306491231679</v>
      </c>
      <c r="T19" s="108">
        <f>R19*3600/Room_01!H17</f>
        <v>11.381862868711844</v>
      </c>
      <c r="U19" s="108">
        <f t="shared" si="2"/>
        <v>429.22801482876002</v>
      </c>
      <c r="V19" s="108">
        <f t="shared" si="3"/>
        <v>7355.2512621056312</v>
      </c>
      <c r="W19" s="108">
        <f t="shared" si="4"/>
        <v>232190.00252172162</v>
      </c>
    </row>
    <row r="20" spans="2:27" x14ac:dyDescent="0.15">
      <c r="B20" s="187"/>
      <c r="C20" s="153" t="s">
        <v>268</v>
      </c>
      <c r="D20" s="153">
        <v>200</v>
      </c>
      <c r="E20" s="153"/>
      <c r="F20" s="153"/>
      <c r="G20" s="153"/>
      <c r="H20" s="153">
        <f>D20</f>
        <v>200</v>
      </c>
      <c r="K20" s="153">
        <v>10</v>
      </c>
      <c r="L20" s="153">
        <v>317.13</v>
      </c>
      <c r="P20" s="108" t="s">
        <v>181</v>
      </c>
      <c r="Q20" s="108">
        <f t="shared" si="5"/>
        <v>5148.6758834739421</v>
      </c>
      <c r="R20" s="106">
        <f t="shared" si="0"/>
        <v>0.60091922076026405</v>
      </c>
      <c r="S20" s="108">
        <f t="shared" si="1"/>
        <v>0.72110306491231679</v>
      </c>
      <c r="T20" s="108">
        <f>R20*3600/Room_01!H18</f>
        <v>11.381862868711844</v>
      </c>
      <c r="U20" s="108">
        <f t="shared" si="2"/>
        <v>429.22801482876002</v>
      </c>
      <c r="V20" s="108">
        <f t="shared" si="3"/>
        <v>7355.2512621056312</v>
      </c>
      <c r="W20" s="108">
        <f t="shared" si="4"/>
        <v>232190.00252172162</v>
      </c>
    </row>
    <row r="21" spans="2:27" x14ac:dyDescent="0.15">
      <c r="B21" s="186"/>
      <c r="C21" s="153" t="s">
        <v>269</v>
      </c>
      <c r="D21" s="153">
        <v>100</v>
      </c>
      <c r="E21" s="153"/>
      <c r="F21" s="153"/>
      <c r="G21" s="153"/>
      <c r="H21" s="153">
        <v>100</v>
      </c>
      <c r="K21" s="153">
        <v>11</v>
      </c>
      <c r="L21" s="153">
        <v>268.83999999999997</v>
      </c>
      <c r="P21" s="108" t="s">
        <v>181</v>
      </c>
      <c r="Q21" s="108">
        <f t="shared" si="5"/>
        <v>5148.6758834739421</v>
      </c>
      <c r="R21" s="106">
        <f t="shared" si="0"/>
        <v>0.60091922076026405</v>
      </c>
      <c r="S21" s="108">
        <f t="shared" si="1"/>
        <v>0.72110306491231679</v>
      </c>
      <c r="T21" s="108">
        <f>R21*3600/Room_01!H19</f>
        <v>11.381862868711844</v>
      </c>
      <c r="U21" s="108">
        <f t="shared" si="2"/>
        <v>429.22801482876002</v>
      </c>
      <c r="V21" s="108">
        <f t="shared" si="3"/>
        <v>7355.2512621056312</v>
      </c>
      <c r="W21" s="108">
        <f t="shared" si="4"/>
        <v>232190.00252172162</v>
      </c>
    </row>
    <row r="22" spans="2:27" x14ac:dyDescent="0.15">
      <c r="B22" s="153" t="s">
        <v>177</v>
      </c>
      <c r="C22" s="153" t="s">
        <v>244</v>
      </c>
      <c r="D22" s="153">
        <v>10</v>
      </c>
      <c r="E22" s="153">
        <f>Room_01!$G$10</f>
        <v>75</v>
      </c>
      <c r="F22" s="153">
        <f t="shared" ref="F22:F64" si="6">D22*E22</f>
        <v>750</v>
      </c>
      <c r="G22" s="153"/>
      <c r="H22" s="153"/>
      <c r="K22" s="153">
        <v>12</v>
      </c>
      <c r="L22" s="153">
        <v>205.96</v>
      </c>
      <c r="P22" s="108" t="s">
        <v>182</v>
      </c>
      <c r="Q22" s="108">
        <f>F64+H65+F66</f>
        <v>6181.3956550000003</v>
      </c>
      <c r="R22" s="106">
        <f t="shared" si="0"/>
        <v>0.72145140697945853</v>
      </c>
      <c r="S22" s="108">
        <f t="shared" si="1"/>
        <v>0.86574168837535015</v>
      </c>
      <c r="T22" s="108">
        <f>R22*3600/Room_01!H20</f>
        <v>13.66483330370184</v>
      </c>
      <c r="U22" s="108">
        <f t="shared" si="2"/>
        <v>515.3224335567561</v>
      </c>
      <c r="V22" s="108">
        <f t="shared" si="3"/>
        <v>8830.565221428571</v>
      </c>
      <c r="W22" s="108">
        <f t="shared" si="4"/>
        <v>278762.59939551755</v>
      </c>
    </row>
    <row r="23" spans="2:27" x14ac:dyDescent="0.15">
      <c r="B23" s="153"/>
      <c r="C23" s="153" t="s">
        <v>245</v>
      </c>
      <c r="D23" s="153">
        <v>140</v>
      </c>
      <c r="E23" s="153"/>
      <c r="F23" s="153"/>
      <c r="G23" s="153">
        <v>15</v>
      </c>
      <c r="H23" s="153">
        <f>D23*G23</f>
        <v>2100</v>
      </c>
      <c r="K23" s="153">
        <v>13</v>
      </c>
      <c r="L23" s="153">
        <v>130.22999999999999</v>
      </c>
      <c r="P23" s="108" t="s">
        <v>183</v>
      </c>
      <c r="Q23" s="108">
        <f>F67+F68+H69</f>
        <v>979.44175499999994</v>
      </c>
      <c r="R23" s="106">
        <f t="shared" si="0"/>
        <v>0.11431393032212886</v>
      </c>
      <c r="S23" s="108">
        <f t="shared" si="1"/>
        <v>0.13717671638655463</v>
      </c>
      <c r="T23" s="108">
        <f>R23*3600/Room_01!H21</f>
        <v>0.41333850511956199</v>
      </c>
      <c r="U23" s="108">
        <f t="shared" si="2"/>
        <v>81.652807372949184</v>
      </c>
      <c r="V23" s="108">
        <f t="shared" si="3"/>
        <v>1399.202507142857</v>
      </c>
      <c r="W23" s="108">
        <f t="shared" si="4"/>
        <v>8432.1055044390632</v>
      </c>
      <c r="X23" s="104" t="s">
        <v>270</v>
      </c>
      <c r="Y23" s="104">
        <f>U25/1000*200</f>
        <v>1456.8517275359011</v>
      </c>
      <c r="AA23" s="104" t="s">
        <v>223</v>
      </c>
    </row>
    <row r="24" spans="2:27" x14ac:dyDescent="0.15">
      <c r="B24" s="153"/>
      <c r="C24" s="153" t="s">
        <v>268</v>
      </c>
      <c r="D24" s="153">
        <v>200</v>
      </c>
      <c r="E24" s="153"/>
      <c r="F24" s="153"/>
      <c r="G24" s="153">
        <v>1</v>
      </c>
      <c r="H24" s="153">
        <f>G24*D24</f>
        <v>200</v>
      </c>
      <c r="K24" s="153">
        <v>14</v>
      </c>
      <c r="L24" s="153">
        <v>122.55</v>
      </c>
      <c r="P24" s="108" t="s">
        <v>271</v>
      </c>
      <c r="Q24" s="108">
        <f>F70+H71</f>
        <v>3541.8583470577037</v>
      </c>
      <c r="R24" s="106">
        <f t="shared" si="0"/>
        <v>0.41338216002074041</v>
      </c>
      <c r="S24" s="108">
        <f t="shared" si="1"/>
        <v>0.4960585920248885</v>
      </c>
      <c r="T24" s="108">
        <f>R24*3600/SUM(Room_01!H23:H25)</f>
        <v>2.1739236910324484</v>
      </c>
      <c r="U24" s="108">
        <f t="shared" si="2"/>
        <v>295.27297144338604</v>
      </c>
      <c r="V24" s="108">
        <f t="shared" si="3"/>
        <v>5059.7976386538621</v>
      </c>
      <c r="W24" s="108">
        <f t="shared" si="4"/>
        <v>44348.043297061951</v>
      </c>
      <c r="X24" s="104" t="s">
        <v>272</v>
      </c>
      <c r="Z24" s="104">
        <f>V25/3600000*200*8</f>
        <v>1412.8254378856145</v>
      </c>
      <c r="AA24" s="104" t="s">
        <v>223</v>
      </c>
    </row>
    <row r="25" spans="2:27" x14ac:dyDescent="0.15">
      <c r="B25" s="153"/>
      <c r="C25" s="153" t="s">
        <v>269</v>
      </c>
      <c r="D25" s="153">
        <v>100</v>
      </c>
      <c r="E25" s="153"/>
      <c r="F25" s="153"/>
      <c r="G25" s="153">
        <v>20</v>
      </c>
      <c r="H25" s="153">
        <f>D25*G25</f>
        <v>2000</v>
      </c>
      <c r="K25" s="153">
        <v>15</v>
      </c>
      <c r="L25" s="153">
        <v>112.18</v>
      </c>
      <c r="P25" s="108"/>
      <c r="Q25" s="108"/>
      <c r="R25" s="108"/>
      <c r="S25" s="108"/>
      <c r="T25" s="108" t="s">
        <v>273</v>
      </c>
      <c r="U25" s="108">
        <f>SUM(U10:U24)</f>
        <v>7284.2586376795061</v>
      </c>
      <c r="V25" s="108">
        <f>SUM(V10:W24)</f>
        <v>3178857.2352426327</v>
      </c>
      <c r="W25" s="108" t="s">
        <v>223</v>
      </c>
    </row>
    <row r="26" spans="2:27" x14ac:dyDescent="0.15">
      <c r="B26" s="153"/>
      <c r="C26" s="153" t="s">
        <v>244</v>
      </c>
      <c r="D26" s="153">
        <v>10</v>
      </c>
      <c r="E26" s="153">
        <f>Room_01!$G$10</f>
        <v>75</v>
      </c>
      <c r="F26" s="153">
        <f t="shared" ref="F26" si="7">D26*E26</f>
        <v>750</v>
      </c>
      <c r="G26" s="153"/>
      <c r="H26" s="153"/>
      <c r="K26" s="153">
        <v>16</v>
      </c>
      <c r="L26" s="153">
        <v>95.6</v>
      </c>
    </row>
    <row r="27" spans="2:27" x14ac:dyDescent="0.15">
      <c r="B27" s="153" t="s">
        <v>177</v>
      </c>
      <c r="C27" s="153" t="s">
        <v>245</v>
      </c>
      <c r="D27" s="153">
        <v>140</v>
      </c>
      <c r="E27" s="153"/>
      <c r="F27" s="153"/>
      <c r="G27" s="153">
        <v>15</v>
      </c>
      <c r="H27" s="153">
        <f>D27*G27</f>
        <v>2100</v>
      </c>
      <c r="K27" s="153">
        <v>17</v>
      </c>
      <c r="L27" s="153">
        <v>72.540000000000006</v>
      </c>
      <c r="P27" s="108"/>
      <c r="Q27" s="108" t="s">
        <v>260</v>
      </c>
      <c r="R27" s="108" t="s">
        <v>239</v>
      </c>
      <c r="S27" s="108" t="s">
        <v>240</v>
      </c>
      <c r="T27" s="108" t="s">
        <v>261</v>
      </c>
      <c r="U27" s="108" t="s">
        <v>274</v>
      </c>
      <c r="V27" s="108" t="s">
        <v>275</v>
      </c>
      <c r="W27" s="155" t="s">
        <v>308</v>
      </c>
      <c r="X27" s="108" t="s">
        <v>262</v>
      </c>
      <c r="Y27" s="108" t="s">
        <v>263</v>
      </c>
      <c r="Z27" s="108" t="s">
        <v>264</v>
      </c>
    </row>
    <row r="28" spans="2:27" x14ac:dyDescent="0.15">
      <c r="B28" s="153"/>
      <c r="C28" s="153" t="s">
        <v>268</v>
      </c>
      <c r="D28" s="153">
        <v>200</v>
      </c>
      <c r="E28" s="153"/>
      <c r="F28" s="153"/>
      <c r="G28" s="153"/>
      <c r="H28" s="153">
        <f>D28</f>
        <v>200</v>
      </c>
      <c r="K28" s="153">
        <v>18</v>
      </c>
      <c r="L28" s="153">
        <v>48.66</v>
      </c>
      <c r="P28" s="108"/>
      <c r="Q28" s="108" t="s">
        <v>47</v>
      </c>
      <c r="R28" s="108" t="s">
        <v>241</v>
      </c>
      <c r="S28" s="108" t="s">
        <v>242</v>
      </c>
      <c r="T28" s="108" t="s">
        <v>243</v>
      </c>
      <c r="U28" s="108"/>
      <c r="V28" s="108" t="s">
        <v>254</v>
      </c>
      <c r="W28" s="108" t="s">
        <v>254</v>
      </c>
      <c r="X28" s="108" t="s">
        <v>47</v>
      </c>
      <c r="Y28" s="108" t="s">
        <v>47</v>
      </c>
      <c r="Z28" s="108" t="s">
        <v>47</v>
      </c>
    </row>
    <row r="29" spans="2:27" x14ac:dyDescent="0.15">
      <c r="B29" s="153"/>
      <c r="C29" s="153" t="s">
        <v>269</v>
      </c>
      <c r="D29" s="153">
        <v>100</v>
      </c>
      <c r="E29" s="153"/>
      <c r="F29" s="153"/>
      <c r="G29" s="153">
        <v>20</v>
      </c>
      <c r="H29" s="153">
        <f>D29*G29</f>
        <v>2000</v>
      </c>
      <c r="K29" s="153">
        <v>19</v>
      </c>
      <c r="L29" s="153">
        <v>24.66</v>
      </c>
      <c r="P29" s="108" t="s">
        <v>177</v>
      </c>
      <c r="Q29" s="108">
        <f t="shared" ref="Q29:Q38" si="8">Q13</f>
        <v>5050</v>
      </c>
      <c r="R29" s="106">
        <f>T29*Room_01!H10/3600</f>
        <v>0.3125</v>
      </c>
      <c r="S29" s="108">
        <f>R29*$E$5</f>
        <v>0.375</v>
      </c>
      <c r="T29" s="108">
        <v>5</v>
      </c>
      <c r="U29" s="108">
        <f>'Ht Loss_house2 '!AA21</f>
        <v>39.870000000000005</v>
      </c>
      <c r="V29" s="108">
        <f>Q29/(U29+S29*$H$6)</f>
        <v>11.956341596230793</v>
      </c>
      <c r="W29" s="108">
        <f>V29+$E$6</f>
        <v>29.956341596230793</v>
      </c>
      <c r="X29" s="108">
        <f>R29*$H$4/$E$4</f>
        <v>223.21428571428572</v>
      </c>
      <c r="Y29" s="108">
        <f>S29*$H$6*($L$5-$L$4)</f>
        <v>3825</v>
      </c>
      <c r="Z29" s="108">
        <f>S29*$H$6*($L$6-$L$5)</f>
        <v>7650</v>
      </c>
    </row>
    <row r="30" spans="2:27" x14ac:dyDescent="0.15">
      <c r="B30" s="153"/>
      <c r="C30" s="153" t="s">
        <v>244</v>
      </c>
      <c r="D30" s="153">
        <v>10</v>
      </c>
      <c r="E30" s="153">
        <f>Room_01!$G$14</f>
        <v>143.13881527918494</v>
      </c>
      <c r="F30" s="153">
        <f t="shared" si="6"/>
        <v>1431.3881527918493</v>
      </c>
      <c r="G30" s="153"/>
      <c r="H30" s="153"/>
      <c r="K30" s="153">
        <v>20</v>
      </c>
      <c r="L30" s="153">
        <v>6.55</v>
      </c>
      <c r="P30" s="108" t="s">
        <v>177</v>
      </c>
      <c r="Q30" s="108">
        <f t="shared" si="8"/>
        <v>5050</v>
      </c>
      <c r="R30" s="106">
        <f>T30*Room_01!H11/3600</f>
        <v>0.3125</v>
      </c>
      <c r="S30" s="108">
        <f t="shared" ref="S30:S43" si="9">R30*$E$5</f>
        <v>0.375</v>
      </c>
      <c r="T30" s="108">
        <v>5</v>
      </c>
      <c r="U30" s="108">
        <f>'Ht Loss_house2 '!AA22</f>
        <v>42.57</v>
      </c>
      <c r="V30" s="108">
        <f t="shared" ref="V30:V43" si="10">Q30/(U30+S30*$H$6)</f>
        <v>11.880396170042582</v>
      </c>
      <c r="W30" s="108">
        <f t="shared" ref="W30:W43" si="11">V30+$E$6</f>
        <v>29.88039617004258</v>
      </c>
      <c r="X30" s="108">
        <f t="shared" ref="X30:X43" si="12">R30*$H$4/$E$4</f>
        <v>223.21428571428572</v>
      </c>
      <c r="Y30" s="108">
        <f t="shared" ref="Y30:Y43" si="13">S30*$H$6*($L$5-$L$4)</f>
        <v>3825</v>
      </c>
      <c r="Z30" s="108">
        <f t="shared" ref="Z30:Z43" si="14">S30*$H$6*($L$6-$L$5)</f>
        <v>7650</v>
      </c>
    </row>
    <row r="31" spans="2:27" x14ac:dyDescent="0.15">
      <c r="B31" s="153" t="s">
        <v>180</v>
      </c>
      <c r="C31" s="153" t="s">
        <v>245</v>
      </c>
      <c r="D31" s="153">
        <v>140</v>
      </c>
      <c r="E31" s="153"/>
      <c r="F31" s="153"/>
      <c r="G31" s="153">
        <v>100</v>
      </c>
      <c r="H31" s="153">
        <f>G31*D31</f>
        <v>14000</v>
      </c>
      <c r="K31" s="153">
        <v>21</v>
      </c>
      <c r="L31" s="153">
        <v>0</v>
      </c>
      <c r="P31" s="108" t="s">
        <v>180</v>
      </c>
      <c r="Q31" s="108">
        <f t="shared" si="8"/>
        <v>15731.388152791849</v>
      </c>
      <c r="R31" s="106">
        <f>T31*Room_01!H14/3600</f>
        <v>0.95425876852789959</v>
      </c>
      <c r="S31" s="108">
        <f t="shared" si="9"/>
        <v>1.1451105222334794</v>
      </c>
      <c r="T31" s="108">
        <v>8</v>
      </c>
      <c r="U31" s="108">
        <f>'Ht Loss_house2 '!AA25</f>
        <v>75.932466875633224</v>
      </c>
      <c r="V31" s="108">
        <f t="shared" si="10"/>
        <v>12.646367507535608</v>
      </c>
      <c r="W31" s="108">
        <f t="shared" si="11"/>
        <v>30.646367507535608</v>
      </c>
      <c r="X31" s="108">
        <f t="shared" si="12"/>
        <v>681.61340609135698</v>
      </c>
      <c r="Y31" s="108">
        <f t="shared" si="13"/>
        <v>11680.12732678149</v>
      </c>
      <c r="Z31" s="108">
        <f t="shared" si="14"/>
        <v>23360.254653562981</v>
      </c>
    </row>
    <row r="32" spans="2:27" x14ac:dyDescent="0.15">
      <c r="B32" s="153"/>
      <c r="C32" s="153" t="s">
        <v>268</v>
      </c>
      <c r="D32" s="153">
        <v>200</v>
      </c>
      <c r="E32" s="153"/>
      <c r="F32" s="153"/>
      <c r="G32" s="153"/>
      <c r="H32" s="153">
        <f>D32</f>
        <v>200</v>
      </c>
      <c r="K32" s="153">
        <v>22</v>
      </c>
      <c r="L32" s="153">
        <v>0</v>
      </c>
      <c r="P32" s="108" t="s">
        <v>181</v>
      </c>
      <c r="Q32" s="108">
        <f t="shared" si="8"/>
        <v>5148.6758834739421</v>
      </c>
      <c r="R32" s="106">
        <f>T32*Room_01!H15/3600</f>
        <v>0.36957346910979938</v>
      </c>
      <c r="S32" s="108">
        <f t="shared" si="9"/>
        <v>0.44348816293175924</v>
      </c>
      <c r="T32" s="108">
        <v>7</v>
      </c>
      <c r="U32" s="108">
        <f>'Ht Loss_house2 '!AA26</f>
        <v>59.507674240144738</v>
      </c>
      <c r="V32" s="108">
        <f t="shared" si="10"/>
        <v>10.058647971544287</v>
      </c>
      <c r="W32" s="108">
        <f t="shared" si="11"/>
        <v>28.058647971544289</v>
      </c>
      <c r="X32" s="108">
        <f t="shared" si="12"/>
        <v>263.98104936414239</v>
      </c>
      <c r="Y32" s="108">
        <f t="shared" si="13"/>
        <v>4523.5792619039439</v>
      </c>
      <c r="Z32" s="108">
        <f t="shared" si="14"/>
        <v>9047.1585238078878</v>
      </c>
    </row>
    <row r="33" spans="2:26" x14ac:dyDescent="0.15">
      <c r="B33" s="153"/>
      <c r="C33" s="153" t="s">
        <v>269</v>
      </c>
      <c r="D33" s="153">
        <v>100</v>
      </c>
      <c r="E33" s="153"/>
      <c r="F33" s="153"/>
      <c r="G33" s="153"/>
      <c r="H33" s="153">
        <f>D33</f>
        <v>100</v>
      </c>
      <c r="K33" s="153">
        <v>23</v>
      </c>
      <c r="L33" s="153">
        <v>0</v>
      </c>
      <c r="M33" s="161" t="s">
        <v>315</v>
      </c>
      <c r="P33" s="108" t="s">
        <v>181</v>
      </c>
      <c r="Q33" s="108">
        <f t="shared" si="8"/>
        <v>5148.6758834739421</v>
      </c>
      <c r="R33" s="106">
        <f>T33*Room_01!H16/3600</f>
        <v>0.36957346910979938</v>
      </c>
      <c r="S33" s="108">
        <f t="shared" si="9"/>
        <v>0.44348816293175924</v>
      </c>
      <c r="T33" s="108">
        <v>7</v>
      </c>
      <c r="U33" s="108">
        <f>'Ht Loss_house2 '!AA27</f>
        <v>59.507674240144738</v>
      </c>
      <c r="V33" s="108">
        <f t="shared" si="10"/>
        <v>10.058647971544287</v>
      </c>
      <c r="W33" s="108">
        <f t="shared" si="11"/>
        <v>28.058647971544289</v>
      </c>
      <c r="X33" s="108">
        <f t="shared" si="12"/>
        <v>263.98104936414239</v>
      </c>
      <c r="Y33" s="108">
        <f t="shared" si="13"/>
        <v>4523.5792619039439</v>
      </c>
      <c r="Z33" s="108">
        <f t="shared" si="14"/>
        <v>9047.1585238078878</v>
      </c>
    </row>
    <row r="34" spans="2:26" x14ac:dyDescent="0.15">
      <c r="B34" s="153"/>
      <c r="C34" s="153" t="s">
        <v>244</v>
      </c>
      <c r="D34" s="153">
        <v>10</v>
      </c>
      <c r="E34" s="153">
        <f>Room_01!$G$15</f>
        <v>63.355451847394171</v>
      </c>
      <c r="F34" s="153">
        <f t="shared" si="6"/>
        <v>633.5545184739417</v>
      </c>
      <c r="G34" s="153"/>
      <c r="H34" s="153"/>
      <c r="K34" s="153" t="s">
        <v>277</v>
      </c>
      <c r="L34" s="153">
        <f>SUM(L10:L33)/1000</f>
        <v>2.8802599999999998</v>
      </c>
      <c r="M34" s="161" t="s">
        <v>314</v>
      </c>
      <c r="P34" s="108" t="s">
        <v>181</v>
      </c>
      <c r="Q34" s="108">
        <f t="shared" si="8"/>
        <v>5148.6758834739421</v>
      </c>
      <c r="R34" s="106">
        <f>T34*Room_01!H17/3600</f>
        <v>0.31677725923697092</v>
      </c>
      <c r="S34" s="108">
        <f t="shared" si="9"/>
        <v>0.38013271108436508</v>
      </c>
      <c r="T34" s="108">
        <v>6</v>
      </c>
      <c r="U34" s="108">
        <f>'Ht Loss_house2 '!AA28</f>
        <v>59.507674240144738</v>
      </c>
      <c r="V34" s="108">
        <f t="shared" si="10"/>
        <v>11.512031330209489</v>
      </c>
      <c r="W34" s="108">
        <f t="shared" si="11"/>
        <v>29.512031330209489</v>
      </c>
      <c r="X34" s="108">
        <f t="shared" si="12"/>
        <v>226.26947088355067</v>
      </c>
      <c r="Y34" s="108">
        <f t="shared" si="13"/>
        <v>3877.3536530605234</v>
      </c>
      <c r="Z34" s="108">
        <f t="shared" si="14"/>
        <v>7754.7073061210467</v>
      </c>
    </row>
    <row r="35" spans="2:26" x14ac:dyDescent="0.15">
      <c r="B35" s="153" t="s">
        <v>181</v>
      </c>
      <c r="C35" s="153" t="s">
        <v>245</v>
      </c>
      <c r="D35" s="153">
        <v>140</v>
      </c>
      <c r="E35" s="153"/>
      <c r="F35" s="153"/>
      <c r="G35" s="153">
        <v>30</v>
      </c>
      <c r="H35" s="153">
        <f>G35*D35</f>
        <v>4200</v>
      </c>
      <c r="P35" s="108" t="s">
        <v>181</v>
      </c>
      <c r="Q35" s="108">
        <f t="shared" si="8"/>
        <v>5148.6758834739421</v>
      </c>
      <c r="R35" s="106">
        <f>T35*Room_01!H18/3600</f>
        <v>0.31677725923697092</v>
      </c>
      <c r="S35" s="108">
        <f t="shared" si="9"/>
        <v>0.38013271108436508</v>
      </c>
      <c r="T35" s="108">
        <v>6</v>
      </c>
      <c r="U35" s="108">
        <f>'Ht Loss_house2 '!AA29</f>
        <v>59.507674240144738</v>
      </c>
      <c r="V35" s="108">
        <f t="shared" si="10"/>
        <v>11.512031330209489</v>
      </c>
      <c r="W35" s="108">
        <f t="shared" si="11"/>
        <v>29.512031330209489</v>
      </c>
      <c r="X35" s="108">
        <f t="shared" si="12"/>
        <v>226.26947088355067</v>
      </c>
      <c r="Y35" s="108">
        <f t="shared" si="13"/>
        <v>3877.3536530605234</v>
      </c>
      <c r="Z35" s="108">
        <f t="shared" si="14"/>
        <v>7754.7073061210467</v>
      </c>
    </row>
    <row r="36" spans="2:26" x14ac:dyDescent="0.15">
      <c r="B36" s="153"/>
      <c r="C36" s="153" t="s">
        <v>268</v>
      </c>
      <c r="D36" s="153">
        <v>200</v>
      </c>
      <c r="E36" s="153"/>
      <c r="F36" s="153"/>
      <c r="G36" s="153"/>
      <c r="H36" s="153">
        <f>D36</f>
        <v>200</v>
      </c>
      <c r="P36" s="108" t="s">
        <v>181</v>
      </c>
      <c r="Q36" s="108">
        <f t="shared" si="8"/>
        <v>5148.6758834739421</v>
      </c>
      <c r="R36" s="106">
        <f>T36*Room_01!H19/3600</f>
        <v>0.31677725923697092</v>
      </c>
      <c r="S36" s="108">
        <f t="shared" si="9"/>
        <v>0.38013271108436508</v>
      </c>
      <c r="T36" s="108">
        <v>6</v>
      </c>
      <c r="U36" s="108">
        <f>'Ht Loss_house2 '!AA30</f>
        <v>59.507674240144738</v>
      </c>
      <c r="V36" s="108">
        <f t="shared" si="10"/>
        <v>11.512031330209489</v>
      </c>
      <c r="W36" s="108">
        <f t="shared" si="11"/>
        <v>29.512031330209489</v>
      </c>
      <c r="X36" s="108">
        <f t="shared" si="12"/>
        <v>226.26947088355067</v>
      </c>
      <c r="Y36" s="108">
        <f t="shared" si="13"/>
        <v>3877.3536530605234</v>
      </c>
      <c r="Z36" s="108">
        <f t="shared" si="14"/>
        <v>7754.7073061210467</v>
      </c>
    </row>
    <row r="37" spans="2:26" x14ac:dyDescent="0.15">
      <c r="B37" s="153"/>
      <c r="C37" s="153" t="s">
        <v>269</v>
      </c>
      <c r="D37" s="153">
        <v>100</v>
      </c>
      <c r="E37" s="153"/>
      <c r="F37" s="153"/>
      <c r="G37" s="153"/>
      <c r="H37" s="153">
        <f>D37</f>
        <v>100</v>
      </c>
      <c r="P37" s="108" t="s">
        <v>181</v>
      </c>
      <c r="Q37" s="108">
        <f t="shared" si="8"/>
        <v>5148.6758834739421</v>
      </c>
      <c r="R37" s="106">
        <f>T37*Room_01!H20/3600</f>
        <v>0.31677725923697092</v>
      </c>
      <c r="S37" s="108">
        <f t="shared" si="9"/>
        <v>0.38013271108436508</v>
      </c>
      <c r="T37" s="108">
        <v>6</v>
      </c>
      <c r="U37" s="108">
        <f>'Ht Loss_house2 '!AA31</f>
        <v>59.507674240144738</v>
      </c>
      <c r="V37" s="108">
        <f t="shared" si="10"/>
        <v>11.512031330209489</v>
      </c>
      <c r="W37" s="108">
        <f t="shared" si="11"/>
        <v>29.512031330209489</v>
      </c>
      <c r="X37" s="108">
        <f t="shared" si="12"/>
        <v>226.26947088355067</v>
      </c>
      <c r="Y37" s="108">
        <f t="shared" si="13"/>
        <v>3877.3536530605234</v>
      </c>
      <c r="Z37" s="108">
        <f t="shared" si="14"/>
        <v>7754.7073061210467</v>
      </c>
    </row>
    <row r="38" spans="2:26" x14ac:dyDescent="0.15">
      <c r="B38" s="153"/>
      <c r="C38" s="164" t="s">
        <v>307</v>
      </c>
      <c r="D38" s="153">
        <f>$H$5*$L$34</f>
        <v>0.8640779999999999</v>
      </c>
      <c r="E38" s="153">
        <f>[1]Heatloss1!$D$26*[1]Heatloss1!$E$26</f>
        <v>17.5</v>
      </c>
      <c r="F38" s="153">
        <f>D38*E38</f>
        <v>15.121364999999999</v>
      </c>
      <c r="G38" s="153"/>
      <c r="H38" s="153"/>
      <c r="P38" s="108" t="s">
        <v>182</v>
      </c>
      <c r="Q38" s="108">
        <f t="shared" si="8"/>
        <v>6181.3956550000003</v>
      </c>
      <c r="R38" s="106">
        <f>T38*Room_01!H21/3600</f>
        <v>0.27656249999999999</v>
      </c>
      <c r="S38" s="108">
        <f t="shared" si="9"/>
        <v>0.33187499999999998</v>
      </c>
      <c r="T38" s="108">
        <v>1</v>
      </c>
      <c r="U38" s="108">
        <f>'Ht Loss_house2 '!AA32</f>
        <v>294.45175</v>
      </c>
      <c r="V38" s="108">
        <f t="shared" si="10"/>
        <v>9.7657895449861503</v>
      </c>
      <c r="W38" s="108">
        <f t="shared" si="11"/>
        <v>27.765789544986148</v>
      </c>
      <c r="X38" s="108">
        <f t="shared" si="12"/>
        <v>197.54464285714286</v>
      </c>
      <c r="Y38" s="108">
        <f t="shared" si="13"/>
        <v>3385.125</v>
      </c>
      <c r="Z38" s="108">
        <f t="shared" si="14"/>
        <v>6770.25</v>
      </c>
    </row>
    <row r="39" spans="2:26" x14ac:dyDescent="0.15">
      <c r="B39" s="153"/>
      <c r="C39" s="153" t="s">
        <v>244</v>
      </c>
      <c r="D39" s="153">
        <v>10</v>
      </c>
      <c r="E39" s="153">
        <f>Room_01!$G$15</f>
        <v>63.355451847394171</v>
      </c>
      <c r="F39" s="153">
        <f t="shared" ref="F39" si="15">D39*E39</f>
        <v>633.5545184739417</v>
      </c>
      <c r="G39" s="153"/>
      <c r="H39" s="153"/>
      <c r="P39" s="108" t="s">
        <v>176</v>
      </c>
      <c r="Q39" s="108">
        <f>Q10</f>
        <v>6650</v>
      </c>
      <c r="R39" s="106">
        <f>T39*Room_01!H7/3600</f>
        <v>0.4375</v>
      </c>
      <c r="S39" s="108">
        <f t="shared" si="9"/>
        <v>0.52500000000000002</v>
      </c>
      <c r="T39" s="108">
        <v>7</v>
      </c>
      <c r="U39" s="108">
        <f>'Ht Loss_house2 '!AA18</f>
        <v>45.449999999999996</v>
      </c>
      <c r="V39" s="108">
        <f t="shared" si="10"/>
        <v>11.446768224459936</v>
      </c>
      <c r="W39" s="108">
        <f t="shared" si="11"/>
        <v>29.446768224459937</v>
      </c>
      <c r="X39" s="108">
        <f t="shared" si="12"/>
        <v>312.5</v>
      </c>
      <c r="Y39" s="108">
        <f t="shared" si="13"/>
        <v>5355</v>
      </c>
      <c r="Z39" s="108">
        <f t="shared" si="14"/>
        <v>10710</v>
      </c>
    </row>
    <row r="40" spans="2:26" x14ac:dyDescent="0.15">
      <c r="B40" s="153" t="s">
        <v>181</v>
      </c>
      <c r="C40" s="153" t="s">
        <v>245</v>
      </c>
      <c r="D40" s="153">
        <v>140</v>
      </c>
      <c r="E40" s="153"/>
      <c r="F40" s="153"/>
      <c r="G40" s="153">
        <v>30</v>
      </c>
      <c r="H40" s="153">
        <f>G40*D40</f>
        <v>4200</v>
      </c>
      <c r="P40" s="108" t="s">
        <v>176</v>
      </c>
      <c r="Q40" s="108">
        <f>Q39</f>
        <v>6650</v>
      </c>
      <c r="R40" s="106">
        <f>T40*Room_01!H8/3600</f>
        <v>0.4375</v>
      </c>
      <c r="S40" s="108">
        <f t="shared" si="9"/>
        <v>0.52500000000000002</v>
      </c>
      <c r="T40" s="108">
        <v>7</v>
      </c>
      <c r="U40" s="108">
        <f>'Ht Loss_house2 '!AA19</f>
        <v>42.75</v>
      </c>
      <c r="V40" s="108">
        <f t="shared" si="10"/>
        <v>11.50021616947687</v>
      </c>
      <c r="W40" s="108">
        <f t="shared" si="11"/>
        <v>29.500216169476872</v>
      </c>
      <c r="X40" s="108">
        <f t="shared" si="12"/>
        <v>312.5</v>
      </c>
      <c r="Y40" s="108">
        <f t="shared" si="13"/>
        <v>5355</v>
      </c>
      <c r="Z40" s="108">
        <f t="shared" si="14"/>
        <v>10710</v>
      </c>
    </row>
    <row r="41" spans="2:26" x14ac:dyDescent="0.15">
      <c r="B41" s="153"/>
      <c r="C41" s="153" t="s">
        <v>268</v>
      </c>
      <c r="D41" s="153">
        <v>200</v>
      </c>
      <c r="E41" s="153"/>
      <c r="F41" s="153"/>
      <c r="G41" s="153"/>
      <c r="H41" s="153">
        <f>D41</f>
        <v>200</v>
      </c>
      <c r="P41" s="108" t="s">
        <v>176</v>
      </c>
      <c r="Q41" s="108">
        <f>Q40</f>
        <v>6650</v>
      </c>
      <c r="R41" s="106">
        <f>T41*Room_01!H9/3600</f>
        <v>0.375</v>
      </c>
      <c r="S41" s="108">
        <f t="shared" si="9"/>
        <v>0.44999999999999996</v>
      </c>
      <c r="T41" s="108">
        <v>6</v>
      </c>
      <c r="U41" s="108">
        <f>'Ht Loss_house2 '!AA20</f>
        <v>42.75</v>
      </c>
      <c r="V41" s="108">
        <f t="shared" si="10"/>
        <v>13.253612356751372</v>
      </c>
      <c r="W41" s="108">
        <f t="shared" si="11"/>
        <v>31.253612356751372</v>
      </c>
      <c r="X41" s="108">
        <f t="shared" si="12"/>
        <v>267.85714285714289</v>
      </c>
      <c r="Y41" s="108">
        <f t="shared" si="13"/>
        <v>4589.9999999999991</v>
      </c>
      <c r="Z41" s="108">
        <f t="shared" si="14"/>
        <v>9179.9999999999982</v>
      </c>
    </row>
    <row r="42" spans="2:26" x14ac:dyDescent="0.15">
      <c r="B42" s="153"/>
      <c r="C42" s="153" t="s">
        <v>269</v>
      </c>
      <c r="D42" s="153">
        <v>100</v>
      </c>
      <c r="E42" s="153"/>
      <c r="F42" s="153"/>
      <c r="G42" s="153"/>
      <c r="H42" s="153">
        <f>D42</f>
        <v>100</v>
      </c>
      <c r="P42" s="108" t="s">
        <v>183</v>
      </c>
      <c r="Q42" s="108">
        <f>Q23</f>
        <v>979.44175499999994</v>
      </c>
      <c r="R42" s="106">
        <f>T42*Room_01!H22/3600</f>
        <v>5.6666666666666664E-2</v>
      </c>
      <c r="S42" s="108">
        <f t="shared" si="9"/>
        <v>6.7999999999999991E-2</v>
      </c>
      <c r="T42" s="108">
        <v>1</v>
      </c>
      <c r="U42" s="108">
        <f>'Ht Loss_house2 '!AA33</f>
        <v>71.550000000000011</v>
      </c>
      <c r="V42" s="108">
        <f t="shared" si="10"/>
        <v>6.9508321268895035</v>
      </c>
      <c r="W42" s="108">
        <f t="shared" si="11"/>
        <v>24.950832126889502</v>
      </c>
      <c r="X42" s="108">
        <f t="shared" si="12"/>
        <v>40.476190476190474</v>
      </c>
      <c r="Y42" s="108">
        <f t="shared" si="13"/>
        <v>693.59999999999991</v>
      </c>
      <c r="Z42" s="108">
        <f t="shared" si="14"/>
        <v>1387.1999999999998</v>
      </c>
    </row>
    <row r="43" spans="2:26" x14ac:dyDescent="0.15">
      <c r="B43" s="153"/>
      <c r="C43" s="153" t="s">
        <v>278</v>
      </c>
      <c r="D43" s="153">
        <f>$H$5*$L$34</f>
        <v>0.8640779999999999</v>
      </c>
      <c r="E43" s="153">
        <f>[1]Heatloss1!$D$26*[1]Heatloss1!$E$26</f>
        <v>17.5</v>
      </c>
      <c r="F43" s="153">
        <f>D43*E43</f>
        <v>15.121364999999999</v>
      </c>
      <c r="G43" s="153"/>
      <c r="H43" s="153"/>
      <c r="P43" s="108" t="s">
        <v>271</v>
      </c>
      <c r="Q43" s="108">
        <f>Q24</f>
        <v>3541.8583470577037</v>
      </c>
      <c r="R43" s="106">
        <f>T43*SUM(Room_01!H23:H25)/3600</f>
        <v>0.19015486225480863</v>
      </c>
      <c r="S43" s="108">
        <f t="shared" si="9"/>
        <v>0.22818583470577034</v>
      </c>
      <c r="T43" s="108">
        <v>1</v>
      </c>
      <c r="U43" s="108">
        <f>SUM('Ht Loss_house2 '!AA34:AA36)</f>
        <v>100.22575041173111</v>
      </c>
      <c r="V43" s="108">
        <f t="shared" si="10"/>
        <v>10.637000185261593</v>
      </c>
      <c r="W43" s="108">
        <f t="shared" si="11"/>
        <v>28.637000185261591</v>
      </c>
      <c r="X43" s="108">
        <f t="shared" si="12"/>
        <v>135.8249016105776</v>
      </c>
      <c r="Y43" s="108">
        <f t="shared" si="13"/>
        <v>2327.4955139988574</v>
      </c>
      <c r="Z43" s="108">
        <f t="shared" si="14"/>
        <v>4654.9910279977148</v>
      </c>
    </row>
    <row r="44" spans="2:26" x14ac:dyDescent="0.15">
      <c r="B44" s="153"/>
      <c r="C44" s="153" t="s">
        <v>244</v>
      </c>
      <c r="D44" s="153">
        <v>10</v>
      </c>
      <c r="E44" s="153">
        <f>Room_01!$G$15</f>
        <v>63.355451847394171</v>
      </c>
      <c r="F44" s="153">
        <f t="shared" ref="F44" si="16">D44*E44</f>
        <v>633.5545184739417</v>
      </c>
      <c r="G44" s="153"/>
      <c r="H44" s="153"/>
      <c r="P44" s="108"/>
      <c r="Q44" s="108"/>
      <c r="R44" s="108"/>
      <c r="S44" s="108"/>
      <c r="T44" s="108"/>
      <c r="U44" s="108"/>
      <c r="V44" s="108"/>
      <c r="W44" s="108" t="s">
        <v>273</v>
      </c>
      <c r="X44" s="108">
        <f>SUM(X29:X43)</f>
        <v>3827.7848375834687</v>
      </c>
      <c r="Y44" s="108">
        <f>SUM(Y29:Z43)</f>
        <v>196778.76293049101</v>
      </c>
      <c r="Z44" s="108" t="s">
        <v>223</v>
      </c>
    </row>
    <row r="45" spans="2:26" x14ac:dyDescent="0.15">
      <c r="B45" s="153" t="s">
        <v>181</v>
      </c>
      <c r="C45" s="153" t="s">
        <v>245</v>
      </c>
      <c r="D45" s="153">
        <v>140</v>
      </c>
      <c r="E45" s="153"/>
      <c r="F45" s="153"/>
      <c r="G45" s="153">
        <v>30</v>
      </c>
      <c r="H45" s="153">
        <f>G45*D45</f>
        <v>4200</v>
      </c>
      <c r="P45" s="108"/>
      <c r="Q45" s="108"/>
      <c r="R45" s="108"/>
      <c r="S45" s="108"/>
      <c r="T45" s="108"/>
      <c r="U45" s="108"/>
      <c r="V45" s="108"/>
      <c r="W45" s="108" t="s">
        <v>270</v>
      </c>
      <c r="X45" s="108">
        <f>X44/1000*200</f>
        <v>765.5569675166937</v>
      </c>
      <c r="Y45" s="108"/>
      <c r="Z45" s="108" t="s">
        <v>223</v>
      </c>
    </row>
    <row r="46" spans="2:26" x14ac:dyDescent="0.15">
      <c r="B46" s="153"/>
      <c r="C46" s="153" t="s">
        <v>268</v>
      </c>
      <c r="D46" s="153">
        <v>200</v>
      </c>
      <c r="E46" s="153"/>
      <c r="F46" s="153"/>
      <c r="G46" s="153"/>
      <c r="H46" s="153">
        <f>D46</f>
        <v>200</v>
      </c>
      <c r="P46" s="108"/>
      <c r="Q46" s="108"/>
      <c r="R46" s="108"/>
      <c r="S46" s="108"/>
      <c r="T46" s="108"/>
      <c r="U46" s="108"/>
      <c r="V46" s="108"/>
      <c r="W46" s="108" t="s">
        <v>272</v>
      </c>
      <c r="X46" s="108"/>
      <c r="Y46" s="108">
        <f>Y44/3600000*200*8</f>
        <v>87.457227969107109</v>
      </c>
      <c r="Z46" s="108" t="s">
        <v>223</v>
      </c>
    </row>
    <row r="47" spans="2:26" x14ac:dyDescent="0.15">
      <c r="B47" s="153"/>
      <c r="C47" s="153" t="s">
        <v>269</v>
      </c>
      <c r="D47" s="153">
        <v>100</v>
      </c>
      <c r="E47" s="153"/>
      <c r="F47" s="153"/>
      <c r="G47" s="153"/>
      <c r="H47" s="153">
        <f>D47</f>
        <v>100</v>
      </c>
    </row>
    <row r="48" spans="2:26" x14ac:dyDescent="0.15">
      <c r="B48" s="153"/>
      <c r="C48" s="153" t="s">
        <v>278</v>
      </c>
      <c r="D48" s="153">
        <f>$H$5*$L$34</f>
        <v>0.8640779999999999</v>
      </c>
      <c r="E48" s="153">
        <f>[1]Heatloss1!$D$26*[1]Heatloss1!$E$26</f>
        <v>17.5</v>
      </c>
      <c r="F48" s="153">
        <f>D48*E48</f>
        <v>15.121364999999999</v>
      </c>
      <c r="G48" s="153"/>
      <c r="H48" s="153"/>
    </row>
    <row r="49" spans="2:8" x14ac:dyDescent="0.15">
      <c r="B49" s="153"/>
      <c r="C49" s="153" t="s">
        <v>244</v>
      </c>
      <c r="D49" s="153">
        <v>10</v>
      </c>
      <c r="E49" s="153">
        <f>Room_01!$G$15</f>
        <v>63.355451847394171</v>
      </c>
      <c r="F49" s="153">
        <f t="shared" ref="F49" si="17">D49*E49</f>
        <v>633.5545184739417</v>
      </c>
      <c r="G49" s="153"/>
      <c r="H49" s="153"/>
    </row>
    <row r="50" spans="2:8" x14ac:dyDescent="0.15">
      <c r="B50" s="153" t="s">
        <v>181</v>
      </c>
      <c r="C50" s="153" t="s">
        <v>245</v>
      </c>
      <c r="D50" s="153">
        <v>140</v>
      </c>
      <c r="E50" s="153"/>
      <c r="F50" s="153"/>
      <c r="G50" s="153">
        <v>30</v>
      </c>
      <c r="H50" s="153">
        <f>G50*D50</f>
        <v>4200</v>
      </c>
    </row>
    <row r="51" spans="2:8" x14ac:dyDescent="0.15">
      <c r="B51" s="153"/>
      <c r="C51" s="153" t="s">
        <v>268</v>
      </c>
      <c r="D51" s="153">
        <v>200</v>
      </c>
      <c r="E51" s="153"/>
      <c r="F51" s="153"/>
      <c r="G51" s="153"/>
      <c r="H51" s="153">
        <f>D51</f>
        <v>200</v>
      </c>
    </row>
    <row r="52" spans="2:8" x14ac:dyDescent="0.15">
      <c r="B52" s="153"/>
      <c r="C52" s="153" t="s">
        <v>269</v>
      </c>
      <c r="D52" s="153">
        <v>100</v>
      </c>
      <c r="E52" s="153"/>
      <c r="F52" s="153"/>
      <c r="G52" s="153"/>
      <c r="H52" s="153">
        <f>D52</f>
        <v>100</v>
      </c>
    </row>
    <row r="53" spans="2:8" x14ac:dyDescent="0.15">
      <c r="B53" s="153"/>
      <c r="C53" s="153" t="s">
        <v>278</v>
      </c>
      <c r="D53" s="153">
        <f>$H$5*$L$34</f>
        <v>0.8640779999999999</v>
      </c>
      <c r="E53" s="153">
        <f>[1]Heatloss1!$D$26*[1]Heatloss1!$E$26</f>
        <v>17.5</v>
      </c>
      <c r="F53" s="153">
        <f>D53*E53</f>
        <v>15.121364999999999</v>
      </c>
      <c r="G53" s="153"/>
      <c r="H53" s="153"/>
    </row>
    <row r="54" spans="2:8" x14ac:dyDescent="0.15">
      <c r="B54" s="153"/>
      <c r="C54" s="153" t="s">
        <v>244</v>
      </c>
      <c r="D54" s="153">
        <v>10</v>
      </c>
      <c r="E54" s="153">
        <f>Room_01!$G$15</f>
        <v>63.355451847394171</v>
      </c>
      <c r="F54" s="153">
        <f t="shared" ref="F54" si="18">D54*E54</f>
        <v>633.5545184739417</v>
      </c>
      <c r="G54" s="153"/>
      <c r="H54" s="153"/>
    </row>
    <row r="55" spans="2:8" x14ac:dyDescent="0.15">
      <c r="B55" s="153" t="s">
        <v>181</v>
      </c>
      <c r="C55" s="153" t="s">
        <v>245</v>
      </c>
      <c r="D55" s="153">
        <v>140</v>
      </c>
      <c r="E55" s="153"/>
      <c r="F55" s="153"/>
      <c r="G55" s="153">
        <v>30</v>
      </c>
      <c r="H55" s="153">
        <f>G55*D55</f>
        <v>4200</v>
      </c>
    </row>
    <row r="56" spans="2:8" x14ac:dyDescent="0.15">
      <c r="B56" s="153"/>
      <c r="C56" s="153" t="s">
        <v>268</v>
      </c>
      <c r="D56" s="153">
        <v>200</v>
      </c>
      <c r="E56" s="153"/>
      <c r="F56" s="153"/>
      <c r="G56" s="153"/>
      <c r="H56" s="153">
        <f>D56</f>
        <v>200</v>
      </c>
    </row>
    <row r="57" spans="2:8" x14ac:dyDescent="0.15">
      <c r="B57" s="153"/>
      <c r="C57" s="153" t="s">
        <v>269</v>
      </c>
      <c r="D57" s="153">
        <v>100</v>
      </c>
      <c r="E57" s="153"/>
      <c r="F57" s="153"/>
      <c r="G57" s="153"/>
      <c r="H57" s="153">
        <f>D57</f>
        <v>100</v>
      </c>
    </row>
    <row r="58" spans="2:8" x14ac:dyDescent="0.15">
      <c r="B58" s="153"/>
      <c r="C58" s="153" t="s">
        <v>278</v>
      </c>
      <c r="D58" s="153">
        <f>$H$5*$L$34</f>
        <v>0.8640779999999999</v>
      </c>
      <c r="E58" s="153">
        <f>[1]Heatloss1!$D$26*[1]Heatloss1!$E$26</f>
        <v>17.5</v>
      </c>
      <c r="F58" s="153">
        <f>D58*E58</f>
        <v>15.121364999999999</v>
      </c>
      <c r="G58" s="153"/>
      <c r="H58" s="153"/>
    </row>
    <row r="59" spans="2:8" x14ac:dyDescent="0.15">
      <c r="B59" s="153"/>
      <c r="C59" s="153" t="s">
        <v>244</v>
      </c>
      <c r="D59" s="153">
        <v>10</v>
      </c>
      <c r="E59" s="153">
        <f>Room_01!$G$15</f>
        <v>63.355451847394171</v>
      </c>
      <c r="F59" s="153">
        <f t="shared" ref="F59" si="19">D59*E59</f>
        <v>633.5545184739417</v>
      </c>
      <c r="G59" s="153"/>
      <c r="H59" s="153"/>
    </row>
    <row r="60" spans="2:8" x14ac:dyDescent="0.15">
      <c r="B60" s="153" t="s">
        <v>181</v>
      </c>
      <c r="C60" s="153" t="s">
        <v>245</v>
      </c>
      <c r="D60" s="153">
        <v>140</v>
      </c>
      <c r="E60" s="153"/>
      <c r="F60" s="153"/>
      <c r="G60" s="153">
        <v>30</v>
      </c>
      <c r="H60" s="153">
        <f>G60*D60</f>
        <v>4200</v>
      </c>
    </row>
    <row r="61" spans="2:8" x14ac:dyDescent="0.15">
      <c r="B61" s="153"/>
      <c r="C61" s="153" t="s">
        <v>268</v>
      </c>
      <c r="D61" s="153">
        <v>200</v>
      </c>
      <c r="E61" s="153"/>
      <c r="F61" s="153"/>
      <c r="G61" s="153"/>
      <c r="H61" s="153">
        <f>D61</f>
        <v>200</v>
      </c>
    </row>
    <row r="62" spans="2:8" x14ac:dyDescent="0.15">
      <c r="B62" s="153"/>
      <c r="C62" s="153" t="s">
        <v>269</v>
      </c>
      <c r="D62" s="153">
        <v>150</v>
      </c>
      <c r="E62" s="153"/>
      <c r="F62" s="153"/>
      <c r="G62" s="153"/>
      <c r="H62" s="153">
        <f>D62</f>
        <v>150</v>
      </c>
    </row>
    <row r="63" spans="2:8" x14ac:dyDescent="0.15">
      <c r="B63" s="153"/>
      <c r="C63" s="153" t="s">
        <v>278</v>
      </c>
      <c r="D63" s="153">
        <f>$H$5*$L$34</f>
        <v>0.8640779999999999</v>
      </c>
      <c r="E63" s="153">
        <f>[1]Heatloss1!$D$26*[1]Heatloss1!$E$26</f>
        <v>17.5</v>
      </c>
      <c r="F63" s="153">
        <f>D63*E63</f>
        <v>15.121364999999999</v>
      </c>
      <c r="G63" s="153"/>
      <c r="H63" s="153"/>
    </row>
    <row r="64" spans="2:8" x14ac:dyDescent="0.15">
      <c r="B64" s="153"/>
      <c r="C64" s="153" t="s">
        <v>244</v>
      </c>
      <c r="D64" s="153">
        <v>10</v>
      </c>
      <c r="E64" s="153">
        <f>Room_01!$G$21</f>
        <v>331.875</v>
      </c>
      <c r="F64" s="153">
        <f t="shared" si="6"/>
        <v>3318.75</v>
      </c>
      <c r="G64" s="153"/>
      <c r="H64" s="153"/>
    </row>
    <row r="65" spans="2:22" x14ac:dyDescent="0.15">
      <c r="B65" s="153" t="s">
        <v>182</v>
      </c>
      <c r="C65" s="153" t="s">
        <v>245</v>
      </c>
      <c r="D65" s="153">
        <v>140</v>
      </c>
      <c r="E65" s="153"/>
      <c r="F65" s="153"/>
      <c r="G65" s="153">
        <v>20</v>
      </c>
      <c r="H65" s="153">
        <f>D65*G65</f>
        <v>2800</v>
      </c>
    </row>
    <row r="66" spans="2:22" x14ac:dyDescent="0.15">
      <c r="B66" s="153"/>
      <c r="C66" s="153" t="s">
        <v>278</v>
      </c>
      <c r="D66" s="153">
        <f>$H$5*$L$34</f>
        <v>0.8640779999999999</v>
      </c>
      <c r="E66" s="153">
        <f>[1]Heatloss1!D32*[1]Heatloss1!E32</f>
        <v>72.5</v>
      </c>
      <c r="F66" s="153">
        <f>D66*E66</f>
        <v>62.645654999999991</v>
      </c>
      <c r="G66" s="153"/>
      <c r="H66" s="153"/>
    </row>
    <row r="67" spans="2:22" x14ac:dyDescent="0.15">
      <c r="B67" s="185" t="s">
        <v>183</v>
      </c>
      <c r="C67" s="153" t="s">
        <v>278</v>
      </c>
      <c r="D67" s="153">
        <f>$H$5*$L$34</f>
        <v>0.8640779999999999</v>
      </c>
      <c r="E67" s="153">
        <f>[1]Heatloss1!D33*[1]Heatloss1!E33</f>
        <v>22.5</v>
      </c>
      <c r="F67" s="153">
        <f>D67*E67</f>
        <v>19.441754999999997</v>
      </c>
      <c r="G67" s="153"/>
      <c r="H67" s="153"/>
    </row>
    <row r="68" spans="2:22" x14ac:dyDescent="0.15">
      <c r="B68" s="187"/>
      <c r="C68" s="153" t="s">
        <v>244</v>
      </c>
      <c r="D68" s="153">
        <v>10</v>
      </c>
      <c r="E68" s="153">
        <f>Room_01!$G$22</f>
        <v>68</v>
      </c>
      <c r="F68" s="153">
        <f t="shared" ref="F68" si="20">D68*E68</f>
        <v>680</v>
      </c>
      <c r="G68" s="153"/>
      <c r="H68" s="153"/>
    </row>
    <row r="69" spans="2:22" x14ac:dyDescent="0.15">
      <c r="B69" s="186"/>
      <c r="C69" s="153" t="s">
        <v>245</v>
      </c>
      <c r="D69" s="153">
        <v>140</v>
      </c>
      <c r="E69" s="153"/>
      <c r="F69" s="153"/>
      <c r="G69" s="153">
        <v>2</v>
      </c>
      <c r="H69" s="153">
        <f>G69*D69</f>
        <v>280</v>
      </c>
    </row>
    <row r="70" spans="2:22" x14ac:dyDescent="0.15">
      <c r="B70" s="185" t="s">
        <v>271</v>
      </c>
      <c r="C70" s="153" t="s">
        <v>244</v>
      </c>
      <c r="D70" s="153">
        <v>10</v>
      </c>
      <c r="E70" s="153">
        <f>SUM(Room_01!G23:G25)</f>
        <v>228.18583470577036</v>
      </c>
      <c r="F70" s="153">
        <f t="shared" ref="F70" si="21">D70*E70</f>
        <v>2281.8583470577037</v>
      </c>
      <c r="G70" s="153"/>
      <c r="H70" s="153"/>
    </row>
    <row r="71" spans="2:22" x14ac:dyDescent="0.15">
      <c r="B71" s="186"/>
      <c r="C71" s="153" t="s">
        <v>245</v>
      </c>
      <c r="D71" s="153">
        <v>140</v>
      </c>
      <c r="E71" s="153"/>
      <c r="F71" s="153"/>
      <c r="G71" s="153">
        <v>9</v>
      </c>
      <c r="H71" s="153">
        <f>G71*D71</f>
        <v>1260</v>
      </c>
    </row>
    <row r="72" spans="2:22" x14ac:dyDescent="0.15">
      <c r="B72" s="153"/>
      <c r="C72" s="153"/>
      <c r="D72" s="153"/>
      <c r="E72" s="153" t="s">
        <v>28</v>
      </c>
      <c r="F72" s="153">
        <f>SUM(F10:F70)</f>
        <v>15436.139210693203</v>
      </c>
      <c r="G72" s="153" t="s">
        <v>47</v>
      </c>
      <c r="H72" s="153">
        <f>SUM(H11:H71)</f>
        <v>71990</v>
      </c>
    </row>
    <row r="73" spans="2:22" x14ac:dyDescent="0.15">
      <c r="V73" s="104" t="s">
        <v>246</v>
      </c>
    </row>
    <row r="74" spans="2:22" x14ac:dyDescent="0.15">
      <c r="E74" s="162" t="s">
        <v>305</v>
      </c>
      <c r="F74" s="105">
        <f>SUM(F72+H72)</f>
        <v>87426.139210693203</v>
      </c>
    </row>
  </sheetData>
  <mergeCells count="5">
    <mergeCell ref="B70:B71"/>
    <mergeCell ref="B10:B13"/>
    <mergeCell ref="B14:B17"/>
    <mergeCell ref="B18:B21"/>
    <mergeCell ref="B67:B69"/>
  </mergeCells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30D1C-F7B4-8949-B88F-D75C4A1509FC}">
  <dimension ref="A1:AA79"/>
  <sheetViews>
    <sheetView tabSelected="1" workbookViewId="0">
      <selection activeCell="W42" sqref="W42:W43"/>
    </sheetView>
  </sheetViews>
  <sheetFormatPr baseColWidth="10" defaultRowHeight="13" x14ac:dyDescent="0.15"/>
  <cols>
    <col min="1" max="1" width="8" style="160" customWidth="1"/>
    <col min="2" max="2" width="18.5" style="160" customWidth="1"/>
    <col min="3" max="10" width="10.83203125" style="160"/>
    <col min="11" max="11" width="11" style="160" bestFit="1" customWidth="1"/>
    <col min="12" max="12" width="20.5" style="160" customWidth="1"/>
    <col min="13" max="15" width="10.83203125" style="160"/>
    <col min="16" max="16" width="16.1640625" style="160" customWidth="1"/>
    <col min="17" max="21" width="11" style="160" bestFit="1" customWidth="1"/>
    <col min="22" max="22" width="12" style="160" bestFit="1" customWidth="1"/>
    <col min="23" max="23" width="11" style="160" bestFit="1" customWidth="1"/>
    <col min="24" max="24" width="13.6640625" style="160" customWidth="1"/>
    <col min="25" max="26" width="11" style="160" bestFit="1" customWidth="1"/>
    <col min="27" max="16384" width="10.83203125" style="160"/>
  </cols>
  <sheetData>
    <row r="1" spans="1:23" x14ac:dyDescent="0.15">
      <c r="A1" s="105" t="s">
        <v>230</v>
      </c>
      <c r="B1" s="161" t="s">
        <v>320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</row>
    <row r="2" spans="1:23" x14ac:dyDescent="0.15">
      <c r="A2" s="161" t="s">
        <v>298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</row>
    <row r="3" spans="1:23" x14ac:dyDescent="0.15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</row>
    <row r="4" spans="1:23" x14ac:dyDescent="0.15">
      <c r="A4" s="105"/>
      <c r="B4" s="106"/>
      <c r="C4" s="106" t="s">
        <v>247</v>
      </c>
      <c r="D4" s="106" t="s">
        <v>248</v>
      </c>
      <c r="E4" s="106">
        <v>0.7</v>
      </c>
      <c r="F4" s="106"/>
      <c r="G4" s="106" t="s">
        <v>249</v>
      </c>
      <c r="H4" s="106">
        <v>500</v>
      </c>
      <c r="I4" s="106" t="s">
        <v>250</v>
      </c>
      <c r="J4" s="106"/>
      <c r="K4" s="106" t="s">
        <v>251</v>
      </c>
      <c r="L4" s="106">
        <v>0</v>
      </c>
      <c r="M4" s="153" t="s">
        <v>254</v>
      </c>
      <c r="N4" s="105"/>
      <c r="O4" s="105"/>
      <c r="P4" s="105"/>
      <c r="Q4" s="105"/>
      <c r="R4" s="105"/>
      <c r="S4" s="105"/>
      <c r="T4" s="105"/>
      <c r="U4" s="105"/>
      <c r="V4" s="105"/>
      <c r="W4" s="105"/>
    </row>
    <row r="5" spans="1:23" x14ac:dyDescent="0.15">
      <c r="A5" s="105"/>
      <c r="B5" s="106" t="s">
        <v>234</v>
      </c>
      <c r="C5" s="106">
        <v>15</v>
      </c>
      <c r="D5" s="163" t="s">
        <v>306</v>
      </c>
      <c r="E5" s="106">
        <v>1.2</v>
      </c>
      <c r="F5" s="106" t="s">
        <v>252</v>
      </c>
      <c r="G5" s="106" t="s">
        <v>221</v>
      </c>
      <c r="H5" s="106">
        <v>0.6</v>
      </c>
      <c r="I5" s="106"/>
      <c r="J5" s="106"/>
      <c r="K5" s="106" t="s">
        <v>253</v>
      </c>
      <c r="L5" s="106">
        <v>10</v>
      </c>
      <c r="M5" s="153" t="s">
        <v>254</v>
      </c>
      <c r="N5" s="105"/>
      <c r="O5" s="105"/>
      <c r="P5" s="105"/>
      <c r="Q5" s="105"/>
      <c r="R5" s="105"/>
      <c r="S5" s="105"/>
      <c r="T5" s="105"/>
      <c r="U5" s="105"/>
      <c r="V5" s="105"/>
      <c r="W5" s="105"/>
    </row>
    <row r="6" spans="1:23" x14ac:dyDescent="0.15">
      <c r="A6" s="105"/>
      <c r="B6" s="106" t="s">
        <v>68</v>
      </c>
      <c r="C6" s="106">
        <v>22</v>
      </c>
      <c r="D6" s="106" t="s">
        <v>119</v>
      </c>
      <c r="E6" s="106">
        <v>20</v>
      </c>
      <c r="F6" s="106" t="s">
        <v>254</v>
      </c>
      <c r="G6" s="106" t="s">
        <v>255</v>
      </c>
      <c r="H6" s="106">
        <v>1020</v>
      </c>
      <c r="I6" s="106" t="s">
        <v>256</v>
      </c>
      <c r="J6" s="106"/>
      <c r="K6" s="106" t="s">
        <v>257</v>
      </c>
      <c r="L6" s="106">
        <v>30</v>
      </c>
      <c r="M6" s="153" t="s">
        <v>254</v>
      </c>
      <c r="N6" s="105"/>
      <c r="O6" s="105"/>
      <c r="P6" s="105"/>
      <c r="Q6" s="105"/>
      <c r="R6" s="105"/>
      <c r="S6" s="105"/>
      <c r="T6" s="105"/>
      <c r="U6" s="105"/>
      <c r="V6" s="105"/>
      <c r="W6" s="105"/>
    </row>
    <row r="7" spans="1:23" x14ac:dyDescent="0.15">
      <c r="A7" s="105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</row>
    <row r="8" spans="1:23" x14ac:dyDescent="0.15">
      <c r="A8" s="105"/>
      <c r="B8" s="106" t="s">
        <v>68</v>
      </c>
      <c r="C8" s="106" t="s">
        <v>235</v>
      </c>
      <c r="D8" s="106" t="s">
        <v>236</v>
      </c>
      <c r="E8" s="106" t="s">
        <v>153</v>
      </c>
      <c r="F8" s="106" t="s">
        <v>237</v>
      </c>
      <c r="G8" s="106" t="s">
        <v>258</v>
      </c>
      <c r="H8" s="106" t="s">
        <v>238</v>
      </c>
      <c r="I8" s="105"/>
      <c r="J8" s="105"/>
      <c r="K8" s="109" t="s">
        <v>259</v>
      </c>
      <c r="L8" s="109"/>
      <c r="M8" s="105"/>
      <c r="N8" s="105"/>
      <c r="O8" s="105"/>
      <c r="P8" s="106"/>
      <c r="Q8" s="106" t="s">
        <v>260</v>
      </c>
      <c r="R8" s="106" t="s">
        <v>239</v>
      </c>
      <c r="S8" s="106" t="s">
        <v>240</v>
      </c>
      <c r="T8" s="106" t="s">
        <v>261</v>
      </c>
      <c r="U8" s="106" t="s">
        <v>262</v>
      </c>
      <c r="V8" s="106" t="s">
        <v>263</v>
      </c>
      <c r="W8" s="106" t="s">
        <v>264</v>
      </c>
    </row>
    <row r="9" spans="1:23" x14ac:dyDescent="0.15">
      <c r="A9" s="105"/>
      <c r="B9" s="106"/>
      <c r="C9" s="106"/>
      <c r="D9" s="106" t="s">
        <v>88</v>
      </c>
      <c r="E9" s="106" t="s">
        <v>149</v>
      </c>
      <c r="F9" s="106" t="s">
        <v>87</v>
      </c>
      <c r="G9" s="106" t="s">
        <v>265</v>
      </c>
      <c r="H9" s="106" t="s">
        <v>87</v>
      </c>
      <c r="I9" s="105"/>
      <c r="J9" s="105"/>
      <c r="K9" s="106" t="s">
        <v>266</v>
      </c>
      <c r="L9" s="106" t="s">
        <v>267</v>
      </c>
      <c r="M9" s="105"/>
      <c r="N9" s="105"/>
      <c r="O9" s="105"/>
      <c r="P9" s="106"/>
      <c r="Q9" s="106" t="s">
        <v>47</v>
      </c>
      <c r="R9" s="106" t="s">
        <v>241</v>
      </c>
      <c r="S9" s="106" t="s">
        <v>242</v>
      </c>
      <c r="T9" s="106" t="s">
        <v>243</v>
      </c>
      <c r="U9" s="106" t="s">
        <v>47</v>
      </c>
      <c r="V9" s="106" t="s">
        <v>47</v>
      </c>
      <c r="W9" s="106" t="s">
        <v>47</v>
      </c>
    </row>
    <row r="10" spans="1:23" x14ac:dyDescent="0.15">
      <c r="A10" s="105"/>
      <c r="B10" s="106"/>
      <c r="C10" s="106" t="s">
        <v>244</v>
      </c>
      <c r="D10" s="106">
        <v>10</v>
      </c>
      <c r="E10" s="106">
        <f>Room_01!$G$7</f>
        <v>75</v>
      </c>
      <c r="F10" s="106">
        <f>D10*E10</f>
        <v>750</v>
      </c>
      <c r="G10" s="106"/>
      <c r="H10" s="106"/>
      <c r="I10" s="105"/>
      <c r="J10" s="105"/>
      <c r="K10" s="107">
        <v>0</v>
      </c>
      <c r="L10" s="106">
        <v>0</v>
      </c>
      <c r="M10" s="105"/>
      <c r="N10" s="105"/>
      <c r="O10" s="105"/>
      <c r="P10" s="154" t="s">
        <v>176</v>
      </c>
      <c r="Q10" s="106">
        <f>H12+H13+F10+H11</f>
        <v>6650</v>
      </c>
      <c r="R10" s="106">
        <f>S10/$E$5</f>
        <v>0.77614379084967322</v>
      </c>
      <c r="S10" s="106">
        <f>Q10/($C$6-$C$5)/$H$6</f>
        <v>0.93137254901960786</v>
      </c>
      <c r="T10" s="106">
        <f>R10*3600/Room_01!H7</f>
        <v>12.418300653594772</v>
      </c>
      <c r="U10" s="106">
        <f>R10*$H$4/$E$4</f>
        <v>554.38842203548086</v>
      </c>
      <c r="V10" s="106">
        <f>S10*$H$6*($L$5-$L$4)</f>
        <v>9500</v>
      </c>
      <c r="W10" s="106">
        <f>T10*$H$6*($L$6-$L$5)</f>
        <v>253333.33333333331</v>
      </c>
    </row>
    <row r="11" spans="1:23" x14ac:dyDescent="0.15">
      <c r="A11" s="105"/>
      <c r="B11" s="106"/>
      <c r="C11" s="106" t="s">
        <v>245</v>
      </c>
      <c r="D11" s="106">
        <v>140</v>
      </c>
      <c r="E11" s="106"/>
      <c r="F11" s="106"/>
      <c r="G11" s="106">
        <v>40</v>
      </c>
      <c r="H11" s="106">
        <f>G11*D11</f>
        <v>5600</v>
      </c>
      <c r="I11" s="105"/>
      <c r="J11" s="105"/>
      <c r="K11" s="107">
        <v>1</v>
      </c>
      <c r="L11" s="106">
        <v>0</v>
      </c>
      <c r="M11" s="105"/>
      <c r="N11" s="105"/>
      <c r="O11" s="105"/>
      <c r="P11" s="154" t="s">
        <v>176</v>
      </c>
      <c r="Q11" s="106">
        <f>H17+H16+H15+F14</f>
        <v>6650</v>
      </c>
      <c r="R11" s="106">
        <f t="shared" ref="R11:R24" si="0">S11/$E$5</f>
        <v>0.77614379084967322</v>
      </c>
      <c r="S11" s="106">
        <f t="shared" ref="S11:S24" si="1">Q11/($C$6-$C$5)/$H$6</f>
        <v>0.93137254901960786</v>
      </c>
      <c r="T11" s="106">
        <f>R11*3600/Room_01!H8</f>
        <v>12.418300653594772</v>
      </c>
      <c r="U11" s="106">
        <f t="shared" ref="U11:U24" si="2">R11*$H$4/$E$4</f>
        <v>554.38842203548086</v>
      </c>
      <c r="V11" s="106">
        <f t="shared" ref="V11:V24" si="3">S11*$H$6*($L$5-$L$4)</f>
        <v>9500</v>
      </c>
      <c r="W11" s="106">
        <f t="shared" ref="W11:W24" si="4">T11*$H$6*($L$6-$L$5)</f>
        <v>253333.33333333331</v>
      </c>
    </row>
    <row r="12" spans="1:23" x14ac:dyDescent="0.15">
      <c r="A12" s="105"/>
      <c r="B12" s="106" t="s">
        <v>176</v>
      </c>
      <c r="C12" s="106" t="s">
        <v>268</v>
      </c>
      <c r="D12" s="106">
        <v>200</v>
      </c>
      <c r="E12" s="106"/>
      <c r="F12" s="106"/>
      <c r="G12" s="106"/>
      <c r="H12" s="106">
        <f>D12</f>
        <v>200</v>
      </c>
      <c r="I12" s="105"/>
      <c r="J12" s="105"/>
      <c r="K12" s="107">
        <v>2</v>
      </c>
      <c r="L12" s="106">
        <v>0</v>
      </c>
      <c r="M12" s="105"/>
      <c r="N12" s="105"/>
      <c r="O12" s="105"/>
      <c r="P12" s="154" t="s">
        <v>176</v>
      </c>
      <c r="Q12" s="106">
        <f>H21+H20+H19+F18</f>
        <v>6650</v>
      </c>
      <c r="R12" s="106">
        <f t="shared" si="0"/>
        <v>0.77614379084967322</v>
      </c>
      <c r="S12" s="106">
        <f t="shared" si="1"/>
        <v>0.93137254901960786</v>
      </c>
      <c r="T12" s="106">
        <f>R12*3600/Room_01!H9</f>
        <v>12.418300653594772</v>
      </c>
      <c r="U12" s="106">
        <f t="shared" si="2"/>
        <v>554.38842203548086</v>
      </c>
      <c r="V12" s="106">
        <f t="shared" si="3"/>
        <v>9500</v>
      </c>
      <c r="W12" s="106">
        <f t="shared" si="4"/>
        <v>253333.33333333331</v>
      </c>
    </row>
    <row r="13" spans="1:23" x14ac:dyDescent="0.15">
      <c r="A13" s="105"/>
      <c r="B13" s="106"/>
      <c r="C13" s="106" t="s">
        <v>269</v>
      </c>
      <c r="D13" s="106">
        <v>100</v>
      </c>
      <c r="E13" s="106"/>
      <c r="F13" s="106"/>
      <c r="G13" s="106">
        <v>1</v>
      </c>
      <c r="H13" s="106">
        <f>D13*G13</f>
        <v>100</v>
      </c>
      <c r="I13" s="105"/>
      <c r="J13" s="105"/>
      <c r="K13" s="107">
        <v>3</v>
      </c>
      <c r="L13" s="106">
        <v>0</v>
      </c>
      <c r="M13" s="105"/>
      <c r="N13" s="105"/>
      <c r="O13" s="105"/>
      <c r="P13" s="154" t="s">
        <v>177</v>
      </c>
      <c r="Q13" s="106">
        <f>F22+H23+H24+H25</f>
        <v>5050</v>
      </c>
      <c r="R13" s="106">
        <f t="shared" si="0"/>
        <v>0.58940242763772177</v>
      </c>
      <c r="S13" s="106">
        <f t="shared" si="1"/>
        <v>0.70728291316526615</v>
      </c>
      <c r="T13" s="106">
        <f>R13*3600/Room_01!H10</f>
        <v>9.4304388422035483</v>
      </c>
      <c r="U13" s="106">
        <f t="shared" si="2"/>
        <v>421.00173402694412</v>
      </c>
      <c r="V13" s="106">
        <f t="shared" si="3"/>
        <v>7214.2857142857147</v>
      </c>
      <c r="W13" s="106">
        <f t="shared" si="4"/>
        <v>192380.9523809524</v>
      </c>
    </row>
    <row r="14" spans="1:23" x14ac:dyDescent="0.15">
      <c r="A14" s="105"/>
      <c r="B14" s="106"/>
      <c r="C14" s="106" t="s">
        <v>244</v>
      </c>
      <c r="D14" s="106">
        <v>10</v>
      </c>
      <c r="E14" s="106">
        <f>Room_01!$G$7</f>
        <v>75</v>
      </c>
      <c r="F14" s="106">
        <f>D14*E14</f>
        <v>750</v>
      </c>
      <c r="G14" s="106"/>
      <c r="H14" s="106"/>
      <c r="I14" s="105"/>
      <c r="J14" s="105"/>
      <c r="K14" s="107">
        <v>4</v>
      </c>
      <c r="L14" s="106">
        <v>0</v>
      </c>
      <c r="M14" s="105"/>
      <c r="N14" s="105"/>
      <c r="O14" s="105"/>
      <c r="P14" s="154" t="s">
        <v>177</v>
      </c>
      <c r="Q14" s="106">
        <f>F26+H27+H28+H29</f>
        <v>5050</v>
      </c>
      <c r="R14" s="106">
        <f t="shared" si="0"/>
        <v>0.58940242763772177</v>
      </c>
      <c r="S14" s="106">
        <f t="shared" si="1"/>
        <v>0.70728291316526615</v>
      </c>
      <c r="T14" s="106">
        <f>R14*3600/Room_01!H11</f>
        <v>9.4304388422035483</v>
      </c>
      <c r="U14" s="106">
        <f t="shared" si="2"/>
        <v>421.00173402694412</v>
      </c>
      <c r="V14" s="106">
        <f t="shared" si="3"/>
        <v>7214.2857142857147</v>
      </c>
      <c r="W14" s="106">
        <f t="shared" si="4"/>
        <v>192380.9523809524</v>
      </c>
    </row>
    <row r="15" spans="1:23" x14ac:dyDescent="0.15">
      <c r="A15" s="105"/>
      <c r="B15" s="106"/>
      <c r="C15" s="106" t="s">
        <v>245</v>
      </c>
      <c r="D15" s="106">
        <v>140</v>
      </c>
      <c r="E15" s="106"/>
      <c r="F15" s="106"/>
      <c r="G15" s="106">
        <v>40</v>
      </c>
      <c r="H15" s="106">
        <f>G15*D15</f>
        <v>5600</v>
      </c>
      <c r="I15" s="105"/>
      <c r="J15" s="105"/>
      <c r="K15" s="107">
        <v>5</v>
      </c>
      <c r="L15" s="106">
        <v>142.44999999999999</v>
      </c>
      <c r="M15" s="105"/>
      <c r="N15" s="105"/>
      <c r="O15" s="105"/>
      <c r="P15" s="154" t="s">
        <v>180</v>
      </c>
      <c r="Q15" s="106">
        <f>F30+H31+H32+H33</f>
        <v>15731.388152791849</v>
      </c>
      <c r="R15" s="106">
        <f t="shared" si="0"/>
        <v>1.836063043042933</v>
      </c>
      <c r="S15" s="106">
        <f t="shared" si="1"/>
        <v>2.2032756516515195</v>
      </c>
      <c r="T15" s="106">
        <f>R15*3600/Room_01!H14</f>
        <v>15.392579904717969</v>
      </c>
      <c r="U15" s="106">
        <f t="shared" si="2"/>
        <v>1311.4736021735237</v>
      </c>
      <c r="V15" s="106">
        <f t="shared" si="3"/>
        <v>22473.411646845496</v>
      </c>
      <c r="W15" s="106">
        <f t="shared" si="4"/>
        <v>314008.63005624659</v>
      </c>
    </row>
    <row r="16" spans="1:23" x14ac:dyDescent="0.15">
      <c r="A16" s="105"/>
      <c r="B16" s="106" t="s">
        <v>176</v>
      </c>
      <c r="C16" s="106" t="s">
        <v>268</v>
      </c>
      <c r="D16" s="106">
        <v>200</v>
      </c>
      <c r="E16" s="106"/>
      <c r="F16" s="106"/>
      <c r="G16" s="106"/>
      <c r="H16" s="106">
        <f>D16</f>
        <v>200</v>
      </c>
      <c r="I16" s="105"/>
      <c r="J16" s="105"/>
      <c r="K16" s="107">
        <v>6</v>
      </c>
      <c r="L16" s="106">
        <v>253.46</v>
      </c>
      <c r="M16" s="105"/>
      <c r="N16" s="105"/>
      <c r="O16" s="105"/>
      <c r="P16" s="154" t="s">
        <v>181</v>
      </c>
      <c r="Q16" s="106">
        <f>F34+H35+H36+H37+F38</f>
        <v>5163.7972484739421</v>
      </c>
      <c r="R16" s="106">
        <f t="shared" si="0"/>
        <v>0.60268408595634249</v>
      </c>
      <c r="S16" s="106">
        <f t="shared" si="1"/>
        <v>0.72322090314761101</v>
      </c>
      <c r="T16" s="106">
        <f>R16*3600/Room_01!H15</f>
        <v>11.415290745453934</v>
      </c>
      <c r="U16" s="106">
        <f t="shared" si="2"/>
        <v>430.48863282595897</v>
      </c>
      <c r="V16" s="106">
        <f t="shared" si="3"/>
        <v>7376.8532121056323</v>
      </c>
      <c r="W16" s="106">
        <f t="shared" si="4"/>
        <v>232871.93120726023</v>
      </c>
    </row>
    <row r="17" spans="2:27" x14ac:dyDescent="0.15">
      <c r="B17" s="106"/>
      <c r="C17" s="106" t="s">
        <v>269</v>
      </c>
      <c r="D17" s="106">
        <v>100</v>
      </c>
      <c r="E17" s="106"/>
      <c r="F17" s="106"/>
      <c r="G17" s="106">
        <v>1</v>
      </c>
      <c r="H17" s="106">
        <f>D17*G17</f>
        <v>100</v>
      </c>
      <c r="I17" s="105"/>
      <c r="J17" s="105"/>
      <c r="K17" s="107">
        <v>7</v>
      </c>
      <c r="L17" s="106">
        <v>340.45</v>
      </c>
      <c r="M17" s="105"/>
      <c r="N17" s="105"/>
      <c r="O17" s="105"/>
      <c r="P17" s="154" t="s">
        <v>181</v>
      </c>
      <c r="Q17" s="106">
        <f>$Q$16</f>
        <v>5163.7972484739421</v>
      </c>
      <c r="R17" s="106">
        <f t="shared" si="0"/>
        <v>0.60268408595634249</v>
      </c>
      <c r="S17" s="106">
        <f t="shared" si="1"/>
        <v>0.72322090314761101</v>
      </c>
      <c r="T17" s="106">
        <f>R17*3600/Room_01!H16</f>
        <v>11.415290745453934</v>
      </c>
      <c r="U17" s="106">
        <f t="shared" si="2"/>
        <v>430.48863282595897</v>
      </c>
      <c r="V17" s="106">
        <f t="shared" si="3"/>
        <v>7376.8532121056323</v>
      </c>
      <c r="W17" s="106">
        <f t="shared" si="4"/>
        <v>232871.93120726023</v>
      </c>
      <c r="X17" s="105"/>
      <c r="Y17" s="105"/>
      <c r="Z17" s="105"/>
      <c r="AA17" s="105"/>
    </row>
    <row r="18" spans="2:27" x14ac:dyDescent="0.15">
      <c r="B18" s="106"/>
      <c r="C18" s="106" t="s">
        <v>244</v>
      </c>
      <c r="D18" s="106">
        <v>10</v>
      </c>
      <c r="E18" s="106">
        <f>Room_01!$G$7</f>
        <v>75</v>
      </c>
      <c r="F18" s="106">
        <f>D18*E18</f>
        <v>750</v>
      </c>
      <c r="G18" s="106"/>
      <c r="H18" s="106"/>
      <c r="I18" s="105"/>
      <c r="J18" s="105"/>
      <c r="K18" s="107">
        <v>8</v>
      </c>
      <c r="L18" s="106">
        <v>376.93</v>
      </c>
      <c r="M18" s="105"/>
      <c r="N18" s="105"/>
      <c r="O18" s="105"/>
      <c r="P18" s="154" t="s">
        <v>181</v>
      </c>
      <c r="Q18" s="106">
        <f t="shared" ref="Q18:Q21" si="5">$Q$16</f>
        <v>5163.7972484739421</v>
      </c>
      <c r="R18" s="106">
        <f t="shared" si="0"/>
        <v>0.60268408595634249</v>
      </c>
      <c r="S18" s="106">
        <f t="shared" si="1"/>
        <v>0.72322090314761101</v>
      </c>
      <c r="T18" s="106">
        <f>R18*3600/Room_01!H17</f>
        <v>11.415290745453934</v>
      </c>
      <c r="U18" s="106">
        <f t="shared" si="2"/>
        <v>430.48863282595897</v>
      </c>
      <c r="V18" s="106">
        <f t="shared" si="3"/>
        <v>7376.8532121056323</v>
      </c>
      <c r="W18" s="106">
        <f t="shared" si="4"/>
        <v>232871.93120726023</v>
      </c>
      <c r="X18" s="105"/>
      <c r="Y18" s="105"/>
      <c r="Z18" s="105"/>
      <c r="AA18" s="105"/>
    </row>
    <row r="19" spans="2:27" x14ac:dyDescent="0.15">
      <c r="B19" s="106"/>
      <c r="C19" s="106" t="s">
        <v>245</v>
      </c>
      <c r="D19" s="106">
        <v>140</v>
      </c>
      <c r="E19" s="106"/>
      <c r="F19" s="106"/>
      <c r="G19" s="106">
        <v>40</v>
      </c>
      <c r="H19" s="106">
        <f>G19*D19</f>
        <v>5600</v>
      </c>
      <c r="I19" s="105"/>
      <c r="J19" s="105"/>
      <c r="K19" s="107">
        <v>9</v>
      </c>
      <c r="L19" s="106">
        <v>362.07</v>
      </c>
      <c r="M19" s="105"/>
      <c r="N19" s="105"/>
      <c r="O19" s="105"/>
      <c r="P19" s="154" t="s">
        <v>181</v>
      </c>
      <c r="Q19" s="106">
        <f t="shared" si="5"/>
        <v>5163.7972484739421</v>
      </c>
      <c r="R19" s="106">
        <f t="shared" si="0"/>
        <v>0.60268408595634249</v>
      </c>
      <c r="S19" s="106">
        <f t="shared" si="1"/>
        <v>0.72322090314761101</v>
      </c>
      <c r="T19" s="106">
        <f>R19*3600/Room_01!H18</f>
        <v>11.415290745453934</v>
      </c>
      <c r="U19" s="106">
        <f t="shared" si="2"/>
        <v>430.48863282595897</v>
      </c>
      <c r="V19" s="106">
        <f t="shared" si="3"/>
        <v>7376.8532121056323</v>
      </c>
      <c r="W19" s="106">
        <f t="shared" si="4"/>
        <v>232871.93120726023</v>
      </c>
      <c r="X19" s="105"/>
      <c r="Y19" s="105"/>
      <c r="Z19" s="105"/>
      <c r="AA19" s="105"/>
    </row>
    <row r="20" spans="2:27" x14ac:dyDescent="0.15">
      <c r="B20" s="106" t="s">
        <v>176</v>
      </c>
      <c r="C20" s="106" t="s">
        <v>268</v>
      </c>
      <c r="D20" s="106">
        <v>200</v>
      </c>
      <c r="E20" s="106"/>
      <c r="F20" s="106"/>
      <c r="G20" s="106"/>
      <c r="H20" s="106">
        <f>D20</f>
        <v>200</v>
      </c>
      <c r="I20" s="105"/>
      <c r="J20" s="105"/>
      <c r="K20" s="107">
        <v>10</v>
      </c>
      <c r="L20" s="106">
        <v>317.13</v>
      </c>
      <c r="M20" s="105"/>
      <c r="N20" s="105"/>
      <c r="O20" s="105"/>
      <c r="P20" s="154" t="s">
        <v>181</v>
      </c>
      <c r="Q20" s="106">
        <f t="shared" si="5"/>
        <v>5163.7972484739421</v>
      </c>
      <c r="R20" s="106">
        <f t="shared" si="0"/>
        <v>0.60268408595634249</v>
      </c>
      <c r="S20" s="106">
        <f t="shared" si="1"/>
        <v>0.72322090314761101</v>
      </c>
      <c r="T20" s="106">
        <f>R20*3600/Room_01!H19</f>
        <v>11.415290745453934</v>
      </c>
      <c r="U20" s="106">
        <f t="shared" si="2"/>
        <v>430.48863282595897</v>
      </c>
      <c r="V20" s="106">
        <f t="shared" si="3"/>
        <v>7376.8532121056323</v>
      </c>
      <c r="W20" s="106">
        <f t="shared" si="4"/>
        <v>232871.93120726023</v>
      </c>
      <c r="X20" s="105"/>
      <c r="Y20" s="105"/>
      <c r="Z20" s="105"/>
      <c r="AA20" s="105"/>
    </row>
    <row r="21" spans="2:27" x14ac:dyDescent="0.15">
      <c r="B21" s="106"/>
      <c r="C21" s="106" t="s">
        <v>269</v>
      </c>
      <c r="D21" s="106">
        <v>100</v>
      </c>
      <c r="E21" s="106"/>
      <c r="F21" s="106"/>
      <c r="G21" s="106"/>
      <c r="H21" s="106">
        <v>100</v>
      </c>
      <c r="I21" s="105"/>
      <c r="J21" s="105"/>
      <c r="K21" s="107">
        <v>11</v>
      </c>
      <c r="L21" s="106">
        <v>268.83999999999997</v>
      </c>
      <c r="M21" s="105"/>
      <c r="N21" s="105"/>
      <c r="O21" s="105"/>
      <c r="P21" s="154" t="s">
        <v>181</v>
      </c>
      <c r="Q21" s="106">
        <f t="shared" si="5"/>
        <v>5163.7972484739421</v>
      </c>
      <c r="R21" s="106">
        <f t="shared" si="0"/>
        <v>0.60268408595634249</v>
      </c>
      <c r="S21" s="106">
        <f t="shared" si="1"/>
        <v>0.72322090314761101</v>
      </c>
      <c r="T21" s="106">
        <f>R21*3600/Room_01!H20</f>
        <v>11.415290745453934</v>
      </c>
      <c r="U21" s="106">
        <f t="shared" si="2"/>
        <v>430.48863282595897</v>
      </c>
      <c r="V21" s="106">
        <f t="shared" si="3"/>
        <v>7376.8532121056323</v>
      </c>
      <c r="W21" s="106">
        <f t="shared" si="4"/>
        <v>232871.93120726023</v>
      </c>
      <c r="X21" s="105"/>
      <c r="Y21" s="105"/>
      <c r="Z21" s="105"/>
      <c r="AA21" s="105"/>
    </row>
    <row r="22" spans="2:27" x14ac:dyDescent="0.15">
      <c r="B22" s="106" t="s">
        <v>177</v>
      </c>
      <c r="C22" s="106" t="s">
        <v>244</v>
      </c>
      <c r="D22" s="106">
        <v>10</v>
      </c>
      <c r="E22" s="106">
        <f>Room_01!$G$10</f>
        <v>75</v>
      </c>
      <c r="F22" s="106">
        <f t="shared" ref="F22:F64" si="6">D22*E22</f>
        <v>750</v>
      </c>
      <c r="G22" s="106"/>
      <c r="H22" s="106"/>
      <c r="I22" s="105"/>
      <c r="J22" s="105"/>
      <c r="K22" s="107">
        <v>12</v>
      </c>
      <c r="L22" s="106">
        <v>205.96</v>
      </c>
      <c r="M22" s="105"/>
      <c r="N22" s="105"/>
      <c r="O22" s="105"/>
      <c r="P22" s="154" t="s">
        <v>182</v>
      </c>
      <c r="Q22" s="106">
        <f>F64+H65+F66</f>
        <v>6244.0413099999996</v>
      </c>
      <c r="R22" s="106">
        <f t="shared" si="0"/>
        <v>0.72876299136321199</v>
      </c>
      <c r="S22" s="106">
        <f t="shared" si="1"/>
        <v>0.8745155896358543</v>
      </c>
      <c r="T22" s="106">
        <f>R22*3600/Room_01!H21</f>
        <v>2.6350752230082239</v>
      </c>
      <c r="U22" s="106">
        <f t="shared" si="2"/>
        <v>520.54499383086579</v>
      </c>
      <c r="V22" s="106">
        <f t="shared" si="3"/>
        <v>8920.0590142857145</v>
      </c>
      <c r="W22" s="106">
        <f t="shared" si="4"/>
        <v>53755.534549367767</v>
      </c>
      <c r="X22" s="105" t="s">
        <v>270</v>
      </c>
      <c r="Y22" s="105">
        <f>U25/1000*200</f>
        <v>1459.7331401009274</v>
      </c>
      <c r="Z22" s="105"/>
      <c r="AA22" s="105" t="s">
        <v>223</v>
      </c>
    </row>
    <row r="23" spans="2:27" x14ac:dyDescent="0.15">
      <c r="B23" s="106"/>
      <c r="C23" s="106" t="s">
        <v>245</v>
      </c>
      <c r="D23" s="106">
        <v>140</v>
      </c>
      <c r="E23" s="106"/>
      <c r="F23" s="106"/>
      <c r="G23" s="106">
        <v>15</v>
      </c>
      <c r="H23" s="106">
        <f>D23*G23</f>
        <v>2100</v>
      </c>
      <c r="I23" s="105"/>
      <c r="J23" s="105"/>
      <c r="K23" s="107">
        <v>13</v>
      </c>
      <c r="L23" s="106">
        <v>130.22999999999999</v>
      </c>
      <c r="M23" s="105"/>
      <c r="N23" s="105"/>
      <c r="O23" s="105"/>
      <c r="P23" s="154" t="s">
        <v>183</v>
      </c>
      <c r="Q23" s="106">
        <f>F67+F68+H69</f>
        <v>998.88351</v>
      </c>
      <c r="R23" s="106">
        <f t="shared" si="0"/>
        <v>0.11658304271708685</v>
      </c>
      <c r="S23" s="106">
        <f t="shared" si="1"/>
        <v>0.13989965126050422</v>
      </c>
      <c r="T23" s="106">
        <f>R23*3600/Room_01!H22</f>
        <v>2.057347812654474</v>
      </c>
      <c r="U23" s="106">
        <f t="shared" si="2"/>
        <v>83.273601940776317</v>
      </c>
      <c r="V23" s="106">
        <f t="shared" si="3"/>
        <v>1426.976442857143</v>
      </c>
      <c r="W23" s="106">
        <f t="shared" si="4"/>
        <v>41969.895378151268</v>
      </c>
      <c r="X23" s="105" t="s">
        <v>272</v>
      </c>
      <c r="Y23" s="105"/>
      <c r="Z23" s="105">
        <f>V25/3600000*200*8</f>
        <v>1387.1757914356183</v>
      </c>
      <c r="AA23" s="105" t="s">
        <v>223</v>
      </c>
    </row>
    <row r="24" spans="2:27" x14ac:dyDescent="0.15">
      <c r="B24" s="106"/>
      <c r="C24" s="106" t="s">
        <v>268</v>
      </c>
      <c r="D24" s="106">
        <v>200</v>
      </c>
      <c r="E24" s="106"/>
      <c r="F24" s="106"/>
      <c r="G24" s="106"/>
      <c r="H24" s="106">
        <f>D24</f>
        <v>200</v>
      </c>
      <c r="I24" s="105"/>
      <c r="J24" s="105"/>
      <c r="K24" s="107">
        <v>14</v>
      </c>
      <c r="L24" s="106">
        <v>122.55</v>
      </c>
      <c r="M24" s="105"/>
      <c r="N24" s="105"/>
      <c r="O24" s="105"/>
      <c r="P24" s="108" t="s">
        <v>271</v>
      </c>
      <c r="Q24" s="106">
        <f>F70+H71</f>
        <v>3541.8583470577037</v>
      </c>
      <c r="R24" s="106">
        <f t="shared" si="0"/>
        <v>0.41338216002074041</v>
      </c>
      <c r="S24" s="106">
        <f t="shared" si="1"/>
        <v>0.4960585920248885</v>
      </c>
      <c r="T24" s="106">
        <f>R24*3600/SUM(Room_01!H23:H25)</f>
        <v>2.1739236910324484</v>
      </c>
      <c r="U24" s="106">
        <f t="shared" si="2"/>
        <v>295.27297144338604</v>
      </c>
      <c r="V24" s="106">
        <f t="shared" si="3"/>
        <v>5059.7976386538621</v>
      </c>
      <c r="W24" s="106">
        <f t="shared" si="4"/>
        <v>44348.043297061951</v>
      </c>
      <c r="X24" s="105"/>
      <c r="Y24" s="105"/>
      <c r="Z24" s="105"/>
      <c r="AA24" s="105"/>
    </row>
    <row r="25" spans="2:27" x14ac:dyDescent="0.15">
      <c r="B25" s="106"/>
      <c r="C25" s="106" t="s">
        <v>269</v>
      </c>
      <c r="D25" s="106">
        <v>100</v>
      </c>
      <c r="E25" s="106"/>
      <c r="F25" s="106"/>
      <c r="G25" s="106">
        <v>20</v>
      </c>
      <c r="H25" s="106">
        <f>D25*G25</f>
        <v>2000</v>
      </c>
      <c r="I25" s="105"/>
      <c r="J25" s="105"/>
      <c r="K25" s="107">
        <v>15</v>
      </c>
      <c r="L25" s="106">
        <v>112.18</v>
      </c>
      <c r="M25" s="105"/>
      <c r="N25" s="105"/>
      <c r="O25" s="105"/>
      <c r="P25" s="154"/>
      <c r="Q25" s="106">
        <f>SUM(Q10:Q24)</f>
        <v>87548.954810693205</v>
      </c>
      <c r="R25" s="106"/>
      <c r="S25" s="106"/>
      <c r="T25" s="106" t="s">
        <v>273</v>
      </c>
      <c r="U25" s="106">
        <f>SUM(U10:U24)</f>
        <v>7298.6657005046372</v>
      </c>
      <c r="V25" s="106">
        <f>SUM(V10:W24)</f>
        <v>3121145.5307301409</v>
      </c>
      <c r="W25" s="106" t="s">
        <v>47</v>
      </c>
      <c r="X25" s="105"/>
      <c r="Y25" s="105"/>
      <c r="Z25" s="105"/>
      <c r="AA25" s="105"/>
    </row>
    <row r="26" spans="2:27" x14ac:dyDescent="0.15">
      <c r="B26" s="106"/>
      <c r="C26" s="106" t="s">
        <v>244</v>
      </c>
      <c r="D26" s="106">
        <v>10</v>
      </c>
      <c r="E26" s="106">
        <f>Room_01!$G$10</f>
        <v>75</v>
      </c>
      <c r="F26" s="106">
        <f t="shared" ref="F26" si="7">D26*E26</f>
        <v>750</v>
      </c>
      <c r="G26" s="106"/>
      <c r="H26" s="106"/>
      <c r="I26" s="105"/>
      <c r="J26" s="105"/>
      <c r="K26" s="107">
        <v>16</v>
      </c>
      <c r="L26" s="106">
        <v>95.6</v>
      </c>
      <c r="M26" s="105"/>
      <c r="N26" s="105"/>
      <c r="O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</row>
    <row r="27" spans="2:27" x14ac:dyDescent="0.15">
      <c r="B27" s="106" t="s">
        <v>177</v>
      </c>
      <c r="C27" s="106" t="s">
        <v>245</v>
      </c>
      <c r="D27" s="106">
        <v>140</v>
      </c>
      <c r="E27" s="106"/>
      <c r="F27" s="106"/>
      <c r="G27" s="106">
        <v>15</v>
      </c>
      <c r="H27" s="106">
        <f>D27*G27</f>
        <v>2100</v>
      </c>
      <c r="I27" s="105"/>
      <c r="J27" s="105"/>
      <c r="K27" s="107">
        <v>17</v>
      </c>
      <c r="L27" s="106">
        <v>72.540000000000006</v>
      </c>
      <c r="M27" s="105"/>
      <c r="N27" s="105"/>
      <c r="O27" s="105"/>
      <c r="P27" s="106"/>
      <c r="Q27" s="106" t="s">
        <v>260</v>
      </c>
      <c r="R27" s="106" t="s">
        <v>239</v>
      </c>
      <c r="S27" s="106" t="s">
        <v>240</v>
      </c>
      <c r="T27" s="106" t="s">
        <v>261</v>
      </c>
      <c r="U27" s="106" t="s">
        <v>274</v>
      </c>
      <c r="V27" s="106" t="s">
        <v>275</v>
      </c>
      <c r="W27" s="106" t="s">
        <v>276</v>
      </c>
      <c r="X27" s="106" t="s">
        <v>262</v>
      </c>
      <c r="Y27" s="106" t="s">
        <v>263</v>
      </c>
      <c r="Z27" s="106" t="s">
        <v>264</v>
      </c>
      <c r="AA27" s="105"/>
    </row>
    <row r="28" spans="2:27" x14ac:dyDescent="0.15">
      <c r="B28" s="106"/>
      <c r="C28" s="106" t="s">
        <v>268</v>
      </c>
      <c r="D28" s="106">
        <v>200</v>
      </c>
      <c r="E28" s="106"/>
      <c r="F28" s="106"/>
      <c r="G28" s="106"/>
      <c r="H28" s="106">
        <f>D28</f>
        <v>200</v>
      </c>
      <c r="I28" s="105"/>
      <c r="J28" s="105"/>
      <c r="K28" s="107">
        <v>18</v>
      </c>
      <c r="L28" s="106">
        <v>48.66</v>
      </c>
      <c r="M28" s="105"/>
      <c r="N28" s="105"/>
      <c r="O28" s="105"/>
      <c r="P28" s="106"/>
      <c r="Q28" s="106" t="s">
        <v>47</v>
      </c>
      <c r="R28" s="106" t="s">
        <v>241</v>
      </c>
      <c r="S28" s="106" t="s">
        <v>242</v>
      </c>
      <c r="T28" s="106" t="s">
        <v>243</v>
      </c>
      <c r="U28" s="106"/>
      <c r="V28" s="106" t="s">
        <v>254</v>
      </c>
      <c r="W28" s="106" t="s">
        <v>254</v>
      </c>
      <c r="X28" s="106" t="s">
        <v>47</v>
      </c>
      <c r="Y28" s="106" t="s">
        <v>47</v>
      </c>
      <c r="Z28" s="106" t="s">
        <v>47</v>
      </c>
      <c r="AA28" s="105"/>
    </row>
    <row r="29" spans="2:27" x14ac:dyDescent="0.15">
      <c r="B29" s="106"/>
      <c r="C29" s="106" t="s">
        <v>269</v>
      </c>
      <c r="D29" s="106">
        <v>100</v>
      </c>
      <c r="E29" s="106"/>
      <c r="F29" s="106"/>
      <c r="G29" s="106">
        <v>20</v>
      </c>
      <c r="H29" s="106">
        <f>D29*G29</f>
        <v>2000</v>
      </c>
      <c r="I29" s="105"/>
      <c r="J29" s="105"/>
      <c r="K29" s="107">
        <v>19</v>
      </c>
      <c r="L29" s="106">
        <v>24.66</v>
      </c>
      <c r="M29" s="105"/>
      <c r="N29" s="105"/>
      <c r="O29" s="105"/>
      <c r="P29" s="154" t="s">
        <v>177</v>
      </c>
      <c r="Q29" s="106">
        <f t="shared" ref="Q29:Q38" si="8">Q13</f>
        <v>5050</v>
      </c>
      <c r="R29" s="106">
        <f>T29*Room_01!H10/3600</f>
        <v>6.25E-2</v>
      </c>
      <c r="S29" s="106">
        <f>R29*$E$5</f>
        <v>7.4999999999999997E-2</v>
      </c>
      <c r="T29" s="106">
        <v>1</v>
      </c>
      <c r="U29" s="106">
        <f>'Ht Loss_house1'!AA21</f>
        <v>151.49093548991553</v>
      </c>
      <c r="V29" s="106">
        <f>Q29/(U29+S29*$H$6)</f>
        <v>22.15000341635675</v>
      </c>
      <c r="W29" s="106">
        <f>V29+$E$6</f>
        <v>42.150003416356753</v>
      </c>
      <c r="X29" s="106">
        <f>R29*$H$4/$E$4</f>
        <v>44.642857142857146</v>
      </c>
      <c r="Y29" s="106">
        <f>S29*$H$6*($L$5-$L$4)</f>
        <v>765</v>
      </c>
      <c r="Z29" s="106">
        <f>S29*$H$6*($L$6-$L$5)</f>
        <v>1530</v>
      </c>
      <c r="AA29" s="105"/>
    </row>
    <row r="30" spans="2:27" x14ac:dyDescent="0.15">
      <c r="B30" s="106"/>
      <c r="C30" s="106" t="s">
        <v>244</v>
      </c>
      <c r="D30" s="106">
        <v>10</v>
      </c>
      <c r="E30" s="106">
        <f>Room_01!$G$14</f>
        <v>143.13881527918494</v>
      </c>
      <c r="F30" s="106">
        <f t="shared" si="6"/>
        <v>1431.3881527918493</v>
      </c>
      <c r="G30" s="106"/>
      <c r="H30" s="106">
        <f t="shared" ref="H30" si="9">G30*E30</f>
        <v>0</v>
      </c>
      <c r="I30" s="105"/>
      <c r="J30" s="105"/>
      <c r="K30" s="107">
        <v>20</v>
      </c>
      <c r="L30" s="106">
        <v>6.55</v>
      </c>
      <c r="M30" s="105"/>
      <c r="N30" s="105"/>
      <c r="O30" s="105"/>
      <c r="P30" s="154" t="s">
        <v>177</v>
      </c>
      <c r="Q30" s="106">
        <f t="shared" si="8"/>
        <v>5050</v>
      </c>
      <c r="R30" s="106">
        <f>T30*Room_01!H11/3600</f>
        <v>6.25E-2</v>
      </c>
      <c r="S30" s="106">
        <f t="shared" ref="S30:S43" si="10">R30*$E$5</f>
        <v>7.4999999999999997E-2</v>
      </c>
      <c r="T30" s="106">
        <v>1</v>
      </c>
      <c r="U30" s="106">
        <f>'Ht Loss_house1'!AA22</f>
        <v>155.68338173151184</v>
      </c>
      <c r="V30" s="106">
        <f t="shared" ref="V30:V43" si="11">Q30/(U30+S30*$H$6)</f>
        <v>21.750049303010112</v>
      </c>
      <c r="W30" s="106">
        <f t="shared" ref="W30:W43" si="12">V30+$E$6</f>
        <v>41.750049303010115</v>
      </c>
      <c r="X30" s="106">
        <f t="shared" ref="X30:X43" si="13">R30*$H$4/$E$4</f>
        <v>44.642857142857146</v>
      </c>
      <c r="Y30" s="106">
        <f t="shared" ref="Y30:Y43" si="14">S30*$H$6*($L$5-$L$4)</f>
        <v>765</v>
      </c>
      <c r="Z30" s="106">
        <f t="shared" ref="Z30:Z43" si="15">S30*$H$6*($L$6-$L$5)</f>
        <v>1530</v>
      </c>
      <c r="AA30" s="105"/>
    </row>
    <row r="31" spans="2:27" x14ac:dyDescent="0.15">
      <c r="B31" s="106" t="s">
        <v>180</v>
      </c>
      <c r="C31" s="106" t="s">
        <v>245</v>
      </c>
      <c r="D31" s="106">
        <v>140</v>
      </c>
      <c r="E31" s="106"/>
      <c r="F31" s="106"/>
      <c r="G31" s="106">
        <v>100</v>
      </c>
      <c r="H31" s="106">
        <f>G31*D31</f>
        <v>14000</v>
      </c>
      <c r="I31" s="105"/>
      <c r="J31" s="105"/>
      <c r="K31" s="107">
        <v>21</v>
      </c>
      <c r="L31" s="106">
        <v>0</v>
      </c>
      <c r="M31" s="105"/>
      <c r="N31" s="105"/>
      <c r="O31" s="105"/>
      <c r="P31" s="154" t="s">
        <v>180</v>
      </c>
      <c r="Q31" s="106">
        <f t="shared" si="8"/>
        <v>15731.388152791849</v>
      </c>
      <c r="R31" s="106">
        <f>T31*Room_01!H14/3600</f>
        <v>0.11928234606598745</v>
      </c>
      <c r="S31" s="106">
        <f t="shared" si="10"/>
        <v>0.14313881527918493</v>
      </c>
      <c r="T31" s="106">
        <v>1</v>
      </c>
      <c r="U31" s="106">
        <f>'Ht Loss_house1'!AA25</f>
        <v>287.80374903045134</v>
      </c>
      <c r="V31" s="106">
        <f t="shared" si="11"/>
        <v>36.263703278714125</v>
      </c>
      <c r="W31" s="106">
        <f t="shared" si="12"/>
        <v>56.263703278714125</v>
      </c>
      <c r="X31" s="106">
        <f t="shared" si="13"/>
        <v>85.201675761419622</v>
      </c>
      <c r="Y31" s="106">
        <f t="shared" si="14"/>
        <v>1460.0159158476863</v>
      </c>
      <c r="Z31" s="106">
        <f t="shared" si="15"/>
        <v>2920.0318316953726</v>
      </c>
      <c r="AA31" s="105"/>
    </row>
    <row r="32" spans="2:27" x14ac:dyDescent="0.15">
      <c r="B32" s="106"/>
      <c r="C32" s="106" t="s">
        <v>268</v>
      </c>
      <c r="D32" s="106">
        <v>200</v>
      </c>
      <c r="E32" s="106"/>
      <c r="F32" s="106"/>
      <c r="G32" s="106"/>
      <c r="H32" s="106">
        <f>D32</f>
        <v>200</v>
      </c>
      <c r="I32" s="105"/>
      <c r="J32" s="105"/>
      <c r="K32" s="107">
        <v>22</v>
      </c>
      <c r="L32" s="106">
        <v>0</v>
      </c>
      <c r="M32" s="105"/>
      <c r="N32" s="105"/>
      <c r="O32" s="105"/>
      <c r="P32" s="154" t="s">
        <v>181</v>
      </c>
      <c r="Q32" s="106">
        <f t="shared" si="8"/>
        <v>5163.7972484739421</v>
      </c>
      <c r="R32" s="106">
        <f>T32*Room_01!H15/3600</f>
        <v>5.279620987282848E-2</v>
      </c>
      <c r="S32" s="106">
        <f t="shared" si="10"/>
        <v>6.3355451847394176E-2</v>
      </c>
      <c r="T32" s="106">
        <v>1</v>
      </c>
      <c r="U32" s="106">
        <f>'Ht Loss_house1'!AA26</f>
        <v>167.94086045505574</v>
      </c>
      <c r="V32" s="106">
        <f t="shared" si="11"/>
        <v>22.203823880531981</v>
      </c>
      <c r="W32" s="106">
        <f t="shared" si="12"/>
        <v>42.203823880531985</v>
      </c>
      <c r="X32" s="106">
        <f t="shared" si="13"/>
        <v>37.711578480591768</v>
      </c>
      <c r="Y32" s="106">
        <f t="shared" si="14"/>
        <v>646.22560884342067</v>
      </c>
      <c r="Z32" s="106">
        <f t="shared" si="15"/>
        <v>1292.4512176868413</v>
      </c>
      <c r="AA32" s="105"/>
    </row>
    <row r="33" spans="2:26" x14ac:dyDescent="0.15">
      <c r="B33" s="106"/>
      <c r="C33" s="106" t="s">
        <v>269</v>
      </c>
      <c r="D33" s="106">
        <v>100</v>
      </c>
      <c r="E33" s="106"/>
      <c r="F33" s="106"/>
      <c r="G33" s="106"/>
      <c r="H33" s="106">
        <f>D33</f>
        <v>100</v>
      </c>
      <c r="I33" s="105"/>
      <c r="J33" s="105"/>
      <c r="K33" s="107">
        <v>23</v>
      </c>
      <c r="L33" s="106">
        <v>0</v>
      </c>
      <c r="M33" s="161" t="s">
        <v>315</v>
      </c>
      <c r="N33" s="105"/>
      <c r="O33" s="105"/>
      <c r="P33" s="154" t="s">
        <v>181</v>
      </c>
      <c r="Q33" s="106">
        <f t="shared" si="8"/>
        <v>5163.7972484739421</v>
      </c>
      <c r="R33" s="106">
        <f>T33*Room_01!H16/3600</f>
        <v>5.279620987282848E-2</v>
      </c>
      <c r="S33" s="106">
        <f t="shared" si="10"/>
        <v>6.3355451847394176E-2</v>
      </c>
      <c r="T33" s="106">
        <v>1</v>
      </c>
      <c r="U33" s="106">
        <f>'Ht Loss_house1'!AA27</f>
        <v>167.94086045505574</v>
      </c>
      <c r="V33" s="106">
        <f t="shared" si="11"/>
        <v>22.203823880531981</v>
      </c>
      <c r="W33" s="106">
        <f t="shared" si="12"/>
        <v>42.203823880531985</v>
      </c>
      <c r="X33" s="106">
        <f t="shared" si="13"/>
        <v>37.711578480591768</v>
      </c>
      <c r="Y33" s="106">
        <f t="shared" si="14"/>
        <v>646.22560884342067</v>
      </c>
      <c r="Z33" s="106">
        <f t="shared" si="15"/>
        <v>1292.4512176868413</v>
      </c>
    </row>
    <row r="34" spans="2:26" x14ac:dyDescent="0.15">
      <c r="B34" s="106"/>
      <c r="C34" s="106" t="s">
        <v>244</v>
      </c>
      <c r="D34" s="106">
        <v>10</v>
      </c>
      <c r="E34" s="106">
        <f>Room_01!$G$15</f>
        <v>63.355451847394171</v>
      </c>
      <c r="F34" s="106">
        <f t="shared" si="6"/>
        <v>633.5545184739417</v>
      </c>
      <c r="G34" s="106"/>
      <c r="H34" s="106"/>
      <c r="I34" s="105"/>
      <c r="J34" s="105"/>
      <c r="K34" s="106" t="s">
        <v>277</v>
      </c>
      <c r="L34" s="106">
        <f>SUM(L10:L33)/1000</f>
        <v>2.8802599999999998</v>
      </c>
      <c r="M34" s="161" t="s">
        <v>314</v>
      </c>
      <c r="N34" s="105"/>
      <c r="O34" s="105"/>
      <c r="P34" s="154" t="s">
        <v>181</v>
      </c>
      <c r="Q34" s="106">
        <f t="shared" si="8"/>
        <v>5163.7972484739421</v>
      </c>
      <c r="R34" s="106">
        <f>T34*Room_01!H17/3600</f>
        <v>5.279620987282848E-2</v>
      </c>
      <c r="S34" s="106">
        <f t="shared" si="10"/>
        <v>6.3355451847394176E-2</v>
      </c>
      <c r="T34" s="106">
        <v>1</v>
      </c>
      <c r="U34" s="106">
        <f>'Ht Loss_house1'!AA28</f>
        <v>167.94086045505574</v>
      </c>
      <c r="V34" s="106">
        <f t="shared" si="11"/>
        <v>22.203823880531981</v>
      </c>
      <c r="W34" s="106">
        <f t="shared" si="12"/>
        <v>42.203823880531985</v>
      </c>
      <c r="X34" s="106">
        <f t="shared" si="13"/>
        <v>37.711578480591768</v>
      </c>
      <c r="Y34" s="106">
        <f t="shared" si="14"/>
        <v>646.22560884342067</v>
      </c>
      <c r="Z34" s="106">
        <f t="shared" si="15"/>
        <v>1292.4512176868413</v>
      </c>
    </row>
    <row r="35" spans="2:26" x14ac:dyDescent="0.15">
      <c r="B35" s="106" t="s">
        <v>181</v>
      </c>
      <c r="C35" s="106" t="s">
        <v>245</v>
      </c>
      <c r="D35" s="106">
        <v>140</v>
      </c>
      <c r="E35" s="106"/>
      <c r="F35" s="106"/>
      <c r="G35" s="106">
        <v>30</v>
      </c>
      <c r="H35" s="106">
        <f>G35*D35</f>
        <v>4200</v>
      </c>
      <c r="I35" s="105"/>
      <c r="J35" s="105"/>
      <c r="K35" s="105"/>
      <c r="L35" s="105"/>
      <c r="M35" s="105"/>
      <c r="N35" s="105"/>
      <c r="O35" s="105"/>
      <c r="P35" s="154" t="s">
        <v>181</v>
      </c>
      <c r="Q35" s="106">
        <f t="shared" si="8"/>
        <v>5163.7972484739421</v>
      </c>
      <c r="R35" s="106">
        <f>T35*Room_01!H18/3600</f>
        <v>5.279620987282848E-2</v>
      </c>
      <c r="S35" s="106">
        <f t="shared" si="10"/>
        <v>6.3355451847394176E-2</v>
      </c>
      <c r="T35" s="106">
        <v>1</v>
      </c>
      <c r="U35" s="106">
        <f>'Ht Loss_house1'!AA29</f>
        <v>167.94086045505574</v>
      </c>
      <c r="V35" s="106">
        <f t="shared" si="11"/>
        <v>22.203823880531981</v>
      </c>
      <c r="W35" s="106">
        <f t="shared" si="12"/>
        <v>42.203823880531985</v>
      </c>
      <c r="X35" s="106">
        <f t="shared" si="13"/>
        <v>37.711578480591768</v>
      </c>
      <c r="Y35" s="106">
        <f t="shared" si="14"/>
        <v>646.22560884342067</v>
      </c>
      <c r="Z35" s="106">
        <f t="shared" si="15"/>
        <v>1292.4512176868413</v>
      </c>
    </row>
    <row r="36" spans="2:26" x14ac:dyDescent="0.15">
      <c r="B36" s="106"/>
      <c r="C36" s="106" t="s">
        <v>268</v>
      </c>
      <c r="D36" s="106">
        <v>200</v>
      </c>
      <c r="E36" s="106"/>
      <c r="F36" s="106"/>
      <c r="G36" s="106"/>
      <c r="H36" s="106">
        <f>D36</f>
        <v>200</v>
      </c>
      <c r="I36" s="105"/>
      <c r="J36" s="105"/>
      <c r="K36" s="105"/>
      <c r="L36" s="105"/>
      <c r="M36" s="105"/>
      <c r="N36" s="105"/>
      <c r="O36" s="105"/>
      <c r="P36" s="154" t="s">
        <v>181</v>
      </c>
      <c r="Q36" s="106">
        <f t="shared" si="8"/>
        <v>5163.7972484739421</v>
      </c>
      <c r="R36" s="106">
        <f>T36*Room_01!H19/3600</f>
        <v>5.279620987282848E-2</v>
      </c>
      <c r="S36" s="106">
        <f t="shared" si="10"/>
        <v>6.3355451847394176E-2</v>
      </c>
      <c r="T36" s="106">
        <v>1</v>
      </c>
      <c r="U36" s="106">
        <f>'Ht Loss_house1'!AA30</f>
        <v>167.94086045505574</v>
      </c>
      <c r="V36" s="106">
        <f t="shared" si="11"/>
        <v>22.203823880531981</v>
      </c>
      <c r="W36" s="106">
        <f t="shared" si="12"/>
        <v>42.203823880531985</v>
      </c>
      <c r="X36" s="106">
        <f t="shared" si="13"/>
        <v>37.711578480591768</v>
      </c>
      <c r="Y36" s="106">
        <f t="shared" si="14"/>
        <v>646.22560884342067</v>
      </c>
      <c r="Z36" s="106">
        <f t="shared" si="15"/>
        <v>1292.4512176868413</v>
      </c>
    </row>
    <row r="37" spans="2:26" x14ac:dyDescent="0.15">
      <c r="B37" s="106"/>
      <c r="C37" s="106" t="s">
        <v>269</v>
      </c>
      <c r="D37" s="106">
        <v>100</v>
      </c>
      <c r="E37" s="106"/>
      <c r="F37" s="106"/>
      <c r="G37" s="106"/>
      <c r="H37" s="106">
        <f>D37</f>
        <v>100</v>
      </c>
      <c r="I37" s="105"/>
      <c r="J37" s="105"/>
      <c r="K37" s="105"/>
      <c r="L37" s="105"/>
      <c r="M37" s="105"/>
      <c r="N37" s="105"/>
      <c r="O37" s="105"/>
      <c r="P37" s="154" t="s">
        <v>181</v>
      </c>
      <c r="Q37" s="106">
        <f t="shared" si="8"/>
        <v>5163.7972484739421</v>
      </c>
      <c r="R37" s="106">
        <f>T37*Room_01!H20/3600</f>
        <v>5.279620987282848E-2</v>
      </c>
      <c r="S37" s="106">
        <f t="shared" si="10"/>
        <v>6.3355451847394176E-2</v>
      </c>
      <c r="T37" s="106">
        <v>1</v>
      </c>
      <c r="U37" s="106">
        <f>'Ht Loss_house1'!AA31</f>
        <v>167.94086045505574</v>
      </c>
      <c r="V37" s="106">
        <f t="shared" si="11"/>
        <v>22.203823880531981</v>
      </c>
      <c r="W37" s="106">
        <f t="shared" si="12"/>
        <v>42.203823880531985</v>
      </c>
      <c r="X37" s="106">
        <f t="shared" si="13"/>
        <v>37.711578480591768</v>
      </c>
      <c r="Y37" s="106">
        <f t="shared" si="14"/>
        <v>646.22560884342067</v>
      </c>
      <c r="Z37" s="106">
        <f t="shared" si="15"/>
        <v>1292.4512176868413</v>
      </c>
    </row>
    <row r="38" spans="2:26" x14ac:dyDescent="0.15">
      <c r="B38" s="106"/>
      <c r="C38" s="106" t="s">
        <v>278</v>
      </c>
      <c r="D38" s="106">
        <f>$H$5*$L$34</f>
        <v>1.7281559999999998</v>
      </c>
      <c r="E38" s="106">
        <f>[1]Heatloss1!$D$26*[1]Heatloss1!$E$26</f>
        <v>17.5</v>
      </c>
      <c r="F38" s="106">
        <f>D38*E38</f>
        <v>30.242729999999998</v>
      </c>
      <c r="G38" s="106"/>
      <c r="H38" s="106"/>
      <c r="I38" s="105"/>
      <c r="J38" s="105"/>
      <c r="K38" s="105"/>
      <c r="L38" s="105"/>
      <c r="M38" s="105"/>
      <c r="N38" s="105"/>
      <c r="O38" s="105"/>
      <c r="P38" s="154" t="s">
        <v>182</v>
      </c>
      <c r="Q38" s="106">
        <f t="shared" si="8"/>
        <v>6244.0413099999996</v>
      </c>
      <c r="R38" s="106">
        <f>T38*Room_01!H21/3600</f>
        <v>0.27656249999999999</v>
      </c>
      <c r="S38" s="106">
        <f t="shared" si="10"/>
        <v>0.33187499999999998</v>
      </c>
      <c r="T38" s="106">
        <v>1</v>
      </c>
      <c r="U38" s="106">
        <f>'Ht Loss_house1'!AA32</f>
        <v>851.8025007355169</v>
      </c>
      <c r="V38" s="106">
        <f t="shared" si="11"/>
        <v>5.2457049656113677</v>
      </c>
      <c r="W38" s="106">
        <f t="shared" si="12"/>
        <v>25.245704965611367</v>
      </c>
      <c r="X38" s="106">
        <f t="shared" si="13"/>
        <v>197.54464285714286</v>
      </c>
      <c r="Y38" s="106">
        <f t="shared" si="14"/>
        <v>3385.125</v>
      </c>
      <c r="Z38" s="106">
        <f t="shared" si="15"/>
        <v>6770.25</v>
      </c>
    </row>
    <row r="39" spans="2:26" x14ac:dyDescent="0.15">
      <c r="B39" s="106"/>
      <c r="C39" s="106" t="s">
        <v>244</v>
      </c>
      <c r="D39" s="106">
        <v>10</v>
      </c>
      <c r="E39" s="106">
        <f>Room_01!$G$15</f>
        <v>63.355451847394171</v>
      </c>
      <c r="F39" s="106">
        <f t="shared" ref="F39" si="16">D39*E39</f>
        <v>633.5545184739417</v>
      </c>
      <c r="G39" s="106"/>
      <c r="H39" s="106"/>
      <c r="I39" s="105"/>
      <c r="J39" s="105"/>
      <c r="K39" s="105"/>
      <c r="L39" s="105"/>
      <c r="M39" s="105"/>
      <c r="N39" s="105"/>
      <c r="O39" s="105"/>
      <c r="P39" s="154" t="s">
        <v>176</v>
      </c>
      <c r="Q39" s="106">
        <f>Q10</f>
        <v>6650</v>
      </c>
      <c r="R39" s="106">
        <f>T39*Room_01!H7/3600</f>
        <v>6.25E-2</v>
      </c>
      <c r="S39" s="106">
        <f t="shared" si="10"/>
        <v>7.4999999999999997E-2</v>
      </c>
      <c r="T39" s="106">
        <v>1</v>
      </c>
      <c r="U39" s="106">
        <f>'Ht Loss_house1'!AA18</f>
        <v>159.64338173151182</v>
      </c>
      <c r="V39" s="106">
        <f t="shared" si="11"/>
        <v>28.160856981208379</v>
      </c>
      <c r="W39" s="106">
        <f t="shared" si="12"/>
        <v>48.160856981208383</v>
      </c>
      <c r="X39" s="106">
        <f t="shared" si="13"/>
        <v>44.642857142857146</v>
      </c>
      <c r="Y39" s="106">
        <f t="shared" si="14"/>
        <v>765</v>
      </c>
      <c r="Z39" s="106">
        <f t="shared" si="15"/>
        <v>1530</v>
      </c>
    </row>
    <row r="40" spans="2:26" x14ac:dyDescent="0.15">
      <c r="B40" s="106" t="s">
        <v>181</v>
      </c>
      <c r="C40" s="106" t="s">
        <v>245</v>
      </c>
      <c r="D40" s="106">
        <v>140</v>
      </c>
      <c r="E40" s="106"/>
      <c r="F40" s="106"/>
      <c r="G40" s="106">
        <v>30</v>
      </c>
      <c r="H40" s="106">
        <f>G40*D40</f>
        <v>4200</v>
      </c>
      <c r="I40" s="105"/>
      <c r="J40" s="105"/>
      <c r="K40" s="105"/>
      <c r="L40" s="105"/>
      <c r="M40" s="105"/>
      <c r="N40" s="105"/>
      <c r="O40" s="105"/>
      <c r="P40" s="154" t="s">
        <v>176</v>
      </c>
      <c r="Q40" s="106">
        <f>Q39</f>
        <v>6650</v>
      </c>
      <c r="R40" s="106">
        <f>T40*Room_01!H8/3600</f>
        <v>6.25E-2</v>
      </c>
      <c r="S40" s="106">
        <f t="shared" si="10"/>
        <v>7.4999999999999997E-2</v>
      </c>
      <c r="T40" s="106">
        <v>1</v>
      </c>
      <c r="U40" s="106">
        <f>'Ht Loss_house1'!AA19</f>
        <v>155.45093548991551</v>
      </c>
      <c r="V40" s="106">
        <f t="shared" si="11"/>
        <v>28.66985634679245</v>
      </c>
      <c r="W40" s="106">
        <f t="shared" si="12"/>
        <v>48.66985634679245</v>
      </c>
      <c r="X40" s="106">
        <f t="shared" si="13"/>
        <v>44.642857142857146</v>
      </c>
      <c r="Y40" s="106">
        <f t="shared" si="14"/>
        <v>765</v>
      </c>
      <c r="Z40" s="106">
        <f t="shared" si="15"/>
        <v>1530</v>
      </c>
    </row>
    <row r="41" spans="2:26" x14ac:dyDescent="0.15">
      <c r="B41" s="106"/>
      <c r="C41" s="106" t="s">
        <v>268</v>
      </c>
      <c r="D41" s="106">
        <v>200</v>
      </c>
      <c r="E41" s="106"/>
      <c r="F41" s="106"/>
      <c r="G41" s="106"/>
      <c r="H41" s="106">
        <f>D41</f>
        <v>200</v>
      </c>
      <c r="I41" s="105"/>
      <c r="J41" s="105"/>
      <c r="K41" s="105"/>
      <c r="L41" s="105"/>
      <c r="M41" s="105"/>
      <c r="N41" s="105"/>
      <c r="O41" s="105"/>
      <c r="P41" s="154" t="s">
        <v>176</v>
      </c>
      <c r="Q41" s="106">
        <f>Q40</f>
        <v>6650</v>
      </c>
      <c r="R41" s="106">
        <f>T41*Room_01!H9/3600</f>
        <v>6.25E-2</v>
      </c>
      <c r="S41" s="106">
        <f t="shared" si="10"/>
        <v>7.4999999999999997E-2</v>
      </c>
      <c r="T41" s="106">
        <v>1</v>
      </c>
      <c r="U41" s="106">
        <f>'Ht Loss_house1'!AA20</f>
        <v>155.45093548991551</v>
      </c>
      <c r="V41" s="106">
        <f t="shared" si="11"/>
        <v>28.66985634679245</v>
      </c>
      <c r="W41" s="106">
        <f t="shared" si="12"/>
        <v>48.66985634679245</v>
      </c>
      <c r="X41" s="106">
        <f t="shared" si="13"/>
        <v>44.642857142857146</v>
      </c>
      <c r="Y41" s="106">
        <f t="shared" si="14"/>
        <v>765</v>
      </c>
      <c r="Z41" s="106">
        <f t="shared" si="15"/>
        <v>1530</v>
      </c>
    </row>
    <row r="42" spans="2:26" x14ac:dyDescent="0.15">
      <c r="B42" s="106"/>
      <c r="C42" s="106" t="s">
        <v>269</v>
      </c>
      <c r="D42" s="106">
        <v>100</v>
      </c>
      <c r="E42" s="106"/>
      <c r="F42" s="106"/>
      <c r="G42" s="106"/>
      <c r="H42" s="106">
        <f>D42</f>
        <v>100</v>
      </c>
      <c r="I42" s="105"/>
      <c r="J42" s="105"/>
      <c r="K42" s="105"/>
      <c r="L42" s="105"/>
      <c r="M42" s="105"/>
      <c r="N42" s="105"/>
      <c r="O42" s="105"/>
      <c r="P42" s="154" t="s">
        <v>183</v>
      </c>
      <c r="Q42" s="106">
        <f>Q23</f>
        <v>998.88351</v>
      </c>
      <c r="R42" s="106">
        <f>T42*Room_01!H22/3600</f>
        <v>5.6666666666666664E-2</v>
      </c>
      <c r="S42" s="106">
        <f t="shared" si="10"/>
        <v>6.7999999999999991E-2</v>
      </c>
      <c r="T42" s="106">
        <v>1</v>
      </c>
      <c r="U42" s="106">
        <f>'Ht Loss_house1'!AA33</f>
        <v>191.83773387247888</v>
      </c>
      <c r="V42" s="106">
        <f t="shared" si="11"/>
        <v>3.8242426348448788</v>
      </c>
      <c r="W42" s="106">
        <f t="shared" si="12"/>
        <v>23.824242634844879</v>
      </c>
      <c r="X42" s="106">
        <f t="shared" si="13"/>
        <v>40.476190476190474</v>
      </c>
      <c r="Y42" s="106">
        <f t="shared" si="14"/>
        <v>693.59999999999991</v>
      </c>
      <c r="Z42" s="106">
        <f t="shared" si="15"/>
        <v>1387.1999999999998</v>
      </c>
    </row>
    <row r="43" spans="2:26" x14ac:dyDescent="0.15">
      <c r="B43" s="106"/>
      <c r="C43" s="106" t="s">
        <v>278</v>
      </c>
      <c r="D43" s="106">
        <f>$H$5*$L$34</f>
        <v>1.7281559999999998</v>
      </c>
      <c r="E43" s="106">
        <f>[1]Heatloss1!$D$26*[1]Heatloss1!$E$26</f>
        <v>17.5</v>
      </c>
      <c r="F43" s="106">
        <f>D43*E43</f>
        <v>30.242729999999998</v>
      </c>
      <c r="G43" s="106"/>
      <c r="H43" s="106"/>
      <c r="I43" s="105"/>
      <c r="J43" s="105"/>
      <c r="K43" s="105"/>
      <c r="L43" s="105"/>
      <c r="M43" s="105"/>
      <c r="N43" s="105"/>
      <c r="O43" s="105"/>
      <c r="P43" s="108" t="s">
        <v>271</v>
      </c>
      <c r="Q43" s="106">
        <f>Q24</f>
        <v>3541.8583470577037</v>
      </c>
      <c r="R43" s="106">
        <f>T43*SUM(Room_01!H23:H25)/3600</f>
        <v>0.19015486225480863</v>
      </c>
      <c r="S43" s="106">
        <f t="shared" si="10"/>
        <v>0.22818583470577034</v>
      </c>
      <c r="T43" s="106">
        <v>1</v>
      </c>
      <c r="U43" s="106">
        <f>SUM('Ht Loss_house1'!AA34:AA36)</f>
        <v>309.15818672510886</v>
      </c>
      <c r="V43" s="106">
        <f t="shared" si="11"/>
        <v>6.5359065720533236</v>
      </c>
      <c r="W43" s="106">
        <f t="shared" si="12"/>
        <v>26.535906572053324</v>
      </c>
      <c r="X43" s="106">
        <f t="shared" si="13"/>
        <v>135.8249016105776</v>
      </c>
      <c r="Y43" s="106">
        <f t="shared" si="14"/>
        <v>2327.4955139988574</v>
      </c>
      <c r="Z43" s="106">
        <f t="shared" si="15"/>
        <v>4654.9910279977148</v>
      </c>
    </row>
    <row r="44" spans="2:26" x14ac:dyDescent="0.15">
      <c r="B44" s="106"/>
      <c r="C44" s="106" t="s">
        <v>244</v>
      </c>
      <c r="D44" s="106">
        <v>10</v>
      </c>
      <c r="E44" s="106">
        <f>Room_01!$G$15</f>
        <v>63.355451847394171</v>
      </c>
      <c r="F44" s="106">
        <f t="shared" ref="F44" si="17">D44*E44</f>
        <v>633.5545184739417</v>
      </c>
      <c r="G44" s="106"/>
      <c r="H44" s="106"/>
      <c r="I44" s="105"/>
      <c r="J44" s="105"/>
      <c r="K44" s="105"/>
      <c r="L44" s="105"/>
      <c r="M44" s="105"/>
      <c r="N44" s="105"/>
      <c r="O44" s="105"/>
      <c r="P44" s="106"/>
      <c r="Q44" s="106">
        <f>SUM(Q29:Q43)</f>
        <v>87548.95481069322</v>
      </c>
      <c r="R44" s="106"/>
      <c r="S44" s="106"/>
      <c r="T44" s="106"/>
      <c r="U44" s="106"/>
      <c r="V44" s="106"/>
      <c r="W44" s="106" t="s">
        <v>277</v>
      </c>
      <c r="X44" s="106">
        <f>SUM(X29:X43)</f>
        <v>908.53116730316674</v>
      </c>
      <c r="Y44" s="106">
        <f>SUM(Y29:Z43)</f>
        <v>46705.770248721201</v>
      </c>
      <c r="Z44" s="106"/>
    </row>
    <row r="45" spans="2:26" x14ac:dyDescent="0.15">
      <c r="B45" s="106" t="s">
        <v>181</v>
      </c>
      <c r="C45" s="106" t="s">
        <v>245</v>
      </c>
      <c r="D45" s="106">
        <v>140</v>
      </c>
      <c r="E45" s="106"/>
      <c r="F45" s="106"/>
      <c r="G45" s="106">
        <v>30</v>
      </c>
      <c r="H45" s="106">
        <f>G45*D45</f>
        <v>4200</v>
      </c>
      <c r="I45" s="105"/>
      <c r="J45" s="105"/>
      <c r="K45" s="105"/>
      <c r="L45" s="105"/>
      <c r="M45" s="105"/>
      <c r="N45" s="105"/>
      <c r="O45" s="105"/>
      <c r="P45" s="106"/>
      <c r="Q45" s="106"/>
      <c r="R45" s="106"/>
      <c r="S45" s="106"/>
      <c r="T45" s="106"/>
      <c r="U45" s="106"/>
      <c r="V45" s="106"/>
      <c r="W45" s="106" t="s">
        <v>270</v>
      </c>
      <c r="X45" s="106">
        <f>X44/1000*200</f>
        <v>181.70623346063334</v>
      </c>
      <c r="Y45" s="106"/>
      <c r="Z45" s="106" t="s">
        <v>223</v>
      </c>
    </row>
    <row r="46" spans="2:26" x14ac:dyDescent="0.15">
      <c r="B46" s="106"/>
      <c r="C46" s="106" t="s">
        <v>268</v>
      </c>
      <c r="D46" s="106">
        <v>200</v>
      </c>
      <c r="E46" s="106"/>
      <c r="F46" s="106"/>
      <c r="G46" s="106"/>
      <c r="H46" s="106">
        <f>D46</f>
        <v>200</v>
      </c>
      <c r="I46" s="105"/>
      <c r="J46" s="105"/>
      <c r="K46" s="105"/>
      <c r="L46" s="105"/>
      <c r="M46" s="105"/>
      <c r="N46" s="105"/>
      <c r="O46" s="105"/>
      <c r="P46" s="106"/>
      <c r="Q46" s="106"/>
      <c r="R46" s="106"/>
      <c r="S46" s="106"/>
      <c r="T46" s="106"/>
      <c r="U46" s="106"/>
      <c r="V46" s="106"/>
      <c r="W46" s="106" t="s">
        <v>272</v>
      </c>
      <c r="X46" s="106"/>
      <c r="Y46" s="106">
        <f>Y44/3600000*200*8</f>
        <v>20.758120110542755</v>
      </c>
      <c r="Z46" s="106" t="s">
        <v>223</v>
      </c>
    </row>
    <row r="47" spans="2:26" x14ac:dyDescent="0.15">
      <c r="B47" s="106"/>
      <c r="C47" s="106" t="s">
        <v>269</v>
      </c>
      <c r="D47" s="106">
        <v>100</v>
      </c>
      <c r="E47" s="106"/>
      <c r="F47" s="106"/>
      <c r="G47" s="106"/>
      <c r="H47" s="106">
        <f>D47</f>
        <v>100</v>
      </c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</row>
    <row r="48" spans="2:26" x14ac:dyDescent="0.15">
      <c r="B48" s="106"/>
      <c r="C48" s="106" t="s">
        <v>278</v>
      </c>
      <c r="D48" s="106">
        <f>$H$5*$L$34</f>
        <v>1.7281559999999998</v>
      </c>
      <c r="E48" s="106">
        <f>[1]Heatloss1!$D$26*[1]Heatloss1!$E$26</f>
        <v>17.5</v>
      </c>
      <c r="F48" s="106">
        <f>D48*E48</f>
        <v>30.242729999999998</v>
      </c>
      <c r="G48" s="106"/>
      <c r="H48" s="106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</row>
    <row r="49" spans="2:19" x14ac:dyDescent="0.15">
      <c r="B49" s="106"/>
      <c r="C49" s="106" t="s">
        <v>244</v>
      </c>
      <c r="D49" s="106">
        <v>10</v>
      </c>
      <c r="E49" s="106">
        <f>Room_01!$G$15</f>
        <v>63.355451847394171</v>
      </c>
      <c r="F49" s="106">
        <f t="shared" ref="F49" si="18">D49*E49</f>
        <v>633.5545184739417</v>
      </c>
      <c r="G49" s="106"/>
      <c r="H49" s="106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</row>
    <row r="50" spans="2:19" x14ac:dyDescent="0.15">
      <c r="B50" s="106" t="s">
        <v>181</v>
      </c>
      <c r="C50" s="106" t="s">
        <v>245</v>
      </c>
      <c r="D50" s="106">
        <v>140</v>
      </c>
      <c r="E50" s="106"/>
      <c r="F50" s="106"/>
      <c r="G50" s="106">
        <v>30</v>
      </c>
      <c r="H50" s="106">
        <f>G50*D50</f>
        <v>4200</v>
      </c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</row>
    <row r="51" spans="2:19" x14ac:dyDescent="0.15">
      <c r="B51" s="106"/>
      <c r="C51" s="106" t="s">
        <v>268</v>
      </c>
      <c r="D51" s="106">
        <v>200</v>
      </c>
      <c r="E51" s="106"/>
      <c r="F51" s="106"/>
      <c r="G51" s="106"/>
      <c r="H51" s="106">
        <f>D51</f>
        <v>200</v>
      </c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</row>
    <row r="52" spans="2:19" x14ac:dyDescent="0.15">
      <c r="B52" s="106"/>
      <c r="C52" s="106" t="s">
        <v>269</v>
      </c>
      <c r="D52" s="106">
        <v>100</v>
      </c>
      <c r="E52" s="106"/>
      <c r="F52" s="106"/>
      <c r="G52" s="106"/>
      <c r="H52" s="106">
        <f>D52</f>
        <v>100</v>
      </c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</row>
    <row r="53" spans="2:19" x14ac:dyDescent="0.15">
      <c r="B53" s="106"/>
      <c r="C53" s="106" t="s">
        <v>278</v>
      </c>
      <c r="D53" s="106">
        <f>$H$5*$L$34</f>
        <v>1.7281559999999998</v>
      </c>
      <c r="E53" s="106">
        <f>[1]Heatloss1!$D$26*[1]Heatloss1!$E$26</f>
        <v>17.5</v>
      </c>
      <c r="F53" s="106">
        <f>D53*E53</f>
        <v>30.242729999999998</v>
      </c>
      <c r="G53" s="106"/>
      <c r="H53" s="106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</row>
    <row r="54" spans="2:19" x14ac:dyDescent="0.15">
      <c r="B54" s="106"/>
      <c r="C54" s="106" t="s">
        <v>244</v>
      </c>
      <c r="D54" s="106">
        <v>10</v>
      </c>
      <c r="E54" s="106">
        <f>Room_01!$G$15</f>
        <v>63.355451847394171</v>
      </c>
      <c r="F54" s="106">
        <f t="shared" ref="F54" si="19">D54*E54</f>
        <v>633.5545184739417</v>
      </c>
      <c r="G54" s="106"/>
      <c r="H54" s="106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</row>
    <row r="55" spans="2:19" x14ac:dyDescent="0.15">
      <c r="B55" s="106" t="s">
        <v>181</v>
      </c>
      <c r="C55" s="106" t="s">
        <v>245</v>
      </c>
      <c r="D55" s="106">
        <v>140</v>
      </c>
      <c r="E55" s="106"/>
      <c r="F55" s="106"/>
      <c r="G55" s="106">
        <v>30</v>
      </c>
      <c r="H55" s="106">
        <f>G55*D55</f>
        <v>4200</v>
      </c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</row>
    <row r="56" spans="2:19" x14ac:dyDescent="0.15">
      <c r="B56" s="106"/>
      <c r="C56" s="106" t="s">
        <v>268</v>
      </c>
      <c r="D56" s="106">
        <v>200</v>
      </c>
      <c r="E56" s="106"/>
      <c r="F56" s="106"/>
      <c r="G56" s="106"/>
      <c r="H56" s="106">
        <f>D56</f>
        <v>200</v>
      </c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</row>
    <row r="57" spans="2:19" x14ac:dyDescent="0.15">
      <c r="B57" s="106"/>
      <c r="C57" s="106" t="s">
        <v>269</v>
      </c>
      <c r="D57" s="106">
        <v>100</v>
      </c>
      <c r="E57" s="106"/>
      <c r="F57" s="106"/>
      <c r="G57" s="106"/>
      <c r="H57" s="106">
        <f>D57</f>
        <v>100</v>
      </c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</row>
    <row r="58" spans="2:19" x14ac:dyDescent="0.15">
      <c r="B58" s="106"/>
      <c r="C58" s="106" t="s">
        <v>278</v>
      </c>
      <c r="D58" s="106">
        <f>$H$5*$L$34</f>
        <v>1.7281559999999998</v>
      </c>
      <c r="E58" s="106">
        <f>[1]Heatloss1!$D$26*[1]Heatloss1!$E$26</f>
        <v>17.5</v>
      </c>
      <c r="F58" s="106">
        <f>D58*E58</f>
        <v>30.242729999999998</v>
      </c>
      <c r="G58" s="106"/>
      <c r="H58" s="106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</row>
    <row r="59" spans="2:19" x14ac:dyDescent="0.15">
      <c r="B59" s="106"/>
      <c r="C59" s="106" t="s">
        <v>244</v>
      </c>
      <c r="D59" s="106">
        <v>10</v>
      </c>
      <c r="E59" s="106">
        <f>Room_01!$G$15</f>
        <v>63.355451847394171</v>
      </c>
      <c r="F59" s="106">
        <f t="shared" ref="F59" si="20">D59*E59</f>
        <v>633.5545184739417</v>
      </c>
      <c r="G59" s="106"/>
      <c r="H59" s="106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</row>
    <row r="60" spans="2:19" x14ac:dyDescent="0.15">
      <c r="B60" s="106" t="s">
        <v>181</v>
      </c>
      <c r="C60" s="106" t="s">
        <v>245</v>
      </c>
      <c r="D60" s="106">
        <v>140</v>
      </c>
      <c r="E60" s="106"/>
      <c r="F60" s="106"/>
      <c r="G60" s="106">
        <v>30</v>
      </c>
      <c r="H60" s="106">
        <f>G60*D60</f>
        <v>4200</v>
      </c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</row>
    <row r="61" spans="2:19" x14ac:dyDescent="0.15">
      <c r="B61" s="106"/>
      <c r="C61" s="106" t="s">
        <v>268</v>
      </c>
      <c r="D61" s="106">
        <v>200</v>
      </c>
      <c r="E61" s="106"/>
      <c r="F61" s="106"/>
      <c r="G61" s="106"/>
      <c r="H61" s="106">
        <f>D61</f>
        <v>200</v>
      </c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</row>
    <row r="62" spans="2:19" x14ac:dyDescent="0.15">
      <c r="B62" s="106"/>
      <c r="C62" s="106" t="s">
        <v>269</v>
      </c>
      <c r="D62" s="106">
        <v>150</v>
      </c>
      <c r="E62" s="106"/>
      <c r="F62" s="106"/>
      <c r="G62" s="106"/>
      <c r="H62" s="106">
        <f>D62</f>
        <v>150</v>
      </c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</row>
    <row r="63" spans="2:19" x14ac:dyDescent="0.15">
      <c r="B63" s="106"/>
      <c r="C63" s="106" t="s">
        <v>278</v>
      </c>
      <c r="D63" s="106">
        <f>$H$5*$L$34</f>
        <v>1.7281559999999998</v>
      </c>
      <c r="E63" s="106">
        <f>[1]Heatloss1!$D$26*[1]Heatloss1!$E$26</f>
        <v>17.5</v>
      </c>
      <c r="F63" s="106">
        <f>D63*E63</f>
        <v>30.242729999999998</v>
      </c>
      <c r="G63" s="106"/>
      <c r="H63" s="106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</row>
    <row r="64" spans="2:19" x14ac:dyDescent="0.15">
      <c r="B64" s="106"/>
      <c r="C64" s="106" t="s">
        <v>244</v>
      </c>
      <c r="D64" s="106">
        <v>10</v>
      </c>
      <c r="E64" s="106">
        <f>Room_01!$G$21</f>
        <v>331.875</v>
      </c>
      <c r="F64" s="106">
        <f t="shared" si="6"/>
        <v>3318.75</v>
      </c>
      <c r="G64" s="106"/>
      <c r="H64" s="106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</row>
    <row r="65" spans="2:22" x14ac:dyDescent="0.15">
      <c r="B65" s="106" t="s">
        <v>182</v>
      </c>
      <c r="C65" s="106" t="s">
        <v>245</v>
      </c>
      <c r="D65" s="106">
        <v>140</v>
      </c>
      <c r="E65" s="106"/>
      <c r="F65" s="106"/>
      <c r="G65" s="106">
        <v>20</v>
      </c>
      <c r="H65" s="106">
        <f>D65*G65</f>
        <v>2800</v>
      </c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</row>
    <row r="66" spans="2:22" x14ac:dyDescent="0.15">
      <c r="B66" s="106"/>
      <c r="C66" s="106" t="s">
        <v>278</v>
      </c>
      <c r="D66" s="106">
        <f>$H$5*$L$34</f>
        <v>1.7281559999999998</v>
      </c>
      <c r="E66" s="106">
        <f>[1]Heatloss1!D32*[1]Heatloss1!E32</f>
        <v>72.5</v>
      </c>
      <c r="F66" s="106">
        <f>D66*E66</f>
        <v>125.29130999999998</v>
      </c>
      <c r="G66" s="106"/>
      <c r="H66" s="106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</row>
    <row r="67" spans="2:22" x14ac:dyDescent="0.15">
      <c r="B67" s="106"/>
      <c r="C67" s="106" t="s">
        <v>278</v>
      </c>
      <c r="D67" s="106">
        <f>$H$5*$L$34</f>
        <v>1.7281559999999998</v>
      </c>
      <c r="E67" s="106">
        <f>[1]Heatloss1!D33*[1]Heatloss1!E33</f>
        <v>22.5</v>
      </c>
      <c r="F67" s="106">
        <f>D67*E67</f>
        <v>38.883509999999994</v>
      </c>
      <c r="G67" s="106"/>
      <c r="H67" s="106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</row>
    <row r="68" spans="2:22" x14ac:dyDescent="0.15">
      <c r="B68" s="108" t="s">
        <v>183</v>
      </c>
      <c r="C68" s="106" t="s">
        <v>244</v>
      </c>
      <c r="D68" s="106">
        <v>10</v>
      </c>
      <c r="E68" s="106">
        <f>Room_01!$G$22</f>
        <v>68</v>
      </c>
      <c r="F68" s="106">
        <f t="shared" ref="F68" si="21">D68*E68</f>
        <v>680</v>
      </c>
      <c r="G68" s="106"/>
      <c r="H68" s="106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</row>
    <row r="69" spans="2:22" x14ac:dyDescent="0.15">
      <c r="B69" s="108"/>
      <c r="C69" s="106" t="s">
        <v>245</v>
      </c>
      <c r="D69" s="106">
        <v>140</v>
      </c>
      <c r="E69" s="106"/>
      <c r="F69" s="106"/>
      <c r="G69" s="106">
        <v>2</v>
      </c>
      <c r="H69" s="106">
        <f>G69*D69</f>
        <v>280</v>
      </c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</row>
    <row r="70" spans="2:22" x14ac:dyDescent="0.15">
      <c r="B70" s="108"/>
      <c r="C70" s="106" t="s">
        <v>244</v>
      </c>
      <c r="D70" s="106">
        <v>10</v>
      </c>
      <c r="E70" s="106">
        <f>SUM(Room_01!G23:G25)</f>
        <v>228.18583470577036</v>
      </c>
      <c r="F70" s="106">
        <f t="shared" ref="F70" si="22">D70*E70</f>
        <v>2281.8583470577037</v>
      </c>
      <c r="G70" s="106"/>
      <c r="H70" s="106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</row>
    <row r="71" spans="2:22" x14ac:dyDescent="0.15">
      <c r="B71" s="108" t="s">
        <v>271</v>
      </c>
      <c r="C71" s="106" t="s">
        <v>245</v>
      </c>
      <c r="D71" s="106">
        <v>140</v>
      </c>
      <c r="E71" s="106"/>
      <c r="F71" s="106"/>
      <c r="G71" s="106">
        <v>9</v>
      </c>
      <c r="H71" s="106">
        <f>G71*D71</f>
        <v>1260</v>
      </c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</row>
    <row r="72" spans="2:22" x14ac:dyDescent="0.15">
      <c r="B72" s="108"/>
      <c r="C72" s="106"/>
      <c r="D72" s="106"/>
      <c r="E72" s="106" t="s">
        <v>28</v>
      </c>
      <c r="F72" s="106">
        <f>SUM(F10:F70)</f>
        <v>15608.954810693205</v>
      </c>
      <c r="G72" s="106" t="s">
        <v>47</v>
      </c>
      <c r="H72" s="106">
        <f>SUM(H11:H71)</f>
        <v>71990</v>
      </c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</row>
    <row r="73" spans="2:22" x14ac:dyDescent="0.15"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 t="s">
        <v>246</v>
      </c>
    </row>
    <row r="74" spans="2:22" x14ac:dyDescent="0.15">
      <c r="E74" s="162" t="s">
        <v>305</v>
      </c>
      <c r="F74" s="105">
        <f>SUM(F72+H72)</f>
        <v>87598.954810693205</v>
      </c>
    </row>
    <row r="76" spans="2:22" x14ac:dyDescent="0.15"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</row>
    <row r="77" spans="2:22" x14ac:dyDescent="0.15"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</row>
    <row r="78" spans="2:22" x14ac:dyDescent="0.15"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</row>
    <row r="79" spans="2:22" x14ac:dyDescent="0.15"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3DE2-B79C-2146-9A6C-1FDD7C6D2DE0}">
  <dimension ref="A1:H4"/>
  <sheetViews>
    <sheetView workbookViewId="0">
      <selection activeCell="C4" sqref="C4"/>
    </sheetView>
  </sheetViews>
  <sheetFormatPr baseColWidth="10" defaultRowHeight="13" x14ac:dyDescent="0.15"/>
  <cols>
    <col min="1" max="1" width="20" style="167" customWidth="1"/>
    <col min="2" max="16384" width="10.83203125" style="167"/>
  </cols>
  <sheetData>
    <row r="1" spans="1:8" ht="51" x14ac:dyDescent="0.15">
      <c r="A1" s="168" t="s">
        <v>299</v>
      </c>
      <c r="B1" s="168" t="s">
        <v>300</v>
      </c>
      <c r="C1" s="168" t="s">
        <v>301</v>
      </c>
      <c r="D1" s="168" t="s">
        <v>302</v>
      </c>
      <c r="E1" s="168" t="s">
        <v>316</v>
      </c>
      <c r="G1" s="173" t="s">
        <v>318</v>
      </c>
    </row>
    <row r="2" spans="1:8" ht="17" x14ac:dyDescent="0.2">
      <c r="A2" s="168" t="s">
        <v>303</v>
      </c>
      <c r="B2" s="169">
        <f>Th_energy1!D18</f>
        <v>225973.70200193551</v>
      </c>
      <c r="C2" s="169">
        <f>Th_energy2!D18</f>
        <v>39877.676264630805</v>
      </c>
      <c r="D2" s="168" t="s">
        <v>111</v>
      </c>
      <c r="E2" s="170">
        <v>0.1</v>
      </c>
      <c r="F2" s="76" t="s">
        <v>317</v>
      </c>
      <c r="G2" s="167">
        <f>B2*E2</f>
        <v>22597.370200193553</v>
      </c>
      <c r="H2" s="167">
        <f>C2*E2</f>
        <v>3987.7676264630809</v>
      </c>
    </row>
    <row r="3" spans="1:8" ht="17" x14ac:dyDescent="0.2">
      <c r="A3" s="168" t="s">
        <v>304</v>
      </c>
      <c r="B3" s="171">
        <f>'Electricity Load1'!H92</f>
        <v>21778.966095669341</v>
      </c>
      <c r="C3" s="171">
        <f>'Electricity Load2'!H92</f>
        <v>10705.308514596762</v>
      </c>
      <c r="D3" s="168" t="s">
        <v>111</v>
      </c>
      <c r="E3" s="172">
        <v>0.25</v>
      </c>
      <c r="F3" s="76" t="s">
        <v>317</v>
      </c>
      <c r="G3" s="167">
        <f>B3*E3</f>
        <v>5444.7415239173351</v>
      </c>
      <c r="H3" s="167">
        <f>C3*E3</f>
        <v>2676.3271286491904</v>
      </c>
    </row>
    <row r="4" spans="1:8" ht="17" x14ac:dyDescent="0.2">
      <c r="A4" s="168" t="s">
        <v>195</v>
      </c>
      <c r="B4" s="168">
        <f>SUM(Tmax_final1!Y22+Tmax_final1!Z23)</f>
        <v>2846.9089315365454</v>
      </c>
      <c r="C4" s="172">
        <f>SUM(Tmax_final2!X45+Tmax_final2!Y46)</f>
        <v>853.01419548580077</v>
      </c>
      <c r="D4" s="168" t="s">
        <v>111</v>
      </c>
      <c r="E4" s="172">
        <v>0.25</v>
      </c>
      <c r="F4" s="76" t="s">
        <v>317</v>
      </c>
      <c r="G4" s="167">
        <f>B4*E4</f>
        <v>711.72723288413636</v>
      </c>
      <c r="H4" s="167">
        <f>C4*E4</f>
        <v>213.25354887145019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5D2A-AC65-F541-980F-2C3DDC795429}">
  <dimension ref="B1:I33"/>
  <sheetViews>
    <sheetView workbookViewId="0">
      <selection activeCell="G21" sqref="G21"/>
    </sheetView>
  </sheetViews>
  <sheetFormatPr baseColWidth="10" defaultColWidth="8.83203125" defaultRowHeight="13" x14ac:dyDescent="0.15"/>
  <cols>
    <col min="3" max="3" width="15.1640625" customWidth="1"/>
    <col min="7" max="7" width="9.6640625" customWidth="1"/>
    <col min="8" max="8" width="10" customWidth="1"/>
  </cols>
  <sheetData>
    <row r="1" spans="2:9" x14ac:dyDescent="0.15">
      <c r="B1" s="103"/>
    </row>
    <row r="2" spans="2:9" x14ac:dyDescent="0.15">
      <c r="C2" s="75" t="s">
        <v>313</v>
      </c>
    </row>
    <row r="4" spans="2:9" x14ac:dyDescent="0.15">
      <c r="C4" s="104"/>
      <c r="D4" s="104"/>
      <c r="E4" s="104"/>
      <c r="F4" s="104"/>
      <c r="G4" s="104"/>
      <c r="H4" s="104"/>
    </row>
    <row r="5" spans="2:9" x14ac:dyDescent="0.15">
      <c r="C5" s="104"/>
      <c r="D5" s="104"/>
      <c r="E5" s="104"/>
      <c r="F5" s="104"/>
      <c r="G5" s="104"/>
      <c r="H5" s="104"/>
    </row>
    <row r="6" spans="2:9" x14ac:dyDescent="0.15">
      <c r="C6" s="108" t="s">
        <v>232</v>
      </c>
      <c r="D6" s="108" t="s">
        <v>231</v>
      </c>
      <c r="E6" s="108" t="s">
        <v>47</v>
      </c>
      <c r="F6" s="108" t="s">
        <v>233</v>
      </c>
      <c r="G6" s="155" t="s">
        <v>289</v>
      </c>
      <c r="H6" s="155" t="s">
        <v>290</v>
      </c>
    </row>
    <row r="7" spans="2:9" x14ac:dyDescent="0.15">
      <c r="C7" s="108" t="s">
        <v>176</v>
      </c>
      <c r="D7" s="154">
        <v>12.5</v>
      </c>
      <c r="E7" s="154">
        <v>6</v>
      </c>
      <c r="F7" s="108">
        <v>3</v>
      </c>
      <c r="G7" s="108">
        <f>D7*E7</f>
        <v>75</v>
      </c>
      <c r="H7" s="108">
        <f>G7*F7</f>
        <v>225</v>
      </c>
    </row>
    <row r="8" spans="2:9" x14ac:dyDescent="0.15">
      <c r="C8" s="108" t="s">
        <v>176</v>
      </c>
      <c r="D8" s="154">
        <v>12.5</v>
      </c>
      <c r="E8" s="154">
        <v>6</v>
      </c>
      <c r="F8" s="108">
        <v>3</v>
      </c>
      <c r="G8" s="108">
        <f t="shared" ref="G8:G11" si="0">D8*E8</f>
        <v>75</v>
      </c>
      <c r="H8" s="108">
        <f t="shared" ref="H8:H25" si="1">G8*F8</f>
        <v>225</v>
      </c>
    </row>
    <row r="9" spans="2:9" x14ac:dyDescent="0.15">
      <c r="C9" s="108" t="s">
        <v>176</v>
      </c>
      <c r="D9" s="154">
        <v>12.5</v>
      </c>
      <c r="E9" s="154">
        <v>6</v>
      </c>
      <c r="F9" s="108">
        <v>3</v>
      </c>
      <c r="G9" s="108">
        <f t="shared" si="0"/>
        <v>75</v>
      </c>
      <c r="H9" s="108">
        <f t="shared" si="1"/>
        <v>225</v>
      </c>
    </row>
    <row r="10" spans="2:9" x14ac:dyDescent="0.15">
      <c r="C10" s="108" t="s">
        <v>177</v>
      </c>
      <c r="D10" s="154">
        <v>12.5</v>
      </c>
      <c r="E10" s="154">
        <v>6</v>
      </c>
      <c r="F10" s="108">
        <v>3</v>
      </c>
      <c r="G10" s="108">
        <f t="shared" si="0"/>
        <v>75</v>
      </c>
      <c r="H10" s="108">
        <f t="shared" si="1"/>
        <v>225</v>
      </c>
      <c r="I10" s="104"/>
    </row>
    <row r="11" spans="2:9" x14ac:dyDescent="0.15">
      <c r="C11" s="108" t="s">
        <v>177</v>
      </c>
      <c r="D11" s="154">
        <v>12.5</v>
      </c>
      <c r="E11" s="154">
        <v>6</v>
      </c>
      <c r="F11" s="108">
        <v>3</v>
      </c>
      <c r="G11" s="108">
        <f t="shared" si="0"/>
        <v>75</v>
      </c>
      <c r="H11" s="108">
        <f t="shared" si="1"/>
        <v>225</v>
      </c>
    </row>
    <row r="12" spans="2:9" x14ac:dyDescent="0.15">
      <c r="C12" s="108" t="s">
        <v>178</v>
      </c>
      <c r="D12" s="108">
        <f>'Ht Loss_house1'!F23</f>
        <v>13</v>
      </c>
      <c r="E12" s="108">
        <f>'Ht Loss_house1'!G23</f>
        <v>2.5</v>
      </c>
      <c r="F12" s="108">
        <v>3</v>
      </c>
      <c r="G12" s="108">
        <f>D12*E12/2</f>
        <v>16.25</v>
      </c>
      <c r="H12" s="108">
        <f t="shared" si="1"/>
        <v>48.75</v>
      </c>
    </row>
    <row r="13" spans="2:9" x14ac:dyDescent="0.15">
      <c r="C13" s="108" t="s">
        <v>179</v>
      </c>
      <c r="D13" s="154">
        <v>3</v>
      </c>
      <c r="E13" s="154">
        <v>7.5</v>
      </c>
      <c r="F13" s="108">
        <v>3</v>
      </c>
      <c r="G13" s="108">
        <f>D13*E13</f>
        <v>22.5</v>
      </c>
      <c r="H13" s="108">
        <f t="shared" si="1"/>
        <v>67.5</v>
      </c>
    </row>
    <row r="14" spans="2:9" x14ac:dyDescent="0.15">
      <c r="C14" s="108" t="s">
        <v>180</v>
      </c>
      <c r="D14" s="108">
        <v>13.5</v>
      </c>
      <c r="E14" s="108">
        <v>13.5</v>
      </c>
      <c r="F14" s="108">
        <v>3</v>
      </c>
      <c r="G14" s="108">
        <f>'Ht Loss_house1'!F43</f>
        <v>143.13881527918494</v>
      </c>
      <c r="H14" s="108">
        <f t="shared" si="1"/>
        <v>429.41644583755482</v>
      </c>
    </row>
    <row r="15" spans="2:9" x14ac:dyDescent="0.15">
      <c r="C15" s="108" t="s">
        <v>181</v>
      </c>
      <c r="D15" s="154">
        <f t="shared" ref="D15:E20" si="2">27.5-13.5-3</f>
        <v>11</v>
      </c>
      <c r="E15" s="154">
        <f t="shared" si="2"/>
        <v>11</v>
      </c>
      <c r="F15" s="108">
        <v>3</v>
      </c>
      <c r="G15" s="108">
        <f>'Ht Loss_house1'!$F$44</f>
        <v>63.355451847394171</v>
      </c>
      <c r="H15" s="108">
        <f t="shared" si="1"/>
        <v>190.06635554218252</v>
      </c>
    </row>
    <row r="16" spans="2:9" x14ac:dyDescent="0.15">
      <c r="C16" s="108" t="s">
        <v>181</v>
      </c>
      <c r="D16" s="154">
        <f t="shared" si="2"/>
        <v>11</v>
      </c>
      <c r="E16" s="154">
        <f t="shared" si="2"/>
        <v>11</v>
      </c>
      <c r="F16" s="108">
        <v>3</v>
      </c>
      <c r="G16" s="108">
        <f>'Ht Loss_house1'!$F$44</f>
        <v>63.355451847394171</v>
      </c>
      <c r="H16" s="108">
        <f t="shared" si="1"/>
        <v>190.06635554218252</v>
      </c>
    </row>
    <row r="17" spans="3:8" x14ac:dyDescent="0.15">
      <c r="C17" s="108" t="s">
        <v>181</v>
      </c>
      <c r="D17" s="154">
        <f t="shared" si="2"/>
        <v>11</v>
      </c>
      <c r="E17" s="154">
        <f t="shared" si="2"/>
        <v>11</v>
      </c>
      <c r="F17" s="108">
        <v>3</v>
      </c>
      <c r="G17" s="108">
        <f>'Ht Loss_house1'!$F$44</f>
        <v>63.355451847394171</v>
      </c>
      <c r="H17" s="108">
        <f t="shared" si="1"/>
        <v>190.06635554218252</v>
      </c>
    </row>
    <row r="18" spans="3:8" x14ac:dyDescent="0.15">
      <c r="C18" s="108" t="s">
        <v>181</v>
      </c>
      <c r="D18" s="154">
        <f t="shared" si="2"/>
        <v>11</v>
      </c>
      <c r="E18" s="154">
        <f t="shared" si="2"/>
        <v>11</v>
      </c>
      <c r="F18" s="108">
        <v>3</v>
      </c>
      <c r="G18" s="108">
        <f>'Ht Loss_house1'!$F$44</f>
        <v>63.355451847394171</v>
      </c>
      <c r="H18" s="108">
        <f t="shared" si="1"/>
        <v>190.06635554218252</v>
      </c>
    </row>
    <row r="19" spans="3:8" x14ac:dyDescent="0.15">
      <c r="C19" s="108" t="s">
        <v>181</v>
      </c>
      <c r="D19" s="154">
        <f t="shared" si="2"/>
        <v>11</v>
      </c>
      <c r="E19" s="154">
        <f t="shared" si="2"/>
        <v>11</v>
      </c>
      <c r="F19" s="108">
        <v>3</v>
      </c>
      <c r="G19" s="108">
        <f>'Ht Loss_house1'!$F$44</f>
        <v>63.355451847394171</v>
      </c>
      <c r="H19" s="108">
        <f t="shared" si="1"/>
        <v>190.06635554218252</v>
      </c>
    </row>
    <row r="20" spans="3:8" x14ac:dyDescent="0.15">
      <c r="C20" s="108" t="s">
        <v>181</v>
      </c>
      <c r="D20" s="154">
        <f t="shared" si="2"/>
        <v>11</v>
      </c>
      <c r="E20" s="154">
        <f t="shared" si="2"/>
        <v>11</v>
      </c>
      <c r="F20" s="108">
        <v>3</v>
      </c>
      <c r="G20" s="108">
        <f>'Ht Loss_house1'!$F$44</f>
        <v>63.355451847394171</v>
      </c>
      <c r="H20" s="108">
        <f t="shared" si="1"/>
        <v>190.06635554218252</v>
      </c>
    </row>
    <row r="21" spans="3:8" x14ac:dyDescent="0.15">
      <c r="C21" s="108" t="s">
        <v>182</v>
      </c>
      <c r="D21" s="154">
        <f>9+13.5</f>
        <v>22.5</v>
      </c>
      <c r="E21" s="154">
        <v>29.5</v>
      </c>
      <c r="F21" s="108">
        <v>3</v>
      </c>
      <c r="G21" s="108">
        <f t="shared" ref="G21:G22" si="3">D21*E21/2</f>
        <v>331.875</v>
      </c>
      <c r="H21" s="108">
        <f t="shared" si="1"/>
        <v>995.625</v>
      </c>
    </row>
    <row r="22" spans="3:8" x14ac:dyDescent="0.15">
      <c r="C22" s="108" t="s">
        <v>183</v>
      </c>
      <c r="D22" s="154">
        <f>7+9</f>
        <v>16</v>
      </c>
      <c r="E22" s="154">
        <v>8.5</v>
      </c>
      <c r="F22" s="108">
        <v>3</v>
      </c>
      <c r="G22" s="108">
        <f t="shared" si="3"/>
        <v>68</v>
      </c>
      <c r="H22" s="108">
        <f t="shared" si="1"/>
        <v>204</v>
      </c>
    </row>
    <row r="23" spans="3:8" x14ac:dyDescent="0.15">
      <c r="C23" s="108" t="s">
        <v>184</v>
      </c>
      <c r="D23" s="154">
        <f>7.5+3+13.5+1</f>
        <v>25</v>
      </c>
      <c r="E23" s="154">
        <v>3</v>
      </c>
      <c r="F23" s="108">
        <v>3</v>
      </c>
      <c r="G23" s="108">
        <f>'Ht Loss_house1'!F50</f>
        <v>75</v>
      </c>
      <c r="H23" s="108">
        <f t="shared" si="1"/>
        <v>225</v>
      </c>
    </row>
    <row r="24" spans="3:8" x14ac:dyDescent="0.15">
      <c r="C24" s="108" t="s">
        <v>185</v>
      </c>
      <c r="D24" s="154">
        <v>27.5</v>
      </c>
      <c r="E24" s="154">
        <v>3</v>
      </c>
      <c r="F24" s="108">
        <v>3</v>
      </c>
      <c r="G24" s="108">
        <f>'Ht Loss_house1'!F49</f>
        <v>82.5</v>
      </c>
      <c r="H24" s="108">
        <f t="shared" si="1"/>
        <v>247.5</v>
      </c>
    </row>
    <row r="25" spans="3:8" x14ac:dyDescent="0.15">
      <c r="C25" s="108" t="s">
        <v>173</v>
      </c>
      <c r="D25" s="154">
        <v>27.5</v>
      </c>
      <c r="E25" s="154">
        <v>3</v>
      </c>
      <c r="F25" s="108">
        <v>3</v>
      </c>
      <c r="G25" s="108">
        <f>'Ht Loss_house1'!F47</f>
        <v>70.685834705770361</v>
      </c>
      <c r="H25" s="108">
        <f t="shared" si="1"/>
        <v>212.05750411731108</v>
      </c>
    </row>
    <row r="26" spans="3:8" x14ac:dyDescent="0.15">
      <c r="C26" s="108"/>
      <c r="D26" s="108"/>
      <c r="E26" s="108"/>
      <c r="F26" s="108" t="s">
        <v>145</v>
      </c>
      <c r="G26" s="108">
        <f>SUM(G7:G25)</f>
        <v>1565.0823610693203</v>
      </c>
      <c r="H26" s="108">
        <f>SUM(H7:H25)</f>
        <v>4695.2470832079607</v>
      </c>
    </row>
    <row r="33" spans="5:5" ht="14" x14ac:dyDescent="0.15">
      <c r="E33" s="139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A906-F121-D640-AD7C-CB4F498C24FD}">
  <sheetPr>
    <pageSetUpPr fitToPage="1"/>
  </sheetPr>
  <dimension ref="A1:AF67"/>
  <sheetViews>
    <sheetView showGridLines="0" topLeftCell="AB1" zoomScale="111" zoomScaleNormal="322" workbookViewId="0">
      <selection activeCell="Q28" sqref="Q28"/>
    </sheetView>
  </sheetViews>
  <sheetFormatPr baseColWidth="10" defaultColWidth="8.83203125" defaultRowHeight="12.75" customHeight="1" x14ac:dyDescent="0.15"/>
  <cols>
    <col min="1" max="1" width="22.33203125" style="115" customWidth="1"/>
    <col min="2" max="2" width="7.1640625" style="115" customWidth="1"/>
    <col min="3" max="3" width="6.33203125" style="115" customWidth="1"/>
    <col min="4" max="4" width="10.5" style="115" customWidth="1"/>
    <col min="5" max="5" width="6" style="115" customWidth="1"/>
    <col min="6" max="6" width="12" style="115" customWidth="1"/>
    <col min="7" max="7" width="5.5" style="115" customWidth="1"/>
    <col min="8" max="8" width="6.5" style="115" customWidth="1"/>
    <col min="9" max="11" width="5.6640625" style="115" customWidth="1"/>
    <col min="12" max="12" width="11.1640625" style="115" customWidth="1"/>
    <col min="13" max="13" width="7.33203125" style="115" customWidth="1"/>
    <col min="14" max="14" width="9" style="115" customWidth="1"/>
    <col min="15" max="15" width="11.83203125" style="115" customWidth="1"/>
    <col min="16" max="16" width="8.5" style="115" customWidth="1"/>
    <col min="17" max="17" width="12.6640625" style="115" customWidth="1"/>
    <col min="18" max="18" width="9" style="115" customWidth="1"/>
    <col min="19" max="19" width="9.6640625" style="115" customWidth="1"/>
    <col min="20" max="21" width="6.5" style="115" customWidth="1"/>
    <col min="22" max="22" width="13.5" style="115" customWidth="1"/>
    <col min="23" max="23" width="8.5" style="115" customWidth="1"/>
    <col min="24" max="24" width="6.33203125" style="115" customWidth="1"/>
    <col min="25" max="25" width="4.5" style="115" customWidth="1"/>
    <col min="26" max="26" width="6.83203125" style="115" customWidth="1"/>
    <col min="27" max="27" width="14.83203125" style="115" customWidth="1"/>
    <col min="28" max="28" width="8.83203125" style="115" customWidth="1"/>
    <col min="29" max="29" width="9" style="115" customWidth="1"/>
    <col min="30" max="30" width="11.5" style="115" customWidth="1"/>
    <col min="31" max="32" width="8.83203125" style="115" customWidth="1"/>
    <col min="33" max="16384" width="8.83203125" style="115"/>
  </cols>
  <sheetData>
    <row r="1" spans="1:31" ht="13.5" customHeight="1" x14ac:dyDescent="0.15">
      <c r="A1" s="112" t="s">
        <v>288</v>
      </c>
      <c r="B1" s="113"/>
      <c r="C1" s="113"/>
      <c r="D1" s="113"/>
      <c r="E1" s="113"/>
      <c r="F1" s="113"/>
      <c r="G1" s="113"/>
      <c r="H1" s="114"/>
      <c r="I1" s="113"/>
      <c r="J1" s="113"/>
      <c r="K1" s="113"/>
      <c r="L1" s="113"/>
      <c r="M1" s="113"/>
      <c r="N1" s="113"/>
      <c r="O1" s="113"/>
      <c r="P1" s="113"/>
      <c r="Q1" s="114"/>
      <c r="R1" s="114"/>
      <c r="S1" s="114"/>
      <c r="T1" s="114"/>
      <c r="U1" s="113"/>
      <c r="V1" s="113"/>
      <c r="W1" s="113"/>
      <c r="X1" s="114" t="s">
        <v>312</v>
      </c>
      <c r="Y1" s="114"/>
      <c r="Z1" s="114"/>
      <c r="AA1" s="114"/>
      <c r="AB1" s="114"/>
      <c r="AC1" s="114"/>
      <c r="AD1" s="114"/>
      <c r="AE1" s="114"/>
    </row>
    <row r="2" spans="1:31" ht="13.5" customHeight="1" x14ac:dyDescent="0.15">
      <c r="A2" s="116" t="s">
        <v>1</v>
      </c>
      <c r="B2" s="116">
        <f>Uvals!B2</f>
        <v>1565.0823610693203</v>
      </c>
      <c r="C2" s="116" t="s">
        <v>2</v>
      </c>
      <c r="D2" s="116" t="s">
        <v>44</v>
      </c>
      <c r="E2" s="116">
        <v>1.2</v>
      </c>
      <c r="F2" s="116" t="s">
        <v>45</v>
      </c>
      <c r="G2" s="116">
        <f>E2/E3</f>
        <v>1.2</v>
      </c>
      <c r="H2" s="117"/>
      <c r="I2" s="174" t="s">
        <v>46</v>
      </c>
      <c r="J2" s="174"/>
      <c r="K2" s="174"/>
      <c r="L2" s="116">
        <f>AB37</f>
        <v>82377.053510934536</v>
      </c>
      <c r="M2" s="116" t="s">
        <v>47</v>
      </c>
      <c r="N2" s="116" t="s">
        <v>48</v>
      </c>
      <c r="O2" s="116">
        <f>L2/B2</f>
        <v>52.634324914793353</v>
      </c>
      <c r="P2" s="116" t="s">
        <v>49</v>
      </c>
      <c r="Q2" s="118"/>
      <c r="R2" s="114"/>
      <c r="S2" s="114"/>
      <c r="T2" s="119"/>
      <c r="U2" s="116" t="s">
        <v>220</v>
      </c>
      <c r="V2" s="110">
        <f>598.47*0.3*250</f>
        <v>44885.25</v>
      </c>
      <c r="W2" s="116" t="s">
        <v>225</v>
      </c>
      <c r="X2" s="118" t="s">
        <v>311</v>
      </c>
      <c r="Y2" s="114"/>
      <c r="Z2" s="114"/>
      <c r="AA2" s="114"/>
      <c r="AB2" s="114"/>
      <c r="AC2" s="114"/>
      <c r="AD2" s="114"/>
      <c r="AE2" s="114"/>
    </row>
    <row r="3" spans="1:31" ht="16.5" customHeight="1" x14ac:dyDescent="0.2">
      <c r="A3" s="116" t="s">
        <v>50</v>
      </c>
      <c r="B3" s="116">
        <v>1</v>
      </c>
      <c r="C3" s="116" t="s">
        <v>51</v>
      </c>
      <c r="D3" s="116" t="s">
        <v>52</v>
      </c>
      <c r="E3" s="116">
        <v>1</v>
      </c>
      <c r="F3" s="116"/>
      <c r="G3" s="116"/>
      <c r="H3" s="117"/>
      <c r="I3" s="175" t="s">
        <v>53</v>
      </c>
      <c r="J3" s="175"/>
      <c r="K3" s="175"/>
      <c r="L3" s="121">
        <f>AE37</f>
        <v>98852.46421312142</v>
      </c>
      <c r="M3" s="120" t="s">
        <v>47</v>
      </c>
      <c r="N3" s="121" t="s">
        <v>54</v>
      </c>
      <c r="O3" s="121">
        <f>L3/B2</f>
        <v>63.16118989775201</v>
      </c>
      <c r="P3" s="121" t="s">
        <v>49</v>
      </c>
      <c r="Q3" s="122"/>
      <c r="R3" s="113"/>
      <c r="S3" s="114"/>
      <c r="T3" s="119"/>
      <c r="U3" s="116" t="s">
        <v>222</v>
      </c>
      <c r="V3" s="110">
        <f>V2*0.6</f>
        <v>26931.149999999998</v>
      </c>
      <c r="W3" s="116" t="s">
        <v>224</v>
      </c>
      <c r="X3" s="118"/>
      <c r="Y3" s="114"/>
      <c r="Z3" s="114"/>
      <c r="AA3" s="114"/>
      <c r="AB3" s="114"/>
      <c r="AC3" s="114"/>
      <c r="AD3" s="114"/>
      <c r="AE3" s="114"/>
    </row>
    <row r="4" spans="1:31" ht="14.25" customHeight="1" x14ac:dyDescent="0.15">
      <c r="A4" s="116" t="s">
        <v>55</v>
      </c>
      <c r="B4" s="123">
        <v>-3</v>
      </c>
      <c r="C4" s="116" t="s">
        <v>56</v>
      </c>
      <c r="D4" s="116"/>
      <c r="E4" s="116"/>
      <c r="F4" s="116"/>
      <c r="G4" s="116"/>
      <c r="H4" s="117"/>
      <c r="I4" s="174" t="s">
        <v>57</v>
      </c>
      <c r="J4" s="174"/>
      <c r="K4" s="174"/>
      <c r="L4" s="116">
        <v>2360</v>
      </c>
      <c r="M4" s="116"/>
      <c r="N4" s="116"/>
      <c r="O4" s="116"/>
      <c r="P4" s="116"/>
      <c r="Q4" s="116"/>
      <c r="R4" s="116"/>
      <c r="S4" s="118"/>
      <c r="T4" s="114"/>
      <c r="U4" s="124"/>
      <c r="V4" s="124"/>
      <c r="W4" s="124"/>
      <c r="X4" s="114"/>
      <c r="Y4" s="114"/>
      <c r="Z4" s="114"/>
      <c r="AA4" s="114"/>
      <c r="AB4" s="114"/>
      <c r="AC4" s="114"/>
      <c r="AD4" s="114"/>
      <c r="AE4" s="114"/>
    </row>
    <row r="5" spans="1:31" ht="13.5" customHeight="1" x14ac:dyDescent="0.15">
      <c r="A5" s="116"/>
      <c r="B5" s="116"/>
      <c r="C5" s="116"/>
      <c r="D5" s="116" t="s">
        <v>58</v>
      </c>
      <c r="E5" s="116"/>
      <c r="F5" s="116"/>
      <c r="G5" s="116"/>
      <c r="H5" s="117"/>
      <c r="I5" s="174" t="s">
        <v>59</v>
      </c>
      <c r="J5" s="174"/>
      <c r="K5" s="174"/>
      <c r="L5" s="116">
        <f>L2/O5*24*L4/1000</f>
        <v>202862.44829823181</v>
      </c>
      <c r="M5" s="116" t="s">
        <v>60</v>
      </c>
      <c r="N5" s="116" t="s">
        <v>284</v>
      </c>
      <c r="O5" s="116">
        <v>23</v>
      </c>
      <c r="P5" s="116" t="s">
        <v>62</v>
      </c>
      <c r="Q5" s="116">
        <f>L5/B2</f>
        <v>129.61774622495199</v>
      </c>
      <c r="R5" s="116" t="s">
        <v>63</v>
      </c>
      <c r="S5" s="118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</row>
    <row r="6" spans="1:31" ht="14.25" customHeight="1" x14ac:dyDescent="0.15">
      <c r="A6" s="116" t="s">
        <v>64</v>
      </c>
      <c r="B6" s="121"/>
      <c r="C6" s="121"/>
      <c r="D6" s="142"/>
      <c r="E6" s="124"/>
      <c r="F6" s="124"/>
      <c r="G6" s="124"/>
      <c r="H6" s="114"/>
      <c r="I6" s="126"/>
      <c r="J6" s="137"/>
      <c r="K6" s="137"/>
      <c r="L6" s="138"/>
      <c r="M6" s="138"/>
      <c r="N6" s="138"/>
      <c r="O6" s="138"/>
      <c r="P6" s="138"/>
      <c r="Q6" s="125"/>
      <c r="R6" s="12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</row>
    <row r="7" spans="1:31" ht="13.5" customHeight="1" x14ac:dyDescent="0.15">
      <c r="A7" s="116" t="s">
        <v>283</v>
      </c>
      <c r="B7" s="116"/>
      <c r="C7" s="116"/>
      <c r="D7" s="116" t="s">
        <v>6</v>
      </c>
      <c r="E7" s="118"/>
      <c r="F7" s="114"/>
      <c r="G7" s="114"/>
      <c r="H7" s="114"/>
      <c r="I7" s="127"/>
      <c r="J7" s="135"/>
      <c r="K7" s="135"/>
      <c r="L7" s="136"/>
      <c r="M7" s="136"/>
      <c r="N7" s="136"/>
      <c r="O7" s="136"/>
      <c r="P7" s="136"/>
      <c r="Q7" s="118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</row>
    <row r="8" spans="1:31" ht="14.25" customHeight="1" x14ac:dyDescent="0.15">
      <c r="A8" s="116"/>
      <c r="B8" s="116" t="s">
        <v>16</v>
      </c>
      <c r="C8" s="110">
        <f>Uvals!C7</f>
        <v>0.27949641610641884</v>
      </c>
      <c r="D8" s="116" t="s">
        <v>8</v>
      </c>
      <c r="E8" s="118"/>
      <c r="F8" s="114"/>
      <c r="G8" s="114"/>
      <c r="H8" s="114"/>
      <c r="I8" s="127"/>
      <c r="J8" s="135"/>
      <c r="K8" s="135"/>
      <c r="L8" s="136"/>
      <c r="M8" s="136"/>
      <c r="N8" s="136"/>
      <c r="O8" s="136"/>
      <c r="P8" s="136"/>
      <c r="Q8" s="118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</row>
    <row r="9" spans="1:31" ht="13.75" customHeight="1" x14ac:dyDescent="0.15">
      <c r="A9" s="116"/>
      <c r="B9" s="116" t="s">
        <v>65</v>
      </c>
      <c r="C9" s="110">
        <f>Uvals!C8</f>
        <v>2.2000000000000002</v>
      </c>
      <c r="D9" s="116" t="s">
        <v>11</v>
      </c>
      <c r="E9" s="118"/>
      <c r="F9" s="114"/>
      <c r="G9" s="114"/>
      <c r="H9" s="114"/>
      <c r="I9" s="127"/>
      <c r="J9" s="135"/>
      <c r="K9" s="135"/>
      <c r="L9" s="136"/>
      <c r="M9" s="136"/>
      <c r="N9" s="136"/>
      <c r="O9" s="136"/>
      <c r="P9" s="136"/>
      <c r="Q9" s="118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</row>
    <row r="10" spans="1:31" ht="13.75" customHeight="1" x14ac:dyDescent="0.15">
      <c r="A10" s="116"/>
      <c r="B10" s="116" t="s">
        <v>66</v>
      </c>
      <c r="C10" s="110">
        <v>0.45</v>
      </c>
      <c r="D10" s="116"/>
      <c r="E10" s="118"/>
      <c r="F10" s="114"/>
      <c r="G10" s="114"/>
      <c r="H10" s="114"/>
      <c r="I10" s="127"/>
      <c r="J10" s="135"/>
      <c r="K10" s="135"/>
      <c r="L10" s="136"/>
      <c r="M10" s="136"/>
      <c r="N10" s="136"/>
      <c r="O10" s="136"/>
      <c r="P10" s="136"/>
      <c r="Q10" s="118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</row>
    <row r="11" spans="1:31" ht="13.75" customHeight="1" x14ac:dyDescent="0.15">
      <c r="A11" s="116"/>
      <c r="B11" s="116" t="s">
        <v>67</v>
      </c>
      <c r="C11" s="110">
        <v>0.45</v>
      </c>
      <c r="D11" s="116"/>
      <c r="E11" s="118"/>
      <c r="F11" s="114"/>
      <c r="G11" s="114"/>
      <c r="H11" s="114"/>
      <c r="I11" s="127"/>
      <c r="J11" s="135"/>
      <c r="K11" s="135"/>
      <c r="L11" s="136"/>
      <c r="M11" s="136"/>
      <c r="N11" s="136"/>
      <c r="O11" s="136"/>
      <c r="P11" s="136"/>
      <c r="Q11" s="118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</row>
    <row r="12" spans="1:31" ht="13.5" customHeight="1" x14ac:dyDescent="0.15">
      <c r="A12" s="116"/>
      <c r="B12" s="116" t="s">
        <v>161</v>
      </c>
      <c r="C12" s="110">
        <f>Uvals!C11</f>
        <v>2.2000000000000002</v>
      </c>
      <c r="D12" s="116"/>
      <c r="E12" s="118"/>
      <c r="F12" s="114"/>
      <c r="G12" s="114"/>
      <c r="H12" s="114"/>
      <c r="I12" s="127"/>
      <c r="J12" s="135"/>
      <c r="K12" s="135"/>
      <c r="L12" s="136"/>
      <c r="M12" s="136"/>
      <c r="N12" s="136"/>
      <c r="O12" s="136"/>
      <c r="P12" s="136"/>
      <c r="Q12" s="118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</row>
    <row r="13" spans="1:31" ht="14.25" customHeight="1" x14ac:dyDescent="0.15">
      <c r="A13" s="124"/>
      <c r="B13" s="124"/>
      <c r="C13" s="124"/>
      <c r="D13" s="124"/>
      <c r="E13" s="114"/>
      <c r="F13" s="114"/>
      <c r="G13" s="114"/>
      <c r="H13" s="114"/>
      <c r="I13" s="127"/>
      <c r="J13" s="135"/>
      <c r="K13" s="135"/>
      <c r="L13" s="136"/>
      <c r="M13" s="136"/>
      <c r="N13" s="136"/>
      <c r="O13" s="136"/>
      <c r="P13" s="136"/>
      <c r="Q13" s="118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</row>
    <row r="14" spans="1:31" ht="13.5" customHeight="1" x14ac:dyDescent="0.15">
      <c r="A14" s="113"/>
      <c r="B14" s="113"/>
      <c r="C14" s="113"/>
      <c r="D14" s="113"/>
      <c r="E14" s="113"/>
      <c r="F14" s="113"/>
      <c r="G14" s="113"/>
      <c r="H14" s="113"/>
      <c r="I14" s="113"/>
      <c r="J14" s="128"/>
      <c r="K14" s="128"/>
      <c r="L14" s="128"/>
      <c r="M14" s="128"/>
      <c r="N14" s="128"/>
      <c r="O14" s="128"/>
      <c r="P14" s="128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</row>
    <row r="15" spans="1:31" ht="24" customHeight="1" x14ac:dyDescent="0.15">
      <c r="A15" s="116" t="s">
        <v>68</v>
      </c>
      <c r="B15" s="116" t="s">
        <v>7</v>
      </c>
      <c r="C15" s="116"/>
      <c r="D15" s="116" t="s">
        <v>10</v>
      </c>
      <c r="E15" s="116"/>
      <c r="F15" s="116" t="s">
        <v>69</v>
      </c>
      <c r="G15" s="116"/>
      <c r="H15" s="116" t="s">
        <v>70</v>
      </c>
      <c r="I15" s="116"/>
      <c r="J15" s="116" t="s">
        <v>160</v>
      </c>
      <c r="K15" s="116"/>
      <c r="L15" s="116" t="s">
        <v>7</v>
      </c>
      <c r="M15" s="116"/>
      <c r="N15" s="116" t="s">
        <v>10</v>
      </c>
      <c r="O15" s="116"/>
      <c r="P15" s="116" t="s">
        <v>12</v>
      </c>
      <c r="Q15" s="116"/>
      <c r="R15" s="116" t="s">
        <v>70</v>
      </c>
      <c r="S15" s="116"/>
      <c r="T15" s="116" t="s">
        <v>161</v>
      </c>
      <c r="U15" s="116"/>
      <c r="V15" s="116" t="s">
        <v>71</v>
      </c>
      <c r="W15" s="116" t="s">
        <v>72</v>
      </c>
      <c r="X15" s="116" t="s">
        <v>73</v>
      </c>
      <c r="Y15" s="116" t="s">
        <v>55</v>
      </c>
      <c r="Z15" s="116" t="s">
        <v>74</v>
      </c>
      <c r="AA15" s="116" t="s">
        <v>75</v>
      </c>
      <c r="AB15" s="116" t="s">
        <v>76</v>
      </c>
      <c r="AC15" s="129" t="s">
        <v>77</v>
      </c>
      <c r="AD15" s="116" t="s">
        <v>76</v>
      </c>
      <c r="AE15" s="116" t="s">
        <v>78</v>
      </c>
    </row>
    <row r="16" spans="1:31" ht="13.75" customHeight="1" x14ac:dyDescent="0.15">
      <c r="A16" s="116"/>
      <c r="B16" s="116" t="s">
        <v>79</v>
      </c>
      <c r="C16" s="116" t="s">
        <v>80</v>
      </c>
      <c r="D16" s="116" t="s">
        <v>79</v>
      </c>
      <c r="E16" s="116" t="s">
        <v>80</v>
      </c>
      <c r="F16" s="116" t="s">
        <v>79</v>
      </c>
      <c r="G16" s="116" t="s">
        <v>81</v>
      </c>
      <c r="H16" s="116" t="s">
        <v>79</v>
      </c>
      <c r="I16" s="116" t="s">
        <v>81</v>
      </c>
      <c r="J16" s="116" t="s">
        <v>79</v>
      </c>
      <c r="K16" s="116" t="s">
        <v>81</v>
      </c>
      <c r="L16" s="116" t="s">
        <v>5</v>
      </c>
      <c r="M16" s="116" t="s">
        <v>82</v>
      </c>
      <c r="N16" s="116" t="s">
        <v>5</v>
      </c>
      <c r="O16" s="116" t="s">
        <v>82</v>
      </c>
      <c r="P16" s="116" t="s">
        <v>5</v>
      </c>
      <c r="Q16" s="116" t="s">
        <v>82</v>
      </c>
      <c r="R16" s="116" t="s">
        <v>5</v>
      </c>
      <c r="S16" s="116" t="s">
        <v>82</v>
      </c>
      <c r="T16" s="116" t="s">
        <v>5</v>
      </c>
      <c r="U16" s="116" t="s">
        <v>82</v>
      </c>
      <c r="V16" s="116" t="s">
        <v>82</v>
      </c>
      <c r="W16" s="116" t="s">
        <v>83</v>
      </c>
      <c r="X16" s="116"/>
      <c r="Y16" s="116"/>
      <c r="Z16" s="116"/>
      <c r="AA16" s="116"/>
      <c r="AB16" s="116"/>
      <c r="AC16" s="116"/>
      <c r="AD16" s="116" t="s">
        <v>84</v>
      </c>
      <c r="AE16" s="116" t="s">
        <v>85</v>
      </c>
    </row>
    <row r="17" spans="1:32" ht="15" customHeight="1" x14ac:dyDescent="0.15">
      <c r="A17" s="116"/>
      <c r="B17" s="116" t="s">
        <v>86</v>
      </c>
      <c r="C17" s="116" t="s">
        <v>86</v>
      </c>
      <c r="D17" s="116" t="s">
        <v>86</v>
      </c>
      <c r="E17" s="116" t="s">
        <v>86</v>
      </c>
      <c r="F17" s="116" t="s">
        <v>86</v>
      </c>
      <c r="G17" s="116" t="s">
        <v>86</v>
      </c>
      <c r="H17" s="116" t="s">
        <v>86</v>
      </c>
      <c r="I17" s="116" t="s">
        <v>86</v>
      </c>
      <c r="J17" s="116" t="s">
        <v>86</v>
      </c>
      <c r="K17" s="116" t="s">
        <v>86</v>
      </c>
      <c r="L17" s="116" t="s">
        <v>280</v>
      </c>
      <c r="M17" s="116" t="s">
        <v>281</v>
      </c>
      <c r="N17" s="116" t="s">
        <v>280</v>
      </c>
      <c r="O17" s="116" t="s">
        <v>281</v>
      </c>
      <c r="P17" s="116" t="s">
        <v>280</v>
      </c>
      <c r="Q17" s="116" t="s">
        <v>281</v>
      </c>
      <c r="R17" s="116" t="s">
        <v>280</v>
      </c>
      <c r="S17" s="116" t="s">
        <v>281</v>
      </c>
      <c r="T17" s="116" t="s">
        <v>280</v>
      </c>
      <c r="U17" s="116" t="s">
        <v>281</v>
      </c>
      <c r="V17" s="116"/>
      <c r="W17" s="116" t="s">
        <v>281</v>
      </c>
      <c r="X17" s="116" t="s">
        <v>282</v>
      </c>
      <c r="Y17" s="116" t="s">
        <v>282</v>
      </c>
      <c r="Z17" s="116" t="s">
        <v>282</v>
      </c>
      <c r="AA17" s="116" t="s">
        <v>281</v>
      </c>
      <c r="AB17" s="116" t="s">
        <v>87</v>
      </c>
      <c r="AC17" s="116"/>
      <c r="AD17" s="116" t="s">
        <v>88</v>
      </c>
      <c r="AE17" s="116" t="s">
        <v>87</v>
      </c>
    </row>
    <row r="18" spans="1:32" ht="13.75" customHeight="1" x14ac:dyDescent="0.15">
      <c r="A18" s="116" t="s">
        <v>187</v>
      </c>
      <c r="B18" s="116">
        <f>6+5</f>
        <v>11</v>
      </c>
      <c r="C18" s="116">
        <v>3</v>
      </c>
      <c r="D18" s="116">
        <v>0</v>
      </c>
      <c r="E18" s="116">
        <v>0</v>
      </c>
      <c r="F18" s="116">
        <v>12.5</v>
      </c>
      <c r="G18" s="116">
        <v>6</v>
      </c>
      <c r="H18" s="116">
        <v>12.5</v>
      </c>
      <c r="I18" s="116">
        <v>6</v>
      </c>
      <c r="J18" s="116">
        <v>1.8</v>
      </c>
      <c r="K18" s="116">
        <v>2</v>
      </c>
      <c r="L18" s="116">
        <f t="shared" ref="L18:L36" si="0">$C$8</f>
        <v>0.27949641610641884</v>
      </c>
      <c r="M18" s="116">
        <f t="shared" ref="M18:M36" si="1">L18*(B18*C18-D18*E18)</f>
        <v>9.2233817315118216</v>
      </c>
      <c r="N18" s="116">
        <f t="shared" ref="N18:N36" si="2">$C$9</f>
        <v>2.2000000000000002</v>
      </c>
      <c r="O18" s="116">
        <f t="shared" ref="O18:O36" si="3">N18*D18*E18</f>
        <v>0</v>
      </c>
      <c r="P18" s="116">
        <f t="shared" ref="P18:P36" si="4">$C$10</f>
        <v>0.45</v>
      </c>
      <c r="Q18" s="116">
        <f t="shared" ref="Q18:Q35" si="5">P18*F18*G18</f>
        <v>33.75</v>
      </c>
      <c r="R18" s="116">
        <f t="shared" ref="R18:R36" si="6">$C$11</f>
        <v>0.45</v>
      </c>
      <c r="S18" s="116">
        <f t="shared" ref="S18:S35" si="7">R18*H18*I18</f>
        <v>33.75</v>
      </c>
      <c r="T18" s="116">
        <f t="shared" ref="T18:T36" si="8">$C$12</f>
        <v>2.2000000000000002</v>
      </c>
      <c r="U18" s="116">
        <f t="shared" ref="U18:U36" si="9">T18*J18*K18</f>
        <v>7.9200000000000008</v>
      </c>
      <c r="V18" s="116">
        <f>M18+O18+Q18+S18+U18</f>
        <v>84.643381731511823</v>
      </c>
      <c r="W18" s="116">
        <f>$B$3*F18*G18*C18/3</f>
        <v>75</v>
      </c>
      <c r="X18" s="123">
        <v>20</v>
      </c>
      <c r="Y18" s="123">
        <f t="shared" ref="Y18:Y36" si="10">$B$4</f>
        <v>-3</v>
      </c>
      <c r="Z18" s="116">
        <f t="shared" ref="Z18:Z36" si="11">X18-Y18</f>
        <v>23</v>
      </c>
      <c r="AA18" s="116">
        <f>M18+O18+Q18+S18+W18+U18</f>
        <v>159.64338173151182</v>
      </c>
      <c r="AB18" s="116">
        <f t="shared" ref="AB18:AB36" si="12">AA18*Z18</f>
        <v>3671.7977798247721</v>
      </c>
      <c r="AC18" s="116">
        <f>AB18/$AB$37*100</f>
        <v>4.4573065232751814</v>
      </c>
      <c r="AD18" s="116">
        <f t="shared" ref="AD18:AD36" si="13">AB18/(F18*G18)</f>
        <v>48.957303730996962</v>
      </c>
      <c r="AE18" s="116">
        <f>AB18*$E$2</f>
        <v>4406.1573357897259</v>
      </c>
      <c r="AF18" s="115">
        <f>AE18/$AE$37*100</f>
        <v>4.4573065232751823</v>
      </c>
    </row>
    <row r="19" spans="1:32" ht="13.75" customHeight="1" x14ac:dyDescent="0.15">
      <c r="A19" s="116" t="s">
        <v>187</v>
      </c>
      <c r="B19" s="116">
        <v>6</v>
      </c>
      <c r="C19" s="116">
        <v>3</v>
      </c>
      <c r="D19" s="116">
        <v>0</v>
      </c>
      <c r="E19" s="116">
        <v>0</v>
      </c>
      <c r="F19" s="116">
        <v>12.5</v>
      </c>
      <c r="G19" s="116">
        <v>6</v>
      </c>
      <c r="H19" s="116">
        <v>12.5</v>
      </c>
      <c r="I19" s="116">
        <v>6</v>
      </c>
      <c r="J19" s="116">
        <v>1.8</v>
      </c>
      <c r="K19" s="116">
        <v>2</v>
      </c>
      <c r="L19" s="116">
        <f t="shared" si="0"/>
        <v>0.27949641610641884</v>
      </c>
      <c r="M19" s="116">
        <f t="shared" si="1"/>
        <v>5.0309354899155387</v>
      </c>
      <c r="N19" s="116">
        <f t="shared" si="2"/>
        <v>2.2000000000000002</v>
      </c>
      <c r="O19" s="116">
        <f t="shared" si="3"/>
        <v>0</v>
      </c>
      <c r="P19" s="116">
        <f t="shared" si="4"/>
        <v>0.45</v>
      </c>
      <c r="Q19" s="116">
        <f t="shared" si="5"/>
        <v>33.75</v>
      </c>
      <c r="R19" s="116">
        <f t="shared" si="6"/>
        <v>0.45</v>
      </c>
      <c r="S19" s="116">
        <f t="shared" si="7"/>
        <v>33.75</v>
      </c>
      <c r="T19" s="116">
        <f t="shared" si="8"/>
        <v>2.2000000000000002</v>
      </c>
      <c r="U19" s="116">
        <f t="shared" si="9"/>
        <v>7.9200000000000008</v>
      </c>
      <c r="V19" s="116">
        <f t="shared" ref="V19:V36" si="14">M19+O19+Q19+S19+U19</f>
        <v>80.450935489915537</v>
      </c>
      <c r="W19" s="116">
        <f t="shared" ref="W19:W35" si="15">$B$3*F19*G19*C19/3</f>
        <v>75</v>
      </c>
      <c r="X19" s="123">
        <v>20</v>
      </c>
      <c r="Y19" s="123">
        <f t="shared" si="10"/>
        <v>-3</v>
      </c>
      <c r="Z19" s="116">
        <f t="shared" si="11"/>
        <v>23</v>
      </c>
      <c r="AA19" s="116">
        <f t="shared" ref="AA19:AA36" si="16">M19+O19+Q19+S19+W19+U19</f>
        <v>155.45093548991551</v>
      </c>
      <c r="AB19" s="116">
        <f t="shared" si="12"/>
        <v>3575.3715162680569</v>
      </c>
      <c r="AC19" s="116">
        <f t="shared" ref="AC19:AC36" si="17">AB19/$AB$37*100</f>
        <v>4.3402517617281253</v>
      </c>
      <c r="AD19" s="116">
        <f t="shared" si="13"/>
        <v>47.671620216907428</v>
      </c>
      <c r="AE19" s="116">
        <f t="shared" ref="AE19:AE36" si="18">AB19*$E$2</f>
        <v>4290.4458195216685</v>
      </c>
      <c r="AF19" s="115">
        <f t="shared" ref="AF19:AF36" si="19">AE19/$AE$37*100</f>
        <v>4.3402517617281271</v>
      </c>
    </row>
    <row r="20" spans="1:32" ht="13.75" customHeight="1" x14ac:dyDescent="0.15">
      <c r="A20" s="116" t="s">
        <v>187</v>
      </c>
      <c r="B20" s="116">
        <v>6</v>
      </c>
      <c r="C20" s="116">
        <v>3</v>
      </c>
      <c r="D20" s="116">
        <v>0</v>
      </c>
      <c r="E20" s="116">
        <v>0</v>
      </c>
      <c r="F20" s="116">
        <v>12.5</v>
      </c>
      <c r="G20" s="116">
        <v>6</v>
      </c>
      <c r="H20" s="116">
        <v>12.5</v>
      </c>
      <c r="I20" s="116">
        <v>6</v>
      </c>
      <c r="J20" s="116">
        <v>1.8</v>
      </c>
      <c r="K20" s="116">
        <v>2</v>
      </c>
      <c r="L20" s="116">
        <f t="shared" si="0"/>
        <v>0.27949641610641884</v>
      </c>
      <c r="M20" s="116">
        <f t="shared" si="1"/>
        <v>5.0309354899155387</v>
      </c>
      <c r="N20" s="116">
        <f t="shared" si="2"/>
        <v>2.2000000000000002</v>
      </c>
      <c r="O20" s="116">
        <f t="shared" si="3"/>
        <v>0</v>
      </c>
      <c r="P20" s="116">
        <f t="shared" si="4"/>
        <v>0.45</v>
      </c>
      <c r="Q20" s="116">
        <f t="shared" si="5"/>
        <v>33.75</v>
      </c>
      <c r="R20" s="116">
        <f t="shared" si="6"/>
        <v>0.45</v>
      </c>
      <c r="S20" s="116">
        <f t="shared" si="7"/>
        <v>33.75</v>
      </c>
      <c r="T20" s="116">
        <f t="shared" si="8"/>
        <v>2.2000000000000002</v>
      </c>
      <c r="U20" s="116">
        <f t="shared" si="9"/>
        <v>7.9200000000000008</v>
      </c>
      <c r="V20" s="116">
        <f t="shared" si="14"/>
        <v>80.450935489915537</v>
      </c>
      <c r="W20" s="116">
        <f t="shared" si="15"/>
        <v>75</v>
      </c>
      <c r="X20" s="123">
        <v>20</v>
      </c>
      <c r="Y20" s="123">
        <f t="shared" si="10"/>
        <v>-3</v>
      </c>
      <c r="Z20" s="116">
        <f t="shared" si="11"/>
        <v>23</v>
      </c>
      <c r="AA20" s="116">
        <f t="shared" si="16"/>
        <v>155.45093548991551</v>
      </c>
      <c r="AB20" s="116">
        <f t="shared" si="12"/>
        <v>3575.3715162680569</v>
      </c>
      <c r="AC20" s="116">
        <f t="shared" si="17"/>
        <v>4.3402517617281253</v>
      </c>
      <c r="AD20" s="116">
        <f t="shared" si="13"/>
        <v>47.671620216907428</v>
      </c>
      <c r="AE20" s="116">
        <f t="shared" si="18"/>
        <v>4290.4458195216685</v>
      </c>
      <c r="AF20" s="115">
        <f t="shared" si="19"/>
        <v>4.3402517617281271</v>
      </c>
    </row>
    <row r="21" spans="1:32" ht="13.75" customHeight="1" x14ac:dyDescent="0.15">
      <c r="A21" s="116" t="s">
        <v>188</v>
      </c>
      <c r="B21" s="116">
        <v>6</v>
      </c>
      <c r="C21" s="116">
        <v>3</v>
      </c>
      <c r="D21" s="116">
        <v>0</v>
      </c>
      <c r="E21" s="116">
        <v>0</v>
      </c>
      <c r="F21" s="116">
        <v>12.5</v>
      </c>
      <c r="G21" s="116">
        <v>6</v>
      </c>
      <c r="H21" s="116">
        <v>12.5</v>
      </c>
      <c r="I21" s="116">
        <v>6</v>
      </c>
      <c r="J21" s="116">
        <v>0.9</v>
      </c>
      <c r="K21" s="116">
        <v>2</v>
      </c>
      <c r="L21" s="116">
        <f t="shared" si="0"/>
        <v>0.27949641610641884</v>
      </c>
      <c r="M21" s="116">
        <f t="shared" si="1"/>
        <v>5.0309354899155387</v>
      </c>
      <c r="N21" s="116">
        <f t="shared" si="2"/>
        <v>2.2000000000000002</v>
      </c>
      <c r="O21" s="116">
        <f t="shared" si="3"/>
        <v>0</v>
      </c>
      <c r="P21" s="116">
        <f t="shared" si="4"/>
        <v>0.45</v>
      </c>
      <c r="Q21" s="116">
        <f t="shared" si="5"/>
        <v>33.75</v>
      </c>
      <c r="R21" s="116">
        <f t="shared" si="6"/>
        <v>0.45</v>
      </c>
      <c r="S21" s="116">
        <f t="shared" si="7"/>
        <v>33.75</v>
      </c>
      <c r="T21" s="116">
        <f t="shared" si="8"/>
        <v>2.2000000000000002</v>
      </c>
      <c r="U21" s="116">
        <f t="shared" si="9"/>
        <v>3.9600000000000004</v>
      </c>
      <c r="V21" s="116">
        <f t="shared" si="14"/>
        <v>76.490935489915529</v>
      </c>
      <c r="W21" s="116">
        <f t="shared" si="15"/>
        <v>75</v>
      </c>
      <c r="X21" s="123">
        <v>20</v>
      </c>
      <c r="Y21" s="123">
        <f t="shared" si="10"/>
        <v>-3</v>
      </c>
      <c r="Z21" s="116">
        <f t="shared" si="11"/>
        <v>23</v>
      </c>
      <c r="AA21" s="116">
        <f t="shared" si="16"/>
        <v>151.49093548991553</v>
      </c>
      <c r="AB21" s="116">
        <f t="shared" si="12"/>
        <v>3484.291516268057</v>
      </c>
      <c r="AC21" s="116">
        <f t="shared" si="17"/>
        <v>4.2296869914211737</v>
      </c>
      <c r="AD21" s="116">
        <f t="shared" si="13"/>
        <v>46.457220216907423</v>
      </c>
      <c r="AE21" s="116">
        <f t="shared" si="18"/>
        <v>4181.1498195216682</v>
      </c>
      <c r="AF21" s="115">
        <f t="shared" si="19"/>
        <v>4.2296869914211745</v>
      </c>
    </row>
    <row r="22" spans="1:32" ht="13.75" customHeight="1" x14ac:dyDescent="0.15">
      <c r="A22" s="116" t="s">
        <v>188</v>
      </c>
      <c r="B22" s="116">
        <f>6+5</f>
        <v>11</v>
      </c>
      <c r="C22" s="116">
        <v>3</v>
      </c>
      <c r="D22" s="116">
        <v>0</v>
      </c>
      <c r="E22" s="116">
        <v>0</v>
      </c>
      <c r="F22" s="116">
        <v>12.5</v>
      </c>
      <c r="G22" s="116">
        <v>6</v>
      </c>
      <c r="H22" s="116">
        <v>12.5</v>
      </c>
      <c r="I22" s="116">
        <v>6</v>
      </c>
      <c r="J22" s="116">
        <v>0.9</v>
      </c>
      <c r="K22" s="116">
        <v>2</v>
      </c>
      <c r="L22" s="116">
        <f t="shared" si="0"/>
        <v>0.27949641610641884</v>
      </c>
      <c r="M22" s="116">
        <f t="shared" si="1"/>
        <v>9.2233817315118216</v>
      </c>
      <c r="N22" s="116">
        <f t="shared" si="2"/>
        <v>2.2000000000000002</v>
      </c>
      <c r="O22" s="116">
        <f t="shared" si="3"/>
        <v>0</v>
      </c>
      <c r="P22" s="116">
        <f t="shared" si="4"/>
        <v>0.45</v>
      </c>
      <c r="Q22" s="116">
        <f t="shared" si="5"/>
        <v>33.75</v>
      </c>
      <c r="R22" s="116">
        <f t="shared" si="6"/>
        <v>0.45</v>
      </c>
      <c r="S22" s="116">
        <f t="shared" si="7"/>
        <v>33.75</v>
      </c>
      <c r="T22" s="116">
        <f t="shared" si="8"/>
        <v>2.2000000000000002</v>
      </c>
      <c r="U22" s="116">
        <f t="shared" si="9"/>
        <v>3.9600000000000004</v>
      </c>
      <c r="V22" s="116">
        <f t="shared" si="14"/>
        <v>80.683381731511815</v>
      </c>
      <c r="W22" s="116">
        <f t="shared" si="15"/>
        <v>75</v>
      </c>
      <c r="X22" s="123">
        <v>20</v>
      </c>
      <c r="Y22" s="123">
        <f t="shared" si="10"/>
        <v>-3</v>
      </c>
      <c r="Z22" s="116">
        <f t="shared" si="11"/>
        <v>23</v>
      </c>
      <c r="AA22" s="116">
        <f t="shared" si="16"/>
        <v>155.68338173151184</v>
      </c>
      <c r="AB22" s="116">
        <f t="shared" si="12"/>
        <v>3580.7177798247726</v>
      </c>
      <c r="AC22" s="116">
        <f t="shared" si="17"/>
        <v>4.3467417529682297</v>
      </c>
      <c r="AD22" s="116">
        <f t="shared" si="13"/>
        <v>47.742903730996971</v>
      </c>
      <c r="AE22" s="116">
        <f t="shared" si="18"/>
        <v>4296.8613357897266</v>
      </c>
      <c r="AF22" s="115">
        <f t="shared" si="19"/>
        <v>4.3467417529682306</v>
      </c>
    </row>
    <row r="23" spans="1:32" ht="13.75" customHeight="1" x14ac:dyDescent="0.15">
      <c r="A23" s="116" t="s">
        <v>162</v>
      </c>
      <c r="B23" s="116">
        <f>6+3+1</f>
        <v>10</v>
      </c>
      <c r="C23" s="116">
        <v>3</v>
      </c>
      <c r="D23" s="116">
        <f>6+3+1</f>
        <v>10</v>
      </c>
      <c r="E23" s="116">
        <v>2.5</v>
      </c>
      <c r="F23" s="116">
        <f>6+7</f>
        <v>13</v>
      </c>
      <c r="G23" s="116">
        <v>2.5</v>
      </c>
      <c r="H23" s="116">
        <v>9</v>
      </c>
      <c r="I23" s="116">
        <v>2.5</v>
      </c>
      <c r="J23" s="116">
        <v>1.8</v>
      </c>
      <c r="K23" s="116">
        <v>2</v>
      </c>
      <c r="L23" s="116">
        <f t="shared" si="0"/>
        <v>0.27949641610641884</v>
      </c>
      <c r="M23" s="116">
        <f t="shared" si="1"/>
        <v>1.3974820805320942</v>
      </c>
      <c r="N23" s="116">
        <f t="shared" si="2"/>
        <v>2.2000000000000002</v>
      </c>
      <c r="O23" s="116">
        <f t="shared" si="3"/>
        <v>55</v>
      </c>
      <c r="P23" s="116">
        <f t="shared" si="4"/>
        <v>0.45</v>
      </c>
      <c r="Q23" s="116">
        <f>P23*F41</f>
        <v>7.3125</v>
      </c>
      <c r="R23" s="116">
        <f t="shared" si="6"/>
        <v>0.45</v>
      </c>
      <c r="S23" s="116">
        <f>R23*(H23*I23/2)</f>
        <v>5.0625</v>
      </c>
      <c r="T23" s="116">
        <f t="shared" si="8"/>
        <v>2.2000000000000002</v>
      </c>
      <c r="U23" s="116">
        <f t="shared" si="9"/>
        <v>7.9200000000000008</v>
      </c>
      <c r="V23" s="116">
        <f t="shared" si="14"/>
        <v>76.692482080532088</v>
      </c>
      <c r="W23" s="116">
        <f t="shared" si="15"/>
        <v>32.5</v>
      </c>
      <c r="X23" s="123">
        <v>20</v>
      </c>
      <c r="Y23" s="123">
        <f t="shared" si="10"/>
        <v>-3</v>
      </c>
      <c r="Z23" s="116">
        <f t="shared" si="11"/>
        <v>23</v>
      </c>
      <c r="AA23" s="116">
        <f t="shared" si="16"/>
        <v>109.19248208053209</v>
      </c>
      <c r="AB23" s="116">
        <f t="shared" si="12"/>
        <v>2511.4270878522379</v>
      </c>
      <c r="AC23" s="116">
        <f t="shared" si="17"/>
        <v>3.0486973991111213</v>
      </c>
      <c r="AD23" s="116">
        <f t="shared" si="13"/>
        <v>77.274679626222706</v>
      </c>
      <c r="AE23" s="116">
        <f t="shared" si="18"/>
        <v>3013.7125054226854</v>
      </c>
      <c r="AF23" s="115">
        <f t="shared" si="19"/>
        <v>3.0486973991111217</v>
      </c>
    </row>
    <row r="24" spans="1:32" ht="13.75" customHeight="1" x14ac:dyDescent="0.15">
      <c r="A24" s="116" t="s">
        <v>163</v>
      </c>
      <c r="B24" s="116">
        <f>3+7.5</f>
        <v>10.5</v>
      </c>
      <c r="C24" s="116">
        <v>3</v>
      </c>
      <c r="D24" s="116">
        <v>0</v>
      </c>
      <c r="E24" s="116">
        <v>0</v>
      </c>
      <c r="F24" s="116">
        <v>3</v>
      </c>
      <c r="G24" s="116">
        <v>7.5</v>
      </c>
      <c r="H24" s="116">
        <v>3</v>
      </c>
      <c r="I24" s="116">
        <v>7.5</v>
      </c>
      <c r="J24" s="116">
        <v>0.9</v>
      </c>
      <c r="K24" s="116">
        <v>2</v>
      </c>
      <c r="L24" s="116">
        <f t="shared" si="0"/>
        <v>0.27949641610641884</v>
      </c>
      <c r="M24" s="116">
        <f t="shared" si="1"/>
        <v>8.8041371073521937</v>
      </c>
      <c r="N24" s="116">
        <f t="shared" si="2"/>
        <v>2.2000000000000002</v>
      </c>
      <c r="O24" s="116">
        <f t="shared" si="3"/>
        <v>0</v>
      </c>
      <c r="P24" s="116">
        <f t="shared" si="4"/>
        <v>0.45</v>
      </c>
      <c r="Q24" s="116">
        <f>P24*F41</f>
        <v>7.3125</v>
      </c>
      <c r="R24" s="116">
        <f t="shared" si="6"/>
        <v>0.45</v>
      </c>
      <c r="S24" s="116">
        <f>R24*F24*G24</f>
        <v>10.125</v>
      </c>
      <c r="T24" s="116">
        <f t="shared" si="8"/>
        <v>2.2000000000000002</v>
      </c>
      <c r="U24" s="116">
        <f t="shared" si="9"/>
        <v>3.9600000000000004</v>
      </c>
      <c r="V24" s="116">
        <f t="shared" si="14"/>
        <v>30.201637107352195</v>
      </c>
      <c r="W24" s="116">
        <f>$B$3*F41*C24/3</f>
        <v>16.25</v>
      </c>
      <c r="X24" s="123">
        <v>20</v>
      </c>
      <c r="Y24" s="123">
        <f t="shared" si="10"/>
        <v>-3</v>
      </c>
      <c r="Z24" s="116">
        <f t="shared" si="11"/>
        <v>23</v>
      </c>
      <c r="AA24" s="116">
        <f t="shared" si="16"/>
        <v>46.451637107352191</v>
      </c>
      <c r="AB24" s="116">
        <f t="shared" si="12"/>
        <v>1068.3876534691003</v>
      </c>
      <c r="AC24" s="116">
        <f t="shared" si="17"/>
        <v>1.2969481280697726</v>
      </c>
      <c r="AD24" s="116">
        <f t="shared" si="13"/>
        <v>47.483895709737794</v>
      </c>
      <c r="AE24" s="116">
        <f t="shared" si="18"/>
        <v>1282.0651841629203</v>
      </c>
      <c r="AF24" s="115">
        <f t="shared" si="19"/>
        <v>1.2969481280697728</v>
      </c>
    </row>
    <row r="25" spans="1:32" ht="13.75" customHeight="1" x14ac:dyDescent="0.15">
      <c r="A25" s="116" t="s">
        <v>189</v>
      </c>
      <c r="B25" s="116">
        <v>0</v>
      </c>
      <c r="C25" s="116">
        <v>3</v>
      </c>
      <c r="D25" s="116">
        <v>0</v>
      </c>
      <c r="E25" s="116">
        <v>0</v>
      </c>
      <c r="F25" s="116">
        <v>13.5</v>
      </c>
      <c r="G25" s="116">
        <v>13.5</v>
      </c>
      <c r="H25" s="116">
        <v>13.5</v>
      </c>
      <c r="I25" s="116">
        <v>13.5</v>
      </c>
      <c r="J25" s="116">
        <v>3.6</v>
      </c>
      <c r="K25" s="116">
        <v>2</v>
      </c>
      <c r="L25" s="116">
        <f t="shared" si="0"/>
        <v>0.27949641610641884</v>
      </c>
      <c r="M25" s="116">
        <f t="shared" si="1"/>
        <v>0</v>
      </c>
      <c r="N25" s="116">
        <f t="shared" si="2"/>
        <v>2.2000000000000002</v>
      </c>
      <c r="O25" s="116">
        <f t="shared" si="3"/>
        <v>0</v>
      </c>
      <c r="P25" s="116">
        <f t="shared" si="4"/>
        <v>0.45</v>
      </c>
      <c r="Q25" s="116">
        <f>P25*F43</f>
        <v>64.412466875633228</v>
      </c>
      <c r="R25" s="116">
        <f t="shared" si="6"/>
        <v>0.45</v>
      </c>
      <c r="S25" s="116">
        <f>R25*F43</f>
        <v>64.412466875633228</v>
      </c>
      <c r="T25" s="116">
        <f t="shared" si="8"/>
        <v>2.2000000000000002</v>
      </c>
      <c r="U25" s="116">
        <f t="shared" si="9"/>
        <v>15.840000000000002</v>
      </c>
      <c r="V25" s="116">
        <f t="shared" si="14"/>
        <v>144.66493375126646</v>
      </c>
      <c r="W25" s="116">
        <f>$B$3*F43*C25/3</f>
        <v>143.13881527918494</v>
      </c>
      <c r="X25" s="123">
        <v>20</v>
      </c>
      <c r="Y25" s="123">
        <f t="shared" si="10"/>
        <v>-3</v>
      </c>
      <c r="Z25" s="116">
        <f t="shared" si="11"/>
        <v>23</v>
      </c>
      <c r="AA25" s="116">
        <f t="shared" si="16"/>
        <v>287.80374903045134</v>
      </c>
      <c r="AB25" s="116">
        <f t="shared" si="12"/>
        <v>6619.4862277003813</v>
      </c>
      <c r="AC25" s="116">
        <f t="shared" si="17"/>
        <v>8.0355947992504078</v>
      </c>
      <c r="AD25" s="116">
        <f t="shared" si="13"/>
        <v>36.320912086147494</v>
      </c>
      <c r="AE25" s="116">
        <f t="shared" si="18"/>
        <v>7943.3834732404575</v>
      </c>
      <c r="AF25" s="115">
        <f t="shared" si="19"/>
        <v>8.0355947992504095</v>
      </c>
    </row>
    <row r="26" spans="1:32" ht="13.75" customHeight="1" x14ac:dyDescent="0.15">
      <c r="A26" s="116" t="s">
        <v>190</v>
      </c>
      <c r="B26" s="116">
        <f>0.5*PI()*27.5/6</f>
        <v>7.19948316447661</v>
      </c>
      <c r="C26" s="116">
        <v>3</v>
      </c>
      <c r="D26" s="116">
        <v>7</v>
      </c>
      <c r="E26" s="116">
        <v>2.5</v>
      </c>
      <c r="F26" s="116">
        <f>27.5-13.5-3</f>
        <v>11</v>
      </c>
      <c r="G26" s="116">
        <f t="shared" ref="G26:H31" si="20">27.5-13.5-3</f>
        <v>11</v>
      </c>
      <c r="H26" s="116">
        <f>27.5-13.5-3</f>
        <v>11</v>
      </c>
      <c r="I26" s="116">
        <f t="shared" ref="I26:I31" si="21">27.5-13.5-3</f>
        <v>11</v>
      </c>
      <c r="J26" s="116">
        <v>1.8</v>
      </c>
      <c r="K26" s="116">
        <v>2</v>
      </c>
      <c r="L26" s="116">
        <f t="shared" si="0"/>
        <v>0.27949641610641884</v>
      </c>
      <c r="M26" s="116">
        <f t="shared" si="1"/>
        <v>1.1455019450068049</v>
      </c>
      <c r="N26" s="116">
        <f t="shared" si="2"/>
        <v>2.2000000000000002</v>
      </c>
      <c r="O26" s="116">
        <f t="shared" si="3"/>
        <v>38.500000000000007</v>
      </c>
      <c r="P26" s="116">
        <f t="shared" si="4"/>
        <v>0.45</v>
      </c>
      <c r="Q26" s="116">
        <f>P26*$F$44</f>
        <v>28.509953331327377</v>
      </c>
      <c r="R26" s="116">
        <f t="shared" si="6"/>
        <v>0.45</v>
      </c>
      <c r="S26" s="116">
        <f>R26*$F$44</f>
        <v>28.509953331327377</v>
      </c>
      <c r="T26" s="116">
        <f t="shared" si="8"/>
        <v>2.2000000000000002</v>
      </c>
      <c r="U26" s="116">
        <f t="shared" si="9"/>
        <v>7.9200000000000008</v>
      </c>
      <c r="V26" s="116">
        <f t="shared" si="14"/>
        <v>104.58540860766158</v>
      </c>
      <c r="W26" s="116">
        <f>$B$3*$F$44*C26/3</f>
        <v>63.355451847394171</v>
      </c>
      <c r="X26" s="123">
        <v>20</v>
      </c>
      <c r="Y26" s="123">
        <f t="shared" si="10"/>
        <v>-3</v>
      </c>
      <c r="Z26" s="116">
        <f t="shared" si="11"/>
        <v>23</v>
      </c>
      <c r="AA26" s="116">
        <f t="shared" si="16"/>
        <v>167.94086045505574</v>
      </c>
      <c r="AB26" s="116">
        <f t="shared" si="12"/>
        <v>3862.6397904662822</v>
      </c>
      <c r="AC26" s="116">
        <f t="shared" si="17"/>
        <v>4.6889754195366606</v>
      </c>
      <c r="AD26" s="116">
        <f t="shared" si="13"/>
        <v>31.922642896415557</v>
      </c>
      <c r="AE26" s="116">
        <f t="shared" si="18"/>
        <v>4635.1677485595383</v>
      </c>
      <c r="AF26" s="115">
        <f t="shared" si="19"/>
        <v>4.6889754195366615</v>
      </c>
    </row>
    <row r="27" spans="1:32" ht="13.75" customHeight="1" x14ac:dyDescent="0.15">
      <c r="A27" s="116" t="s">
        <v>190</v>
      </c>
      <c r="B27" s="116">
        <f t="shared" ref="B27:B31" si="22">0.5*PI()*27.5/6</f>
        <v>7.19948316447661</v>
      </c>
      <c r="C27" s="116">
        <v>3</v>
      </c>
      <c r="D27" s="116">
        <v>7</v>
      </c>
      <c r="E27" s="116">
        <v>2.5</v>
      </c>
      <c r="F27" s="116">
        <f t="shared" ref="F27:F31" si="23">27.5-13.5-3</f>
        <v>11</v>
      </c>
      <c r="G27" s="116">
        <f t="shared" si="20"/>
        <v>11</v>
      </c>
      <c r="H27" s="116">
        <f t="shared" si="20"/>
        <v>11</v>
      </c>
      <c r="I27" s="116">
        <f t="shared" si="21"/>
        <v>11</v>
      </c>
      <c r="J27" s="116">
        <v>1.8</v>
      </c>
      <c r="K27" s="116">
        <v>2</v>
      </c>
      <c r="L27" s="116">
        <f t="shared" si="0"/>
        <v>0.27949641610641884</v>
      </c>
      <c r="M27" s="116">
        <f t="shared" si="1"/>
        <v>1.1455019450068049</v>
      </c>
      <c r="N27" s="116">
        <f t="shared" si="2"/>
        <v>2.2000000000000002</v>
      </c>
      <c r="O27" s="116">
        <f t="shared" si="3"/>
        <v>38.500000000000007</v>
      </c>
      <c r="P27" s="116">
        <f t="shared" si="4"/>
        <v>0.45</v>
      </c>
      <c r="Q27" s="116">
        <f t="shared" ref="Q27:Q30" si="24">P27*$F$44</f>
        <v>28.509953331327377</v>
      </c>
      <c r="R27" s="116">
        <f t="shared" si="6"/>
        <v>0.45</v>
      </c>
      <c r="S27" s="116">
        <f t="shared" ref="S27:S31" si="25">R27*$F$44</f>
        <v>28.509953331327377</v>
      </c>
      <c r="T27" s="116">
        <f t="shared" si="8"/>
        <v>2.2000000000000002</v>
      </c>
      <c r="U27" s="116">
        <f t="shared" si="9"/>
        <v>7.9200000000000008</v>
      </c>
      <c r="V27" s="116">
        <f t="shared" si="14"/>
        <v>104.58540860766158</v>
      </c>
      <c r="W27" s="116">
        <f t="shared" ref="W27:W31" si="26">$B$3*$F$44*C27/3</f>
        <v>63.355451847394171</v>
      </c>
      <c r="X27" s="123">
        <v>20</v>
      </c>
      <c r="Y27" s="123">
        <f t="shared" si="10"/>
        <v>-3</v>
      </c>
      <c r="Z27" s="116">
        <f t="shared" si="11"/>
        <v>23</v>
      </c>
      <c r="AA27" s="116">
        <f t="shared" si="16"/>
        <v>167.94086045505574</v>
      </c>
      <c r="AB27" s="116">
        <f t="shared" si="12"/>
        <v>3862.6397904662822</v>
      </c>
      <c r="AC27" s="116">
        <f t="shared" si="17"/>
        <v>4.6889754195366606</v>
      </c>
      <c r="AD27" s="116">
        <f t="shared" si="13"/>
        <v>31.922642896415557</v>
      </c>
      <c r="AE27" s="116">
        <f t="shared" si="18"/>
        <v>4635.1677485595383</v>
      </c>
      <c r="AF27" s="115">
        <f t="shared" si="19"/>
        <v>4.6889754195366615</v>
      </c>
    </row>
    <row r="28" spans="1:32" ht="13.75" customHeight="1" x14ac:dyDescent="0.15">
      <c r="A28" s="116" t="s">
        <v>190</v>
      </c>
      <c r="B28" s="116">
        <f t="shared" si="22"/>
        <v>7.19948316447661</v>
      </c>
      <c r="C28" s="116">
        <v>3</v>
      </c>
      <c r="D28" s="116">
        <v>7</v>
      </c>
      <c r="E28" s="116">
        <v>2.5</v>
      </c>
      <c r="F28" s="116">
        <f t="shared" si="23"/>
        <v>11</v>
      </c>
      <c r="G28" s="116">
        <f t="shared" si="20"/>
        <v>11</v>
      </c>
      <c r="H28" s="116">
        <f t="shared" si="20"/>
        <v>11</v>
      </c>
      <c r="I28" s="116">
        <f t="shared" si="21"/>
        <v>11</v>
      </c>
      <c r="J28" s="116">
        <v>1.8</v>
      </c>
      <c r="K28" s="116">
        <v>2</v>
      </c>
      <c r="L28" s="116">
        <f t="shared" si="0"/>
        <v>0.27949641610641884</v>
      </c>
      <c r="M28" s="116">
        <f t="shared" si="1"/>
        <v>1.1455019450068049</v>
      </c>
      <c r="N28" s="116">
        <f t="shared" si="2"/>
        <v>2.2000000000000002</v>
      </c>
      <c r="O28" s="116">
        <f t="shared" si="3"/>
        <v>38.500000000000007</v>
      </c>
      <c r="P28" s="116">
        <f t="shared" si="4"/>
        <v>0.45</v>
      </c>
      <c r="Q28" s="116">
        <f t="shared" si="24"/>
        <v>28.509953331327377</v>
      </c>
      <c r="R28" s="116">
        <f t="shared" si="6"/>
        <v>0.45</v>
      </c>
      <c r="S28" s="116">
        <f t="shared" si="25"/>
        <v>28.509953331327377</v>
      </c>
      <c r="T28" s="116">
        <f t="shared" si="8"/>
        <v>2.2000000000000002</v>
      </c>
      <c r="U28" s="116">
        <f t="shared" si="9"/>
        <v>7.9200000000000008</v>
      </c>
      <c r="V28" s="116">
        <f t="shared" si="14"/>
        <v>104.58540860766158</v>
      </c>
      <c r="W28" s="116">
        <f t="shared" si="26"/>
        <v>63.355451847394171</v>
      </c>
      <c r="X28" s="123">
        <v>20</v>
      </c>
      <c r="Y28" s="123">
        <f t="shared" si="10"/>
        <v>-3</v>
      </c>
      <c r="Z28" s="116">
        <f t="shared" si="11"/>
        <v>23</v>
      </c>
      <c r="AA28" s="116">
        <f t="shared" si="16"/>
        <v>167.94086045505574</v>
      </c>
      <c r="AB28" s="116">
        <f t="shared" si="12"/>
        <v>3862.6397904662822</v>
      </c>
      <c r="AC28" s="116">
        <f t="shared" si="17"/>
        <v>4.6889754195366606</v>
      </c>
      <c r="AD28" s="116">
        <f t="shared" si="13"/>
        <v>31.922642896415557</v>
      </c>
      <c r="AE28" s="116">
        <f t="shared" si="18"/>
        <v>4635.1677485595383</v>
      </c>
      <c r="AF28" s="115">
        <f t="shared" si="19"/>
        <v>4.6889754195366615</v>
      </c>
    </row>
    <row r="29" spans="1:32" ht="13.75" customHeight="1" x14ac:dyDescent="0.15">
      <c r="A29" s="116" t="s">
        <v>190</v>
      </c>
      <c r="B29" s="116">
        <f t="shared" si="22"/>
        <v>7.19948316447661</v>
      </c>
      <c r="C29" s="116">
        <v>3</v>
      </c>
      <c r="D29" s="116">
        <v>7</v>
      </c>
      <c r="E29" s="116">
        <v>2.5</v>
      </c>
      <c r="F29" s="116">
        <f t="shared" si="23"/>
        <v>11</v>
      </c>
      <c r="G29" s="116">
        <f t="shared" si="20"/>
        <v>11</v>
      </c>
      <c r="H29" s="116">
        <f t="shared" si="20"/>
        <v>11</v>
      </c>
      <c r="I29" s="116">
        <f t="shared" si="21"/>
        <v>11</v>
      </c>
      <c r="J29" s="116">
        <v>1.8</v>
      </c>
      <c r="K29" s="116">
        <v>2</v>
      </c>
      <c r="L29" s="116">
        <f t="shared" si="0"/>
        <v>0.27949641610641884</v>
      </c>
      <c r="M29" s="116">
        <f t="shared" si="1"/>
        <v>1.1455019450068049</v>
      </c>
      <c r="N29" s="116">
        <f t="shared" si="2"/>
        <v>2.2000000000000002</v>
      </c>
      <c r="O29" s="116">
        <f t="shared" si="3"/>
        <v>38.500000000000007</v>
      </c>
      <c r="P29" s="116">
        <f t="shared" si="4"/>
        <v>0.45</v>
      </c>
      <c r="Q29" s="116">
        <f t="shared" si="24"/>
        <v>28.509953331327377</v>
      </c>
      <c r="R29" s="116">
        <f t="shared" si="6"/>
        <v>0.45</v>
      </c>
      <c r="S29" s="116">
        <f t="shared" si="25"/>
        <v>28.509953331327377</v>
      </c>
      <c r="T29" s="116">
        <f t="shared" si="8"/>
        <v>2.2000000000000002</v>
      </c>
      <c r="U29" s="116">
        <f t="shared" si="9"/>
        <v>7.9200000000000008</v>
      </c>
      <c r="V29" s="116">
        <f t="shared" si="14"/>
        <v>104.58540860766158</v>
      </c>
      <c r="W29" s="116">
        <f t="shared" si="26"/>
        <v>63.355451847394171</v>
      </c>
      <c r="X29" s="123">
        <v>20</v>
      </c>
      <c r="Y29" s="123">
        <f t="shared" si="10"/>
        <v>-3</v>
      </c>
      <c r="Z29" s="116">
        <f t="shared" si="11"/>
        <v>23</v>
      </c>
      <c r="AA29" s="116">
        <f t="shared" si="16"/>
        <v>167.94086045505574</v>
      </c>
      <c r="AB29" s="116">
        <f t="shared" si="12"/>
        <v>3862.6397904662822</v>
      </c>
      <c r="AC29" s="116">
        <f t="shared" si="17"/>
        <v>4.6889754195366606</v>
      </c>
      <c r="AD29" s="116">
        <f t="shared" si="13"/>
        <v>31.922642896415557</v>
      </c>
      <c r="AE29" s="116">
        <f t="shared" si="18"/>
        <v>4635.1677485595383</v>
      </c>
      <c r="AF29" s="115">
        <f t="shared" si="19"/>
        <v>4.6889754195366615</v>
      </c>
    </row>
    <row r="30" spans="1:32" ht="13.75" customHeight="1" x14ac:dyDescent="0.15">
      <c r="A30" s="116" t="s">
        <v>190</v>
      </c>
      <c r="B30" s="116">
        <f t="shared" si="22"/>
        <v>7.19948316447661</v>
      </c>
      <c r="C30" s="116">
        <v>3</v>
      </c>
      <c r="D30" s="116">
        <v>7</v>
      </c>
      <c r="E30" s="116">
        <v>2.5</v>
      </c>
      <c r="F30" s="116">
        <f t="shared" si="23"/>
        <v>11</v>
      </c>
      <c r="G30" s="116">
        <f t="shared" si="20"/>
        <v>11</v>
      </c>
      <c r="H30" s="116">
        <f t="shared" si="20"/>
        <v>11</v>
      </c>
      <c r="I30" s="116">
        <f t="shared" si="21"/>
        <v>11</v>
      </c>
      <c r="J30" s="116">
        <v>1.8</v>
      </c>
      <c r="K30" s="116">
        <v>2</v>
      </c>
      <c r="L30" s="116">
        <f t="shared" si="0"/>
        <v>0.27949641610641884</v>
      </c>
      <c r="M30" s="116">
        <f t="shared" si="1"/>
        <v>1.1455019450068049</v>
      </c>
      <c r="N30" s="116">
        <f t="shared" si="2"/>
        <v>2.2000000000000002</v>
      </c>
      <c r="O30" s="116">
        <f t="shared" si="3"/>
        <v>38.500000000000007</v>
      </c>
      <c r="P30" s="116">
        <f t="shared" si="4"/>
        <v>0.45</v>
      </c>
      <c r="Q30" s="116">
        <f t="shared" si="24"/>
        <v>28.509953331327377</v>
      </c>
      <c r="R30" s="116">
        <f t="shared" si="6"/>
        <v>0.45</v>
      </c>
      <c r="S30" s="116">
        <f t="shared" si="25"/>
        <v>28.509953331327377</v>
      </c>
      <c r="T30" s="116">
        <f t="shared" si="8"/>
        <v>2.2000000000000002</v>
      </c>
      <c r="U30" s="116">
        <f t="shared" si="9"/>
        <v>7.9200000000000008</v>
      </c>
      <c r="V30" s="116">
        <f t="shared" si="14"/>
        <v>104.58540860766158</v>
      </c>
      <c r="W30" s="116">
        <f t="shared" si="26"/>
        <v>63.355451847394171</v>
      </c>
      <c r="X30" s="123">
        <v>20</v>
      </c>
      <c r="Y30" s="123">
        <f t="shared" si="10"/>
        <v>-3</v>
      </c>
      <c r="Z30" s="116">
        <f t="shared" si="11"/>
        <v>23</v>
      </c>
      <c r="AA30" s="116">
        <f t="shared" si="16"/>
        <v>167.94086045505574</v>
      </c>
      <c r="AB30" s="116">
        <f t="shared" si="12"/>
        <v>3862.6397904662822</v>
      </c>
      <c r="AC30" s="116">
        <f t="shared" si="17"/>
        <v>4.6889754195366606</v>
      </c>
      <c r="AD30" s="116">
        <f t="shared" si="13"/>
        <v>31.922642896415557</v>
      </c>
      <c r="AE30" s="116">
        <f t="shared" si="18"/>
        <v>4635.1677485595383</v>
      </c>
      <c r="AF30" s="115">
        <f t="shared" si="19"/>
        <v>4.6889754195366615</v>
      </c>
    </row>
    <row r="31" spans="1:32" ht="13.75" customHeight="1" x14ac:dyDescent="0.15">
      <c r="A31" s="116" t="s">
        <v>190</v>
      </c>
      <c r="B31" s="116">
        <f t="shared" si="22"/>
        <v>7.19948316447661</v>
      </c>
      <c r="C31" s="116">
        <v>3</v>
      </c>
      <c r="D31" s="116">
        <v>7</v>
      </c>
      <c r="E31" s="116">
        <v>2.5</v>
      </c>
      <c r="F31" s="116">
        <f t="shared" si="23"/>
        <v>11</v>
      </c>
      <c r="G31" s="116">
        <f t="shared" si="20"/>
        <v>11</v>
      </c>
      <c r="H31" s="116">
        <f t="shared" si="20"/>
        <v>11</v>
      </c>
      <c r="I31" s="116">
        <f t="shared" si="21"/>
        <v>11</v>
      </c>
      <c r="J31" s="116">
        <v>1.8</v>
      </c>
      <c r="K31" s="116">
        <v>2</v>
      </c>
      <c r="L31" s="116">
        <f t="shared" si="0"/>
        <v>0.27949641610641884</v>
      </c>
      <c r="M31" s="116">
        <f t="shared" si="1"/>
        <v>1.1455019450068049</v>
      </c>
      <c r="N31" s="116">
        <f t="shared" si="2"/>
        <v>2.2000000000000002</v>
      </c>
      <c r="O31" s="116">
        <f t="shared" si="3"/>
        <v>38.500000000000007</v>
      </c>
      <c r="P31" s="116">
        <f t="shared" si="4"/>
        <v>0.45</v>
      </c>
      <c r="Q31" s="116">
        <f>P31*$F$44</f>
        <v>28.509953331327377</v>
      </c>
      <c r="R31" s="116">
        <f t="shared" si="6"/>
        <v>0.45</v>
      </c>
      <c r="S31" s="116">
        <f t="shared" si="25"/>
        <v>28.509953331327377</v>
      </c>
      <c r="T31" s="116">
        <f t="shared" si="8"/>
        <v>2.2000000000000002</v>
      </c>
      <c r="U31" s="116">
        <f t="shared" si="9"/>
        <v>7.9200000000000008</v>
      </c>
      <c r="V31" s="116">
        <f t="shared" si="14"/>
        <v>104.58540860766158</v>
      </c>
      <c r="W31" s="116">
        <f t="shared" si="26"/>
        <v>63.355451847394171</v>
      </c>
      <c r="X31" s="123">
        <v>20</v>
      </c>
      <c r="Y31" s="123">
        <f t="shared" si="10"/>
        <v>-3</v>
      </c>
      <c r="Z31" s="116">
        <f t="shared" si="11"/>
        <v>23</v>
      </c>
      <c r="AA31" s="116">
        <f t="shared" si="16"/>
        <v>167.94086045505574</v>
      </c>
      <c r="AB31" s="116">
        <f t="shared" si="12"/>
        <v>3862.6397904662822</v>
      </c>
      <c r="AC31" s="116">
        <f t="shared" si="17"/>
        <v>4.6889754195366606</v>
      </c>
      <c r="AD31" s="116">
        <f t="shared" si="13"/>
        <v>31.922642896415557</v>
      </c>
      <c r="AE31" s="116">
        <f t="shared" si="18"/>
        <v>4635.1677485595383</v>
      </c>
      <c r="AF31" s="115">
        <f t="shared" si="19"/>
        <v>4.6889754195366615</v>
      </c>
    </row>
    <row r="32" spans="1:32" ht="13.75" customHeight="1" x14ac:dyDescent="0.15">
      <c r="A32" s="116" t="s">
        <v>191</v>
      </c>
      <c r="B32" s="116">
        <f>29.2+13.5</f>
        <v>42.7</v>
      </c>
      <c r="C32" s="116">
        <v>3</v>
      </c>
      <c r="D32" s="116">
        <v>29</v>
      </c>
      <c r="E32" s="116">
        <v>2.5</v>
      </c>
      <c r="F32" s="116">
        <f>9+13.5</f>
        <v>22.5</v>
      </c>
      <c r="G32" s="116">
        <v>29.5</v>
      </c>
      <c r="H32" s="116">
        <f>9+13.5</f>
        <v>22.5</v>
      </c>
      <c r="I32" s="116">
        <v>29.5</v>
      </c>
      <c r="J32" s="116">
        <v>10.5</v>
      </c>
      <c r="K32" s="116">
        <v>2</v>
      </c>
      <c r="L32" s="116">
        <f t="shared" si="0"/>
        <v>0.27949641610641884</v>
      </c>
      <c r="M32" s="116">
        <f t="shared" si="1"/>
        <v>15.540000735516895</v>
      </c>
      <c r="N32" s="116">
        <f t="shared" si="2"/>
        <v>2.2000000000000002</v>
      </c>
      <c r="O32" s="116">
        <f t="shared" si="3"/>
        <v>159.5</v>
      </c>
      <c r="P32" s="116">
        <f t="shared" si="4"/>
        <v>0.45</v>
      </c>
      <c r="Q32" s="116">
        <f>P32*F45</f>
        <v>149.34375</v>
      </c>
      <c r="R32" s="116">
        <f t="shared" si="6"/>
        <v>0.45</v>
      </c>
      <c r="S32" s="116">
        <f>R32*F45</f>
        <v>149.34375</v>
      </c>
      <c r="T32" s="116">
        <f t="shared" si="8"/>
        <v>2.2000000000000002</v>
      </c>
      <c r="U32" s="116">
        <f t="shared" si="9"/>
        <v>46.2</v>
      </c>
      <c r="V32" s="116">
        <f t="shared" si="14"/>
        <v>519.9275007355169</v>
      </c>
      <c r="W32" s="116">
        <f>$B$3*F45*C32/3</f>
        <v>331.875</v>
      </c>
      <c r="X32" s="123">
        <v>20</v>
      </c>
      <c r="Y32" s="123">
        <f t="shared" si="10"/>
        <v>-3</v>
      </c>
      <c r="Z32" s="116">
        <f t="shared" si="11"/>
        <v>23</v>
      </c>
      <c r="AA32" s="116">
        <f t="shared" si="16"/>
        <v>851.8025007355169</v>
      </c>
      <c r="AB32" s="116">
        <f t="shared" si="12"/>
        <v>19591.457516916889</v>
      </c>
      <c r="AC32" s="116">
        <f t="shared" si="17"/>
        <v>23.782663596138899</v>
      </c>
      <c r="AD32" s="116">
        <f t="shared" si="13"/>
        <v>29.516320176145971</v>
      </c>
      <c r="AE32" s="116">
        <f t="shared" si="18"/>
        <v>23509.749020300267</v>
      </c>
      <c r="AF32" s="115">
        <f t="shared" si="19"/>
        <v>23.782663596138907</v>
      </c>
    </row>
    <row r="33" spans="1:32" ht="13.75" customHeight="1" x14ac:dyDescent="0.15">
      <c r="A33" s="116" t="s">
        <v>166</v>
      </c>
      <c r="B33" s="116">
        <v>9</v>
      </c>
      <c r="C33" s="116">
        <v>3</v>
      </c>
      <c r="D33" s="116">
        <v>9</v>
      </c>
      <c r="E33" s="116">
        <v>2.5</v>
      </c>
      <c r="F33" s="116">
        <f>7+9</f>
        <v>16</v>
      </c>
      <c r="G33" s="116">
        <v>8.5</v>
      </c>
      <c r="H33" s="116">
        <f>7+9</f>
        <v>16</v>
      </c>
      <c r="I33" s="116">
        <v>8.5</v>
      </c>
      <c r="J33" s="116">
        <v>2.7</v>
      </c>
      <c r="K33" s="116">
        <v>2</v>
      </c>
      <c r="L33" s="116">
        <f t="shared" si="0"/>
        <v>0.27949641610641884</v>
      </c>
      <c r="M33" s="116">
        <f t="shared" si="1"/>
        <v>1.2577338724788847</v>
      </c>
      <c r="N33" s="116">
        <f t="shared" si="2"/>
        <v>2.2000000000000002</v>
      </c>
      <c r="O33" s="116">
        <f t="shared" si="3"/>
        <v>49.5</v>
      </c>
      <c r="P33" s="116">
        <f t="shared" si="4"/>
        <v>0.45</v>
      </c>
      <c r="Q33" s="116">
        <f>P33*F46</f>
        <v>30.6</v>
      </c>
      <c r="R33" s="116">
        <f t="shared" si="6"/>
        <v>0.45</v>
      </c>
      <c r="S33" s="116">
        <f>R33*F46</f>
        <v>30.6</v>
      </c>
      <c r="T33" s="116">
        <f t="shared" si="8"/>
        <v>2.2000000000000002</v>
      </c>
      <c r="U33" s="116">
        <f t="shared" si="9"/>
        <v>11.880000000000003</v>
      </c>
      <c r="V33" s="116">
        <f t="shared" si="14"/>
        <v>123.83773387247888</v>
      </c>
      <c r="W33" s="116">
        <f>$B$3*F46*C33/3</f>
        <v>68</v>
      </c>
      <c r="X33" s="123">
        <v>20</v>
      </c>
      <c r="Y33" s="123">
        <f t="shared" si="10"/>
        <v>-3</v>
      </c>
      <c r="Z33" s="116">
        <f t="shared" si="11"/>
        <v>23</v>
      </c>
      <c r="AA33" s="116">
        <f t="shared" si="16"/>
        <v>191.83773387247888</v>
      </c>
      <c r="AB33" s="116">
        <f t="shared" si="12"/>
        <v>4412.2678790670143</v>
      </c>
      <c r="AC33" s="116">
        <f t="shared" si="17"/>
        <v>5.3561856014689093</v>
      </c>
      <c r="AD33" s="116">
        <f t="shared" si="13"/>
        <v>32.443146169610401</v>
      </c>
      <c r="AE33" s="116">
        <f t="shared" si="18"/>
        <v>5294.7214548804168</v>
      </c>
      <c r="AF33" s="115">
        <f t="shared" si="19"/>
        <v>5.3561856014689102</v>
      </c>
    </row>
    <row r="34" spans="1:32" ht="13.75" customHeight="1" x14ac:dyDescent="0.15">
      <c r="A34" s="116" t="s">
        <v>171</v>
      </c>
      <c r="B34" s="116">
        <v>6</v>
      </c>
      <c r="C34" s="116">
        <v>3</v>
      </c>
      <c r="D34" s="116">
        <v>0</v>
      </c>
      <c r="E34" s="116">
        <v>0</v>
      </c>
      <c r="F34" s="116">
        <f>7.5+3+13.5+1</f>
        <v>25</v>
      </c>
      <c r="G34" s="116">
        <v>3</v>
      </c>
      <c r="H34" s="116">
        <f>7.5+3+13.5+1</f>
        <v>25</v>
      </c>
      <c r="I34" s="116">
        <v>3</v>
      </c>
      <c r="J34" s="116">
        <v>3.6</v>
      </c>
      <c r="K34" s="116">
        <v>2</v>
      </c>
      <c r="L34" s="116">
        <f t="shared" si="0"/>
        <v>0.27949641610641884</v>
      </c>
      <c r="M34" s="116">
        <f t="shared" si="1"/>
        <v>5.0309354899155387</v>
      </c>
      <c r="N34" s="116">
        <f t="shared" si="2"/>
        <v>2.2000000000000002</v>
      </c>
      <c r="O34" s="116">
        <f t="shared" si="3"/>
        <v>0</v>
      </c>
      <c r="P34" s="116">
        <f t="shared" si="4"/>
        <v>0.45</v>
      </c>
      <c r="Q34" s="116">
        <f t="shared" si="5"/>
        <v>33.75</v>
      </c>
      <c r="R34" s="116">
        <f t="shared" si="6"/>
        <v>0.45</v>
      </c>
      <c r="S34" s="116">
        <f t="shared" si="7"/>
        <v>33.75</v>
      </c>
      <c r="T34" s="116">
        <f t="shared" si="8"/>
        <v>2.2000000000000002</v>
      </c>
      <c r="U34" s="116">
        <f t="shared" si="9"/>
        <v>15.840000000000002</v>
      </c>
      <c r="V34" s="116">
        <f t="shared" si="14"/>
        <v>88.370935489915539</v>
      </c>
      <c r="W34" s="116">
        <f t="shared" si="15"/>
        <v>75</v>
      </c>
      <c r="X34" s="123">
        <v>20</v>
      </c>
      <c r="Y34" s="123">
        <f t="shared" si="10"/>
        <v>-3</v>
      </c>
      <c r="Z34" s="116">
        <f t="shared" si="11"/>
        <v>23</v>
      </c>
      <c r="AA34" s="116">
        <f t="shared" si="16"/>
        <v>163.37093548991552</v>
      </c>
      <c r="AB34" s="116">
        <f t="shared" si="12"/>
        <v>3757.5315162680572</v>
      </c>
      <c r="AC34" s="116">
        <f t="shared" si="17"/>
        <v>4.5613813023420304</v>
      </c>
      <c r="AD34" s="116">
        <f t="shared" si="13"/>
        <v>50.10042021690743</v>
      </c>
      <c r="AE34" s="116">
        <f t="shared" si="18"/>
        <v>4509.0378195216681</v>
      </c>
      <c r="AF34" s="115">
        <f t="shared" si="19"/>
        <v>4.5613813023420313</v>
      </c>
    </row>
    <row r="35" spans="1:32" ht="13.75" customHeight="1" x14ac:dyDescent="0.15">
      <c r="A35" s="116" t="s">
        <v>172</v>
      </c>
      <c r="B35" s="116">
        <v>0</v>
      </c>
      <c r="C35" s="116">
        <v>0</v>
      </c>
      <c r="D35" s="116">
        <v>0</v>
      </c>
      <c r="E35" s="116">
        <v>0</v>
      </c>
      <c r="F35" s="116">
        <v>27.5</v>
      </c>
      <c r="G35" s="116">
        <v>3</v>
      </c>
      <c r="H35" s="116">
        <v>27.5</v>
      </c>
      <c r="I35" s="116">
        <v>3</v>
      </c>
      <c r="J35" s="116">
        <v>1.8</v>
      </c>
      <c r="K35" s="116">
        <v>2</v>
      </c>
      <c r="L35" s="116">
        <f t="shared" si="0"/>
        <v>0.27949641610641884</v>
      </c>
      <c r="M35" s="116">
        <f t="shared" si="1"/>
        <v>0</v>
      </c>
      <c r="N35" s="116">
        <f t="shared" si="2"/>
        <v>2.2000000000000002</v>
      </c>
      <c r="O35" s="116">
        <f t="shared" si="3"/>
        <v>0</v>
      </c>
      <c r="P35" s="116">
        <f t="shared" si="4"/>
        <v>0.45</v>
      </c>
      <c r="Q35" s="116">
        <f t="shared" si="5"/>
        <v>37.125</v>
      </c>
      <c r="R35" s="116">
        <f t="shared" si="6"/>
        <v>0.45</v>
      </c>
      <c r="S35" s="116">
        <f t="shared" si="7"/>
        <v>37.125</v>
      </c>
      <c r="T35" s="116">
        <f t="shared" si="8"/>
        <v>2.2000000000000002</v>
      </c>
      <c r="U35" s="116">
        <f t="shared" si="9"/>
        <v>7.9200000000000008</v>
      </c>
      <c r="V35" s="116">
        <f t="shared" si="14"/>
        <v>82.17</v>
      </c>
      <c r="W35" s="116">
        <f t="shared" si="15"/>
        <v>0</v>
      </c>
      <c r="X35" s="123">
        <v>20</v>
      </c>
      <c r="Y35" s="123">
        <f t="shared" si="10"/>
        <v>-3</v>
      </c>
      <c r="Z35" s="116">
        <f t="shared" si="11"/>
        <v>23</v>
      </c>
      <c r="AA35" s="116">
        <f t="shared" si="16"/>
        <v>82.17</v>
      </c>
      <c r="AB35" s="116">
        <f t="shared" si="12"/>
        <v>1889.91</v>
      </c>
      <c r="AC35" s="116">
        <f t="shared" si="17"/>
        <v>2.2942189838692615</v>
      </c>
      <c r="AD35" s="116">
        <f t="shared" si="13"/>
        <v>22.908000000000001</v>
      </c>
      <c r="AE35" s="116">
        <f t="shared" si="18"/>
        <v>2267.8919999999998</v>
      </c>
      <c r="AF35" s="115">
        <f t="shared" si="19"/>
        <v>2.2942189838692615</v>
      </c>
    </row>
    <row r="36" spans="1:32" ht="13.75" customHeight="1" x14ac:dyDescent="0.15">
      <c r="A36" s="116" t="s">
        <v>173</v>
      </c>
      <c r="B36" s="116">
        <v>0</v>
      </c>
      <c r="C36" s="116">
        <v>0</v>
      </c>
      <c r="D36" s="116">
        <v>0</v>
      </c>
      <c r="E36" s="116">
        <v>0</v>
      </c>
      <c r="F36" s="116">
        <v>27.5</v>
      </c>
      <c r="G36" s="116">
        <v>3</v>
      </c>
      <c r="H36" s="116">
        <v>27.5</v>
      </c>
      <c r="I36" s="116">
        <v>3</v>
      </c>
      <c r="J36" s="116">
        <v>0</v>
      </c>
      <c r="K36" s="116">
        <v>0</v>
      </c>
      <c r="L36" s="116">
        <f t="shared" si="0"/>
        <v>0.27949641610641884</v>
      </c>
      <c r="M36" s="116">
        <f t="shared" si="1"/>
        <v>0</v>
      </c>
      <c r="N36" s="116">
        <f t="shared" si="2"/>
        <v>2.2000000000000002</v>
      </c>
      <c r="O36" s="116">
        <f t="shared" si="3"/>
        <v>0</v>
      </c>
      <c r="P36" s="116">
        <f t="shared" si="4"/>
        <v>0.45</v>
      </c>
      <c r="Q36" s="116">
        <f>P36*F47</f>
        <v>31.808625617596665</v>
      </c>
      <c r="R36" s="116">
        <f t="shared" si="6"/>
        <v>0.45</v>
      </c>
      <c r="S36" s="116">
        <f>R36*F47</f>
        <v>31.808625617596665</v>
      </c>
      <c r="T36" s="116">
        <f t="shared" si="8"/>
        <v>2.2000000000000002</v>
      </c>
      <c r="U36" s="116">
        <f t="shared" si="9"/>
        <v>0</v>
      </c>
      <c r="V36" s="116">
        <f t="shared" si="14"/>
        <v>63.617251235193329</v>
      </c>
      <c r="W36" s="116">
        <f>$B$3*F36*G36*C36/3</f>
        <v>0</v>
      </c>
      <c r="X36" s="123">
        <v>20</v>
      </c>
      <c r="Y36" s="123">
        <f t="shared" si="10"/>
        <v>-3</v>
      </c>
      <c r="Z36" s="116">
        <f t="shared" si="11"/>
        <v>23</v>
      </c>
      <c r="AA36" s="116">
        <f t="shared" si="16"/>
        <v>63.617251235193329</v>
      </c>
      <c r="AB36" s="116">
        <f t="shared" si="12"/>
        <v>1463.1967784094466</v>
      </c>
      <c r="AC36" s="116">
        <f t="shared" si="17"/>
        <v>1.7762188814087958</v>
      </c>
      <c r="AD36" s="116">
        <f t="shared" si="13"/>
        <v>17.735718526175109</v>
      </c>
      <c r="AE36" s="116">
        <f t="shared" si="18"/>
        <v>1755.8361340913359</v>
      </c>
      <c r="AF36" s="115">
        <f t="shared" si="19"/>
        <v>1.7762188814087962</v>
      </c>
    </row>
    <row r="37" spans="1:32" ht="13.5" customHeight="1" x14ac:dyDescent="0.15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 t="s">
        <v>89</v>
      </c>
      <c r="AB37" s="116">
        <f>SUM(AB18:AB36)</f>
        <v>82377.053510934536</v>
      </c>
      <c r="AC37" s="116"/>
      <c r="AD37" s="116">
        <f>AB37/B2</f>
        <v>52.634324914793353</v>
      </c>
      <c r="AE37" s="116">
        <f>SUM(AE18:AE36)</f>
        <v>98852.46421312142</v>
      </c>
    </row>
    <row r="38" spans="1:32" ht="14.25" customHeight="1" x14ac:dyDescent="0.15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</row>
    <row r="39" spans="1:32" ht="13.75" customHeight="1" x14ac:dyDescent="0.15">
      <c r="A39" s="114"/>
      <c r="B39" s="130"/>
      <c r="C39" s="131"/>
      <c r="D39" s="132"/>
      <c r="E39" s="113"/>
      <c r="F39" s="113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</row>
    <row r="40" spans="1:32" ht="13.75" customHeight="1" x14ac:dyDescent="0.15">
      <c r="A40" s="114"/>
      <c r="B40" s="133"/>
      <c r="C40" s="174" t="s">
        <v>285</v>
      </c>
      <c r="D40" s="174"/>
      <c r="E40" s="174"/>
      <c r="F40" s="116" t="s">
        <v>286</v>
      </c>
      <c r="G40" s="118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</row>
    <row r="41" spans="1:32" ht="13.75" customHeight="1" x14ac:dyDescent="0.15">
      <c r="A41" s="113"/>
      <c r="B41" s="134"/>
      <c r="C41" s="174" t="s">
        <v>186</v>
      </c>
      <c r="D41" s="174"/>
      <c r="E41" s="174"/>
      <c r="F41" s="116">
        <f>F23*G23/2</f>
        <v>16.25</v>
      </c>
      <c r="G41" s="118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</row>
    <row r="42" spans="1:32" ht="13.75" customHeight="1" x14ac:dyDescent="0.15">
      <c r="A42" s="140"/>
      <c r="B42" s="141"/>
      <c r="C42" s="176" t="s">
        <v>291</v>
      </c>
      <c r="D42" s="177"/>
      <c r="E42" s="178"/>
      <c r="F42" s="116">
        <f>F24*G24</f>
        <v>22.5</v>
      </c>
      <c r="G42" s="118"/>
      <c r="H42" s="114"/>
      <c r="I42" s="114"/>
      <c r="J42" s="179"/>
      <c r="K42" s="180"/>
      <c r="L42" s="181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</row>
    <row r="43" spans="1:32" ht="13.75" customHeight="1" x14ac:dyDescent="0.15">
      <c r="A43" s="140"/>
      <c r="B43" s="141"/>
      <c r="C43" s="174" t="s">
        <v>164</v>
      </c>
      <c r="D43" s="174"/>
      <c r="E43" s="174"/>
      <c r="F43" s="116">
        <f>1/4*PI()*F25*G25</f>
        <v>143.13881527918494</v>
      </c>
      <c r="G43" s="118"/>
      <c r="H43" s="114"/>
      <c r="I43" s="114"/>
      <c r="J43" s="179"/>
      <c r="K43" s="181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</row>
    <row r="44" spans="1:32" ht="13.75" customHeight="1" x14ac:dyDescent="0.15">
      <c r="A44" s="140"/>
      <c r="B44" s="141"/>
      <c r="C44" s="174" t="s">
        <v>169</v>
      </c>
      <c r="D44" s="174"/>
      <c r="E44" s="174"/>
      <c r="F44" s="116">
        <f>(1/4*PI()*F36*F36-(1/4*PI()*(G35+F25)*(G35+F25)))/6</f>
        <v>63.355451847394171</v>
      </c>
      <c r="G44" s="118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</row>
    <row r="45" spans="1:32" ht="13.75" customHeight="1" x14ac:dyDescent="0.15">
      <c r="A45" s="140"/>
      <c r="B45" s="141"/>
      <c r="C45" s="174" t="s">
        <v>170</v>
      </c>
      <c r="D45" s="174"/>
      <c r="E45" s="174"/>
      <c r="F45" s="116">
        <f>F32*G32/2</f>
        <v>331.875</v>
      </c>
      <c r="G45" s="118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</row>
    <row r="46" spans="1:32" ht="13.75" customHeight="1" x14ac:dyDescent="0.15">
      <c r="A46" s="140"/>
      <c r="B46" s="141"/>
      <c r="C46" s="174" t="s">
        <v>166</v>
      </c>
      <c r="D46" s="174"/>
      <c r="E46" s="174"/>
      <c r="F46" s="116">
        <f>F33*G33/2</f>
        <v>68</v>
      </c>
      <c r="G46" s="118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</row>
    <row r="47" spans="1:32" ht="13.75" customHeight="1" x14ac:dyDescent="0.15">
      <c r="A47" s="140"/>
      <c r="B47" s="141"/>
      <c r="C47" s="174" t="s">
        <v>174</v>
      </c>
      <c r="D47" s="174"/>
      <c r="E47" s="174"/>
      <c r="F47" s="116">
        <f>1/4*PI()*(F25+G35)*(F25+G35)-F43</f>
        <v>70.685834705770361</v>
      </c>
      <c r="G47" s="118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</row>
    <row r="48" spans="1:32" ht="13.75" customHeight="1" x14ac:dyDescent="0.15">
      <c r="A48" s="140"/>
      <c r="B48" s="141"/>
      <c r="C48" s="174" t="s">
        <v>175</v>
      </c>
      <c r="D48" s="174"/>
      <c r="E48" s="174"/>
      <c r="F48" s="116">
        <f>F21*G21</f>
        <v>75</v>
      </c>
      <c r="G48" s="118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</row>
    <row r="49" spans="1:31" ht="13.75" customHeight="1" x14ac:dyDescent="0.15">
      <c r="A49" s="140"/>
      <c r="B49" s="141"/>
      <c r="C49" s="174" t="s">
        <v>172</v>
      </c>
      <c r="D49" s="174"/>
      <c r="E49" s="174"/>
      <c r="F49" s="116">
        <f>F35*G35</f>
        <v>82.5</v>
      </c>
      <c r="G49" s="118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</row>
    <row r="50" spans="1:31" ht="13.75" customHeight="1" x14ac:dyDescent="0.15">
      <c r="A50" s="140"/>
      <c r="B50" s="141"/>
      <c r="C50" s="174" t="s">
        <v>171</v>
      </c>
      <c r="D50" s="174"/>
      <c r="E50" s="174"/>
      <c r="F50" s="116">
        <f>F34*G34</f>
        <v>75</v>
      </c>
      <c r="G50" s="118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</row>
    <row r="51" spans="1:31" ht="13.75" customHeight="1" x14ac:dyDescent="0.15">
      <c r="A51" s="140"/>
      <c r="B51" s="140"/>
      <c r="C51" s="125"/>
      <c r="D51" s="124"/>
      <c r="E51" s="124"/>
      <c r="F51" s="12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</row>
    <row r="52" spans="1:31" ht="13.75" customHeight="1" x14ac:dyDescent="0.15">
      <c r="A52" s="124"/>
      <c r="B52" s="12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</row>
    <row r="53" spans="1:31" ht="13.75" customHeight="1" x14ac:dyDescent="0.15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</row>
    <row r="54" spans="1:31" ht="13.75" customHeight="1" x14ac:dyDescent="0.15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</row>
    <row r="55" spans="1:31" ht="13.75" customHeight="1" x14ac:dyDescent="0.15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</row>
    <row r="56" spans="1:31" ht="13.75" customHeight="1" x14ac:dyDescent="0.15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</row>
    <row r="57" spans="1:31" ht="13.75" customHeight="1" x14ac:dyDescent="0.15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</row>
    <row r="58" spans="1:31" ht="13.75" customHeight="1" x14ac:dyDescent="0.15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</row>
    <row r="59" spans="1:31" ht="13.75" customHeight="1" x14ac:dyDescent="0.15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</row>
    <row r="60" spans="1:31" ht="13.75" customHeight="1" x14ac:dyDescent="0.15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</row>
    <row r="61" spans="1:31" ht="13.75" customHeight="1" x14ac:dyDescent="0.15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</row>
    <row r="62" spans="1:31" ht="13.75" customHeight="1" x14ac:dyDescent="0.15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</row>
    <row r="63" spans="1:31" ht="13.75" customHeight="1" x14ac:dyDescent="0.15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</row>
    <row r="64" spans="1:31" ht="13.75" customHeight="1" x14ac:dyDescent="0.15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</row>
    <row r="65" spans="1:31" ht="13.75" customHeight="1" x14ac:dyDescent="0.15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</row>
    <row r="66" spans="1:31" ht="13.75" customHeight="1" x14ac:dyDescent="0.15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</row>
    <row r="67" spans="1:31" ht="13.75" customHeight="1" x14ac:dyDescent="0.15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</row>
  </sheetData>
  <mergeCells count="17">
    <mergeCell ref="C45:E45"/>
    <mergeCell ref="I2:K2"/>
    <mergeCell ref="I3:K3"/>
    <mergeCell ref="I4:K4"/>
    <mergeCell ref="I5:K5"/>
    <mergeCell ref="C40:E40"/>
    <mergeCell ref="C41:E41"/>
    <mergeCell ref="C42:E42"/>
    <mergeCell ref="J42:L42"/>
    <mergeCell ref="C43:E43"/>
    <mergeCell ref="J43:K43"/>
    <mergeCell ref="C44:E44"/>
    <mergeCell ref="C46:E46"/>
    <mergeCell ref="C47:E47"/>
    <mergeCell ref="C48:E48"/>
    <mergeCell ref="C49:E49"/>
    <mergeCell ref="C50:E50"/>
  </mergeCells>
  <phoneticPr fontId="6" type="noConversion"/>
  <pageMargins left="0.748031" right="0.748031" top="0.98425200000000002" bottom="0.98425200000000002" header="0.51181100000000002" footer="0.51181100000000002"/>
  <pageSetup orientation="landscape"/>
  <headerFooter>
    <oddFooter>&amp;L&amp;"Arial,Regular"&amp;10&amp;K000000Energy_use_house.xlsx&amp;C&amp;"Arial,Regular"&amp;10&amp;K000000Ht Loss_house1&amp;R&amp;"Arial,Regular"&amp;10&amp;K000000EC 18/03/2025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1130-FEE3-F24F-A547-5B640F512B2B}">
  <sheetPr>
    <pageSetUpPr fitToPage="1"/>
  </sheetPr>
  <dimension ref="A1:AF67"/>
  <sheetViews>
    <sheetView showGridLines="0" topLeftCell="W11" zoomScale="111" zoomScaleNormal="322" workbookViewId="0">
      <selection activeCell="X1" sqref="X1:X2"/>
    </sheetView>
  </sheetViews>
  <sheetFormatPr baseColWidth="10" defaultColWidth="8.83203125" defaultRowHeight="12.75" customHeight="1" x14ac:dyDescent="0.15"/>
  <cols>
    <col min="1" max="1" width="22.33203125" style="115" customWidth="1"/>
    <col min="2" max="2" width="7.1640625" style="115" customWidth="1"/>
    <col min="3" max="3" width="6.33203125" style="115" customWidth="1"/>
    <col min="4" max="4" width="7.33203125" style="115" customWidth="1"/>
    <col min="5" max="5" width="6" style="115" customWidth="1"/>
    <col min="6" max="6" width="12" style="115" customWidth="1"/>
    <col min="7" max="7" width="5.5" style="115" customWidth="1"/>
    <col min="8" max="8" width="6.5" style="115" customWidth="1"/>
    <col min="9" max="11" width="5.6640625" style="115" customWidth="1"/>
    <col min="12" max="12" width="11.1640625" style="115" customWidth="1"/>
    <col min="13" max="13" width="7.33203125" style="115" customWidth="1"/>
    <col min="14" max="14" width="9" style="115" customWidth="1"/>
    <col min="15" max="15" width="11.83203125" style="115" customWidth="1"/>
    <col min="16" max="16" width="8.5" style="115" customWidth="1"/>
    <col min="17" max="17" width="12.6640625" style="115" customWidth="1"/>
    <col min="18" max="18" width="9" style="115" customWidth="1"/>
    <col min="19" max="19" width="9.6640625" style="115" customWidth="1"/>
    <col min="20" max="21" width="6.5" style="115" customWidth="1"/>
    <col min="22" max="22" width="11.83203125" style="115" customWidth="1"/>
    <col min="23" max="23" width="8.5" style="115" customWidth="1"/>
    <col min="24" max="24" width="7.1640625" style="115" customWidth="1"/>
    <col min="25" max="25" width="4.5" style="115" customWidth="1"/>
    <col min="26" max="26" width="6.83203125" style="115" customWidth="1"/>
    <col min="27" max="27" width="14.83203125" style="115" customWidth="1"/>
    <col min="28" max="28" width="8.83203125" style="115" customWidth="1"/>
    <col min="29" max="29" width="9" style="115" customWidth="1"/>
    <col min="30" max="30" width="11.5" style="115" customWidth="1"/>
    <col min="31" max="32" width="8.83203125" style="115" customWidth="1"/>
    <col min="33" max="16384" width="8.83203125" style="115"/>
  </cols>
  <sheetData>
    <row r="1" spans="1:31" ht="13.5" customHeight="1" x14ac:dyDescent="0.15">
      <c r="A1" s="112" t="s">
        <v>279</v>
      </c>
      <c r="B1" s="113"/>
      <c r="C1" s="113"/>
      <c r="D1" s="113"/>
      <c r="E1" s="113"/>
      <c r="F1" s="113"/>
      <c r="G1" s="113"/>
      <c r="H1" s="114"/>
      <c r="I1" s="113"/>
      <c r="J1" s="113"/>
      <c r="K1" s="113"/>
      <c r="L1" s="113"/>
      <c r="M1" s="113"/>
      <c r="N1" s="113"/>
      <c r="O1" s="113"/>
      <c r="P1" s="113"/>
      <c r="Q1" s="114"/>
      <c r="R1" s="114"/>
      <c r="S1" s="114"/>
      <c r="T1" s="114"/>
      <c r="U1" s="113"/>
      <c r="V1" s="113"/>
      <c r="W1" s="113"/>
      <c r="X1" s="114" t="s">
        <v>312</v>
      </c>
      <c r="Y1" s="114"/>
      <c r="Z1" s="114"/>
      <c r="AA1" s="114"/>
      <c r="AB1" s="114"/>
      <c r="AC1" s="114"/>
      <c r="AD1" s="114"/>
      <c r="AE1" s="114"/>
    </row>
    <row r="2" spans="1:31" ht="13.5" customHeight="1" x14ac:dyDescent="0.15">
      <c r="A2" s="116" t="s">
        <v>1</v>
      </c>
      <c r="B2" s="116">
        <f>Uvals!B2</f>
        <v>1565.0823610693203</v>
      </c>
      <c r="C2" s="116" t="s">
        <v>2</v>
      </c>
      <c r="D2" s="116" t="s">
        <v>44</v>
      </c>
      <c r="E2" s="116">
        <v>1.2</v>
      </c>
      <c r="F2" s="116" t="s">
        <v>45</v>
      </c>
      <c r="G2" s="116">
        <f>E2/E3</f>
        <v>1.2</v>
      </c>
      <c r="H2" s="117"/>
      <c r="I2" s="174" t="s">
        <v>46</v>
      </c>
      <c r="J2" s="174"/>
      <c r="K2" s="174"/>
      <c r="L2" s="116">
        <f>AB37</f>
        <v>27141.288292749356</v>
      </c>
      <c r="M2" s="116" t="s">
        <v>47</v>
      </c>
      <c r="N2" s="116" t="s">
        <v>48</v>
      </c>
      <c r="O2" s="116">
        <f>L2/B2</f>
        <v>17.341763582464413</v>
      </c>
      <c r="P2" s="116" t="s">
        <v>49</v>
      </c>
      <c r="Q2" s="118"/>
      <c r="R2" s="114"/>
      <c r="S2" s="114"/>
      <c r="T2" s="119"/>
      <c r="U2" s="116" t="s">
        <v>220</v>
      </c>
      <c r="V2" s="116">
        <f>855.59*0.6*250</f>
        <v>128338.50000000001</v>
      </c>
      <c r="W2" s="116" t="s">
        <v>225</v>
      </c>
      <c r="X2" s="118" t="s">
        <v>311</v>
      </c>
      <c r="Y2" s="114"/>
      <c r="Z2" s="114"/>
      <c r="AA2" s="165"/>
      <c r="AB2" s="114"/>
      <c r="AC2" s="114"/>
      <c r="AD2" s="114"/>
      <c r="AE2" s="114"/>
    </row>
    <row r="3" spans="1:31" ht="16.5" customHeight="1" x14ac:dyDescent="0.2">
      <c r="A3" s="116" t="s">
        <v>50</v>
      </c>
      <c r="B3" s="116">
        <v>0.15</v>
      </c>
      <c r="C3" s="116" t="s">
        <v>51</v>
      </c>
      <c r="D3" s="116" t="s">
        <v>52</v>
      </c>
      <c r="E3" s="116">
        <v>1</v>
      </c>
      <c r="F3" s="116"/>
      <c r="G3" s="116"/>
      <c r="H3" s="117"/>
      <c r="I3" s="175" t="s">
        <v>53</v>
      </c>
      <c r="J3" s="175"/>
      <c r="K3" s="175"/>
      <c r="L3" s="120">
        <f>AE37</f>
        <v>32569.545951299224</v>
      </c>
      <c r="M3" s="120" t="s">
        <v>47</v>
      </c>
      <c r="N3" s="121" t="s">
        <v>54</v>
      </c>
      <c r="O3" s="121">
        <f>L3/B2</f>
        <v>20.810116298957293</v>
      </c>
      <c r="P3" s="121" t="s">
        <v>49</v>
      </c>
      <c r="Q3" s="122"/>
      <c r="R3" s="113"/>
      <c r="S3" s="114"/>
      <c r="T3" s="119" t="s">
        <v>309</v>
      </c>
      <c r="U3" s="116" t="s">
        <v>222</v>
      </c>
      <c r="V3" s="116">
        <f>V2*0.6</f>
        <v>77003.100000000006</v>
      </c>
      <c r="W3" s="116" t="s">
        <v>224</v>
      </c>
      <c r="X3" s="118"/>
      <c r="Y3" s="114"/>
      <c r="Z3" s="114"/>
      <c r="AA3" s="114"/>
      <c r="AB3" s="114"/>
      <c r="AC3" s="114"/>
      <c r="AD3" s="114"/>
      <c r="AE3" s="114"/>
    </row>
    <row r="4" spans="1:31" ht="14.25" customHeight="1" x14ac:dyDescent="0.15">
      <c r="A4" s="116" t="s">
        <v>55</v>
      </c>
      <c r="B4" s="123">
        <v>-3</v>
      </c>
      <c r="C4" s="116" t="s">
        <v>56</v>
      </c>
      <c r="D4" s="116"/>
      <c r="E4" s="116"/>
      <c r="F4" s="116"/>
      <c r="G4" s="116"/>
      <c r="H4" s="117"/>
      <c r="I4" s="174" t="s">
        <v>57</v>
      </c>
      <c r="J4" s="174"/>
      <c r="K4" s="174"/>
      <c r="L4" s="116">
        <v>2200</v>
      </c>
      <c r="M4" s="116"/>
      <c r="N4" s="116"/>
      <c r="O4" s="116"/>
      <c r="P4" s="116"/>
      <c r="Q4" s="116"/>
      <c r="R4" s="116"/>
      <c r="S4" s="118"/>
      <c r="T4" s="114" t="s">
        <v>310</v>
      </c>
      <c r="U4" s="116" t="s">
        <v>222</v>
      </c>
      <c r="V4" s="124">
        <f>200*855.59*0.18*0.75</f>
        <v>23100.93</v>
      </c>
      <c r="W4" s="124"/>
      <c r="X4" s="114"/>
      <c r="Y4" s="114"/>
      <c r="Z4" s="114"/>
      <c r="AA4" s="114"/>
      <c r="AB4" s="114"/>
      <c r="AC4" s="114"/>
      <c r="AD4" s="114"/>
      <c r="AE4" s="114"/>
    </row>
    <row r="5" spans="1:31" ht="13.5" customHeight="1" x14ac:dyDescent="0.15">
      <c r="A5" s="116"/>
      <c r="B5" s="116"/>
      <c r="C5" s="116"/>
      <c r="D5" s="116" t="s">
        <v>58</v>
      </c>
      <c r="E5" s="116"/>
      <c r="F5" s="116"/>
      <c r="G5" s="116"/>
      <c r="H5" s="117"/>
      <c r="I5" s="174" t="s">
        <v>59</v>
      </c>
      <c r="J5" s="174"/>
      <c r="K5" s="174"/>
      <c r="L5" s="116">
        <f>L2/O5*24*L4/1000</f>
        <v>62306.957472050693</v>
      </c>
      <c r="M5" s="116" t="s">
        <v>60</v>
      </c>
      <c r="N5" s="116" t="s">
        <v>284</v>
      </c>
      <c r="O5" s="116">
        <v>23</v>
      </c>
      <c r="P5" s="116" t="s">
        <v>62</v>
      </c>
      <c r="Q5" s="116">
        <f>L5/B2</f>
        <v>39.810657267570477</v>
      </c>
      <c r="R5" s="116" t="s">
        <v>63</v>
      </c>
      <c r="S5" s="118"/>
      <c r="T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</row>
    <row r="6" spans="1:31" ht="14.25" customHeight="1" x14ac:dyDescent="0.15">
      <c r="A6" s="116" t="s">
        <v>64</v>
      </c>
      <c r="B6" s="116"/>
      <c r="C6" s="116"/>
      <c r="D6" s="125"/>
      <c r="E6" s="124"/>
      <c r="F6" s="124"/>
      <c r="G6" s="124"/>
      <c r="H6" s="114"/>
      <c r="I6" s="126"/>
      <c r="J6" s="137"/>
      <c r="K6" s="137"/>
      <c r="L6" s="138"/>
      <c r="M6" s="138"/>
      <c r="N6" s="138"/>
      <c r="O6" s="138"/>
      <c r="P6" s="138"/>
      <c r="Q6" s="125"/>
      <c r="R6" s="12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</row>
    <row r="7" spans="1:31" ht="13.5" customHeight="1" x14ac:dyDescent="0.15">
      <c r="A7" s="116" t="s">
        <v>283</v>
      </c>
      <c r="B7" s="116"/>
      <c r="C7" s="116"/>
      <c r="D7" s="118"/>
      <c r="E7" s="114"/>
      <c r="F7" s="114"/>
      <c r="G7" s="114"/>
      <c r="H7" s="114"/>
      <c r="I7" s="127"/>
      <c r="J7" s="135"/>
      <c r="K7" s="135"/>
      <c r="L7" s="136"/>
      <c r="M7" s="136"/>
      <c r="N7" s="136"/>
      <c r="O7" s="136"/>
      <c r="P7" s="136"/>
      <c r="Q7" s="118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</row>
    <row r="8" spans="1:31" ht="14.25" customHeight="1" x14ac:dyDescent="0.15">
      <c r="A8" s="116"/>
      <c r="B8" s="116" t="s">
        <v>16</v>
      </c>
      <c r="C8" s="116">
        <v>0.18</v>
      </c>
      <c r="D8" s="118"/>
      <c r="E8" s="114"/>
      <c r="F8" s="114"/>
      <c r="G8" s="114"/>
      <c r="H8" s="114"/>
      <c r="I8" s="127"/>
      <c r="J8" s="135"/>
      <c r="K8" s="135"/>
      <c r="L8" s="136"/>
      <c r="M8" s="136"/>
      <c r="N8" s="136"/>
      <c r="O8" s="136"/>
      <c r="P8" s="136"/>
      <c r="Q8" s="118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</row>
    <row r="9" spans="1:31" ht="13.75" customHeight="1" x14ac:dyDescent="0.15">
      <c r="A9" s="116"/>
      <c r="B9" s="116" t="s">
        <v>65</v>
      </c>
      <c r="C9" s="116">
        <v>1.4</v>
      </c>
      <c r="D9" s="118"/>
      <c r="E9" s="114"/>
      <c r="F9" s="114"/>
      <c r="G9" s="114"/>
      <c r="H9" s="114"/>
      <c r="I9" s="127"/>
      <c r="J9" s="135"/>
      <c r="K9" s="135"/>
      <c r="L9" s="136"/>
      <c r="M9" s="136"/>
      <c r="N9" s="136"/>
      <c r="O9" s="136"/>
      <c r="P9" s="136"/>
      <c r="Q9" s="118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</row>
    <row r="10" spans="1:31" ht="13.75" customHeight="1" x14ac:dyDescent="0.15">
      <c r="A10" s="116"/>
      <c r="B10" s="116" t="s">
        <v>66</v>
      </c>
      <c r="C10" s="116">
        <v>0.15</v>
      </c>
      <c r="D10" s="118"/>
      <c r="E10" s="114"/>
      <c r="F10" s="114"/>
      <c r="G10" s="114"/>
      <c r="H10" s="114"/>
      <c r="I10" s="127"/>
      <c r="J10" s="135"/>
      <c r="K10" s="135"/>
      <c r="L10" s="136"/>
      <c r="M10" s="136"/>
      <c r="N10" s="136"/>
      <c r="O10" s="136"/>
      <c r="P10" s="136"/>
      <c r="Q10" s="118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</row>
    <row r="11" spans="1:31" ht="13.75" customHeight="1" x14ac:dyDescent="0.15">
      <c r="A11" s="116"/>
      <c r="B11" s="116" t="s">
        <v>67</v>
      </c>
      <c r="C11" s="116">
        <v>0.15</v>
      </c>
      <c r="D11" s="118"/>
      <c r="E11" s="114"/>
      <c r="F11" s="114"/>
      <c r="G11" s="114"/>
      <c r="H11" s="114"/>
      <c r="I11" s="127"/>
      <c r="J11" s="135"/>
      <c r="K11" s="135"/>
      <c r="L11" s="136"/>
      <c r="M11" s="136"/>
      <c r="N11" s="136"/>
      <c r="O11" s="136"/>
      <c r="P11" s="136"/>
      <c r="Q11" s="118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</row>
    <row r="12" spans="1:31" ht="13.5" customHeight="1" x14ac:dyDescent="0.15">
      <c r="A12" s="116"/>
      <c r="B12" s="116" t="s">
        <v>161</v>
      </c>
      <c r="C12" s="116">
        <v>1.6</v>
      </c>
      <c r="D12" s="118"/>
      <c r="E12" s="114"/>
      <c r="F12" s="114"/>
      <c r="G12" s="114"/>
      <c r="H12" s="114"/>
      <c r="I12" s="127"/>
      <c r="J12" s="135"/>
      <c r="K12" s="135"/>
      <c r="L12" s="136"/>
      <c r="M12" s="136"/>
      <c r="N12" s="136"/>
      <c r="O12" s="136"/>
      <c r="P12" s="136"/>
      <c r="Q12" s="118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</row>
    <row r="13" spans="1:31" ht="14.25" customHeight="1" x14ac:dyDescent="0.15">
      <c r="A13" s="124"/>
      <c r="B13" s="124"/>
      <c r="C13" s="124"/>
      <c r="D13" s="114"/>
      <c r="E13" s="114"/>
      <c r="F13" s="114"/>
      <c r="G13" s="114"/>
      <c r="H13" s="114"/>
      <c r="I13" s="127"/>
      <c r="J13" s="135"/>
      <c r="K13" s="135"/>
      <c r="L13" s="136"/>
      <c r="M13" s="136"/>
      <c r="N13" s="136"/>
      <c r="O13" s="136"/>
      <c r="P13" s="136"/>
      <c r="Q13" s="118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</row>
    <row r="14" spans="1:31" ht="13.5" customHeight="1" x14ac:dyDescent="0.15">
      <c r="A14" s="113"/>
      <c r="B14" s="113"/>
      <c r="C14" s="113"/>
      <c r="D14" s="113"/>
      <c r="E14" s="113"/>
      <c r="F14" s="113"/>
      <c r="G14" s="113"/>
      <c r="H14" s="113"/>
      <c r="I14" s="113"/>
      <c r="J14" s="128"/>
      <c r="K14" s="128"/>
      <c r="L14" s="128"/>
      <c r="M14" s="128"/>
      <c r="N14" s="128"/>
      <c r="O14" s="128"/>
      <c r="P14" s="128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</row>
    <row r="15" spans="1:31" ht="24" customHeight="1" x14ac:dyDescent="0.15">
      <c r="A15" s="116" t="s">
        <v>68</v>
      </c>
      <c r="B15" s="116" t="s">
        <v>7</v>
      </c>
      <c r="C15" s="116"/>
      <c r="D15" s="116" t="s">
        <v>10</v>
      </c>
      <c r="E15" s="116"/>
      <c r="F15" s="116" t="s">
        <v>69</v>
      </c>
      <c r="G15" s="116"/>
      <c r="H15" s="116" t="s">
        <v>70</v>
      </c>
      <c r="I15" s="116"/>
      <c r="J15" s="116" t="s">
        <v>160</v>
      </c>
      <c r="K15" s="116"/>
      <c r="L15" s="116" t="s">
        <v>7</v>
      </c>
      <c r="M15" s="116"/>
      <c r="N15" s="116" t="s">
        <v>10</v>
      </c>
      <c r="O15" s="116"/>
      <c r="P15" s="116" t="s">
        <v>12</v>
      </c>
      <c r="Q15" s="116"/>
      <c r="R15" s="116" t="s">
        <v>70</v>
      </c>
      <c r="S15" s="116"/>
      <c r="T15" s="116" t="s">
        <v>161</v>
      </c>
      <c r="U15" s="116"/>
      <c r="V15" s="116" t="s">
        <v>71</v>
      </c>
      <c r="W15" s="116" t="s">
        <v>72</v>
      </c>
      <c r="X15" s="116" t="s">
        <v>73</v>
      </c>
      <c r="Y15" s="116" t="s">
        <v>55</v>
      </c>
      <c r="Z15" s="116" t="s">
        <v>74</v>
      </c>
      <c r="AA15" s="116" t="s">
        <v>75</v>
      </c>
      <c r="AB15" s="116" t="s">
        <v>76</v>
      </c>
      <c r="AC15" s="129" t="s">
        <v>77</v>
      </c>
      <c r="AD15" s="116" t="s">
        <v>76</v>
      </c>
      <c r="AE15" s="116" t="s">
        <v>78</v>
      </c>
    </row>
    <row r="16" spans="1:31" ht="13.75" customHeight="1" x14ac:dyDescent="0.15">
      <c r="A16" s="116"/>
      <c r="B16" s="116" t="s">
        <v>79</v>
      </c>
      <c r="C16" s="116" t="s">
        <v>80</v>
      </c>
      <c r="D16" s="116" t="s">
        <v>79</v>
      </c>
      <c r="E16" s="116" t="s">
        <v>80</v>
      </c>
      <c r="F16" s="116" t="s">
        <v>79</v>
      </c>
      <c r="G16" s="116" t="s">
        <v>81</v>
      </c>
      <c r="H16" s="116" t="s">
        <v>79</v>
      </c>
      <c r="I16" s="116" t="s">
        <v>81</v>
      </c>
      <c r="J16" s="116" t="s">
        <v>79</v>
      </c>
      <c r="K16" s="116" t="s">
        <v>81</v>
      </c>
      <c r="L16" s="116" t="s">
        <v>5</v>
      </c>
      <c r="M16" s="116" t="s">
        <v>82</v>
      </c>
      <c r="N16" s="116" t="s">
        <v>5</v>
      </c>
      <c r="O16" s="116" t="s">
        <v>82</v>
      </c>
      <c r="P16" s="116" t="s">
        <v>5</v>
      </c>
      <c r="Q16" s="116" t="s">
        <v>82</v>
      </c>
      <c r="R16" s="116" t="s">
        <v>5</v>
      </c>
      <c r="S16" s="116" t="s">
        <v>82</v>
      </c>
      <c r="T16" s="116" t="s">
        <v>5</v>
      </c>
      <c r="U16" s="116" t="s">
        <v>82</v>
      </c>
      <c r="V16" s="116" t="s">
        <v>82</v>
      </c>
      <c r="W16" s="116" t="s">
        <v>83</v>
      </c>
      <c r="X16" s="116"/>
      <c r="Y16" s="116"/>
      <c r="Z16" s="116"/>
      <c r="AA16" s="116"/>
      <c r="AB16" s="116"/>
      <c r="AC16" s="116"/>
      <c r="AD16" s="116" t="s">
        <v>84</v>
      </c>
      <c r="AE16" s="116" t="s">
        <v>85</v>
      </c>
    </row>
    <row r="17" spans="1:32" ht="15" customHeight="1" x14ac:dyDescent="0.15">
      <c r="A17" s="116"/>
      <c r="B17" s="116" t="s">
        <v>86</v>
      </c>
      <c r="C17" s="116" t="s">
        <v>86</v>
      </c>
      <c r="D17" s="116" t="s">
        <v>86</v>
      </c>
      <c r="E17" s="116" t="s">
        <v>86</v>
      </c>
      <c r="F17" s="116" t="s">
        <v>86</v>
      </c>
      <c r="G17" s="116" t="s">
        <v>86</v>
      </c>
      <c r="H17" s="116" t="s">
        <v>86</v>
      </c>
      <c r="I17" s="116" t="s">
        <v>86</v>
      </c>
      <c r="J17" s="116" t="s">
        <v>86</v>
      </c>
      <c r="K17" s="116" t="s">
        <v>86</v>
      </c>
      <c r="L17" s="116" t="s">
        <v>280</v>
      </c>
      <c r="M17" s="116" t="s">
        <v>281</v>
      </c>
      <c r="N17" s="116" t="s">
        <v>280</v>
      </c>
      <c r="O17" s="116" t="s">
        <v>281</v>
      </c>
      <c r="P17" s="116" t="s">
        <v>280</v>
      </c>
      <c r="Q17" s="116" t="s">
        <v>281</v>
      </c>
      <c r="R17" s="116" t="s">
        <v>280</v>
      </c>
      <c r="S17" s="116" t="s">
        <v>281</v>
      </c>
      <c r="T17" s="116" t="s">
        <v>280</v>
      </c>
      <c r="U17" s="116" t="s">
        <v>281</v>
      </c>
      <c r="V17" s="116"/>
      <c r="W17" s="116" t="s">
        <v>281</v>
      </c>
      <c r="X17" s="116" t="s">
        <v>282</v>
      </c>
      <c r="Y17" s="116" t="s">
        <v>282</v>
      </c>
      <c r="Z17" s="116" t="s">
        <v>282</v>
      </c>
      <c r="AA17" s="116" t="s">
        <v>281</v>
      </c>
      <c r="AB17" s="116" t="s">
        <v>87</v>
      </c>
      <c r="AC17" s="116"/>
      <c r="AD17" s="116" t="s">
        <v>88</v>
      </c>
      <c r="AE17" s="116" t="s">
        <v>87</v>
      </c>
    </row>
    <row r="18" spans="1:32" ht="13.75" customHeight="1" x14ac:dyDescent="0.15">
      <c r="A18" s="116" t="s">
        <v>187</v>
      </c>
      <c r="B18" s="116">
        <f>6+5</f>
        <v>11</v>
      </c>
      <c r="C18" s="116">
        <v>3</v>
      </c>
      <c r="D18" s="116">
        <v>0</v>
      </c>
      <c r="E18" s="116">
        <v>0</v>
      </c>
      <c r="F18" s="116">
        <v>12.5</v>
      </c>
      <c r="G18" s="116">
        <v>6</v>
      </c>
      <c r="H18" s="116">
        <v>12.5</v>
      </c>
      <c r="I18" s="116">
        <v>6</v>
      </c>
      <c r="J18" s="116">
        <v>1.8</v>
      </c>
      <c r="K18" s="116">
        <v>2</v>
      </c>
      <c r="L18" s="116">
        <f t="shared" ref="L18:L36" si="0">$C$8</f>
        <v>0.18</v>
      </c>
      <c r="M18" s="116">
        <f t="shared" ref="M18:M36" si="1">L18*(B18*C18-D18*E18)</f>
        <v>5.9399999999999995</v>
      </c>
      <c r="N18" s="116">
        <f t="shared" ref="N18:N36" si="2">$C$9</f>
        <v>1.4</v>
      </c>
      <c r="O18" s="116">
        <f t="shared" ref="O18:O36" si="3">N18*D18*E18</f>
        <v>0</v>
      </c>
      <c r="P18" s="116">
        <f t="shared" ref="P18:P36" si="4">$C$10</f>
        <v>0.15</v>
      </c>
      <c r="Q18" s="116">
        <f t="shared" ref="Q18:Q35" si="5">P18*F18*G18</f>
        <v>11.25</v>
      </c>
      <c r="R18" s="116">
        <f t="shared" ref="R18:R36" si="6">$C$11</f>
        <v>0.15</v>
      </c>
      <c r="S18" s="116">
        <f t="shared" ref="S18:S35" si="7">R18*H18*I18</f>
        <v>11.25</v>
      </c>
      <c r="T18" s="116">
        <f t="shared" ref="T18:T36" si="8">$C$12</f>
        <v>1.6</v>
      </c>
      <c r="U18" s="116">
        <f t="shared" ref="U18:U36" si="9">T18*J18*K18</f>
        <v>5.7600000000000007</v>
      </c>
      <c r="V18" s="116">
        <f>M18+O18+Q18+S18+U18</f>
        <v>34.199999999999996</v>
      </c>
      <c r="W18" s="116">
        <f>$B$3*F18*G18*C18/3</f>
        <v>11.25</v>
      </c>
      <c r="X18" s="123">
        <v>20</v>
      </c>
      <c r="Y18" s="123">
        <f t="shared" ref="Y18:Y36" si="10">$B$4</f>
        <v>-3</v>
      </c>
      <c r="Z18" s="116">
        <f t="shared" ref="Z18:Z36" si="11">X18-Y18</f>
        <v>23</v>
      </c>
      <c r="AA18" s="116">
        <f>M18+O18+Q18+S18+W18+U18</f>
        <v>45.449999999999996</v>
      </c>
      <c r="AB18" s="116">
        <f t="shared" ref="AB18:AB36" si="12">AA18*Z18</f>
        <v>1045.3499999999999</v>
      </c>
      <c r="AC18" s="116">
        <f>AB18/$AB$37*100</f>
        <v>3.8515120900847561</v>
      </c>
      <c r="AD18" s="116">
        <f t="shared" ref="AD18:AD36" si="13">AB18/(F18*G18)</f>
        <v>13.937999999999999</v>
      </c>
      <c r="AE18" s="116">
        <f>AB18*$E$2</f>
        <v>1254.4199999999998</v>
      </c>
      <c r="AF18" s="115">
        <f>AE18/$AE$37*100</f>
        <v>3.8515120900847561</v>
      </c>
    </row>
    <row r="19" spans="1:32" ht="13.75" customHeight="1" x14ac:dyDescent="0.15">
      <c r="A19" s="116" t="s">
        <v>187</v>
      </c>
      <c r="B19" s="116">
        <v>6</v>
      </c>
      <c r="C19" s="116">
        <v>3</v>
      </c>
      <c r="D19" s="116">
        <v>0</v>
      </c>
      <c r="E19" s="116">
        <v>0</v>
      </c>
      <c r="F19" s="116">
        <v>12.5</v>
      </c>
      <c r="G19" s="116">
        <v>6</v>
      </c>
      <c r="H19" s="116">
        <v>12.5</v>
      </c>
      <c r="I19" s="116">
        <v>6</v>
      </c>
      <c r="J19" s="116">
        <v>1.8</v>
      </c>
      <c r="K19" s="116">
        <v>2</v>
      </c>
      <c r="L19" s="116">
        <f t="shared" si="0"/>
        <v>0.18</v>
      </c>
      <c r="M19" s="116">
        <f t="shared" si="1"/>
        <v>3.2399999999999998</v>
      </c>
      <c r="N19" s="116">
        <f t="shared" si="2"/>
        <v>1.4</v>
      </c>
      <c r="O19" s="116">
        <f t="shared" si="3"/>
        <v>0</v>
      </c>
      <c r="P19" s="116">
        <f t="shared" si="4"/>
        <v>0.15</v>
      </c>
      <c r="Q19" s="116">
        <f t="shared" si="5"/>
        <v>11.25</v>
      </c>
      <c r="R19" s="116">
        <f t="shared" si="6"/>
        <v>0.15</v>
      </c>
      <c r="S19" s="116">
        <f t="shared" si="7"/>
        <v>11.25</v>
      </c>
      <c r="T19" s="116">
        <f t="shared" si="8"/>
        <v>1.6</v>
      </c>
      <c r="U19" s="116">
        <f t="shared" si="9"/>
        <v>5.7600000000000007</v>
      </c>
      <c r="V19" s="116">
        <f t="shared" ref="V19:V36" si="14">M19+O19+Q19+S19+U19</f>
        <v>31.500000000000004</v>
      </c>
      <c r="W19" s="116">
        <f t="shared" ref="W19:W35" si="15">$B$3*F19*G19*C19/3</f>
        <v>11.25</v>
      </c>
      <c r="X19" s="123">
        <v>20</v>
      </c>
      <c r="Y19" s="123">
        <f t="shared" si="10"/>
        <v>-3</v>
      </c>
      <c r="Z19" s="116">
        <f t="shared" si="11"/>
        <v>23</v>
      </c>
      <c r="AA19" s="116">
        <f t="shared" ref="AA19:AA36" si="16">M19+O19+Q19+S19+W19+U19</f>
        <v>42.75</v>
      </c>
      <c r="AB19" s="116">
        <f t="shared" si="12"/>
        <v>983.25</v>
      </c>
      <c r="AC19" s="116">
        <f t="shared" ref="AC19:AC36" si="17">AB19/$AB$37*100</f>
        <v>3.6227093916638795</v>
      </c>
      <c r="AD19" s="116">
        <f t="shared" si="13"/>
        <v>13.11</v>
      </c>
      <c r="AE19" s="116">
        <f t="shared" ref="AE19:AE36" si="18">AB19*$E$2</f>
        <v>1179.8999999999999</v>
      </c>
      <c r="AF19" s="115">
        <f t="shared" ref="AF19:AF36" si="19">AE19/$AE$37*100</f>
        <v>3.6227093916638795</v>
      </c>
    </row>
    <row r="20" spans="1:32" ht="13.75" customHeight="1" x14ac:dyDescent="0.15">
      <c r="A20" s="116" t="s">
        <v>187</v>
      </c>
      <c r="B20" s="116">
        <v>6</v>
      </c>
      <c r="C20" s="116">
        <v>3</v>
      </c>
      <c r="D20" s="116">
        <v>0</v>
      </c>
      <c r="E20" s="116">
        <v>0</v>
      </c>
      <c r="F20" s="116">
        <v>12.5</v>
      </c>
      <c r="G20" s="116">
        <v>6</v>
      </c>
      <c r="H20" s="116">
        <v>12.5</v>
      </c>
      <c r="I20" s="116">
        <v>6</v>
      </c>
      <c r="J20" s="116">
        <v>1.8</v>
      </c>
      <c r="K20" s="116">
        <v>2</v>
      </c>
      <c r="L20" s="116">
        <f t="shared" si="0"/>
        <v>0.18</v>
      </c>
      <c r="M20" s="116">
        <f t="shared" si="1"/>
        <v>3.2399999999999998</v>
      </c>
      <c r="N20" s="116">
        <f t="shared" si="2"/>
        <v>1.4</v>
      </c>
      <c r="O20" s="116">
        <f t="shared" si="3"/>
        <v>0</v>
      </c>
      <c r="P20" s="116">
        <f t="shared" si="4"/>
        <v>0.15</v>
      </c>
      <c r="Q20" s="116">
        <f t="shared" si="5"/>
        <v>11.25</v>
      </c>
      <c r="R20" s="116">
        <f t="shared" si="6"/>
        <v>0.15</v>
      </c>
      <c r="S20" s="116">
        <f t="shared" si="7"/>
        <v>11.25</v>
      </c>
      <c r="T20" s="116">
        <f t="shared" si="8"/>
        <v>1.6</v>
      </c>
      <c r="U20" s="116">
        <f t="shared" si="9"/>
        <v>5.7600000000000007</v>
      </c>
      <c r="V20" s="116">
        <f t="shared" si="14"/>
        <v>31.500000000000004</v>
      </c>
      <c r="W20" s="116">
        <f t="shared" si="15"/>
        <v>11.25</v>
      </c>
      <c r="X20" s="123">
        <v>20</v>
      </c>
      <c r="Y20" s="123">
        <f t="shared" si="10"/>
        <v>-3</v>
      </c>
      <c r="Z20" s="116">
        <f t="shared" si="11"/>
        <v>23</v>
      </c>
      <c r="AA20" s="116">
        <f t="shared" si="16"/>
        <v>42.75</v>
      </c>
      <c r="AB20" s="116">
        <f t="shared" si="12"/>
        <v>983.25</v>
      </c>
      <c r="AC20" s="116">
        <f t="shared" si="17"/>
        <v>3.6227093916638795</v>
      </c>
      <c r="AD20" s="116">
        <f t="shared" si="13"/>
        <v>13.11</v>
      </c>
      <c r="AE20" s="116">
        <f t="shared" si="18"/>
        <v>1179.8999999999999</v>
      </c>
      <c r="AF20" s="115">
        <f t="shared" si="19"/>
        <v>3.6227093916638795</v>
      </c>
    </row>
    <row r="21" spans="1:32" ht="13.75" customHeight="1" x14ac:dyDescent="0.15">
      <c r="A21" s="116" t="s">
        <v>188</v>
      </c>
      <c r="B21" s="116">
        <v>6</v>
      </c>
      <c r="C21" s="116">
        <v>3</v>
      </c>
      <c r="D21" s="116">
        <v>0</v>
      </c>
      <c r="E21" s="116">
        <v>0</v>
      </c>
      <c r="F21" s="116">
        <v>12.5</v>
      </c>
      <c r="G21" s="116">
        <v>6</v>
      </c>
      <c r="H21" s="116">
        <v>12.5</v>
      </c>
      <c r="I21" s="116">
        <v>6</v>
      </c>
      <c r="J21" s="116">
        <v>0.9</v>
      </c>
      <c r="K21" s="116">
        <v>2</v>
      </c>
      <c r="L21" s="116">
        <f t="shared" si="0"/>
        <v>0.18</v>
      </c>
      <c r="M21" s="116">
        <f t="shared" si="1"/>
        <v>3.2399999999999998</v>
      </c>
      <c r="N21" s="116">
        <f t="shared" si="2"/>
        <v>1.4</v>
      </c>
      <c r="O21" s="116">
        <f t="shared" si="3"/>
        <v>0</v>
      </c>
      <c r="P21" s="116">
        <f t="shared" si="4"/>
        <v>0.15</v>
      </c>
      <c r="Q21" s="116">
        <f t="shared" si="5"/>
        <v>11.25</v>
      </c>
      <c r="R21" s="116">
        <f t="shared" si="6"/>
        <v>0.15</v>
      </c>
      <c r="S21" s="116">
        <f t="shared" si="7"/>
        <v>11.25</v>
      </c>
      <c r="T21" s="116">
        <f t="shared" si="8"/>
        <v>1.6</v>
      </c>
      <c r="U21" s="116">
        <f t="shared" si="9"/>
        <v>2.8800000000000003</v>
      </c>
      <c r="V21" s="116">
        <f t="shared" si="14"/>
        <v>28.62</v>
      </c>
      <c r="W21" s="116">
        <f t="shared" si="15"/>
        <v>11.25</v>
      </c>
      <c r="X21" s="123">
        <v>20</v>
      </c>
      <c r="Y21" s="123">
        <f t="shared" si="10"/>
        <v>-3</v>
      </c>
      <c r="Z21" s="116">
        <f t="shared" si="11"/>
        <v>23</v>
      </c>
      <c r="AA21" s="116">
        <f t="shared" si="16"/>
        <v>39.870000000000005</v>
      </c>
      <c r="AB21" s="116">
        <f t="shared" si="12"/>
        <v>917.0100000000001</v>
      </c>
      <c r="AC21" s="116">
        <f t="shared" si="17"/>
        <v>3.3786531800149446</v>
      </c>
      <c r="AD21" s="116">
        <f t="shared" si="13"/>
        <v>12.226800000000001</v>
      </c>
      <c r="AE21" s="116">
        <f t="shared" si="18"/>
        <v>1100.412</v>
      </c>
      <c r="AF21" s="115">
        <f t="shared" si="19"/>
        <v>3.3786531800149446</v>
      </c>
    </row>
    <row r="22" spans="1:32" ht="13.75" customHeight="1" x14ac:dyDescent="0.15">
      <c r="A22" s="116" t="s">
        <v>188</v>
      </c>
      <c r="B22" s="116">
        <f>6+5</f>
        <v>11</v>
      </c>
      <c r="C22" s="116">
        <v>3</v>
      </c>
      <c r="D22" s="116">
        <v>0</v>
      </c>
      <c r="E22" s="116">
        <v>0</v>
      </c>
      <c r="F22" s="116">
        <v>12.5</v>
      </c>
      <c r="G22" s="116">
        <v>6</v>
      </c>
      <c r="H22" s="116">
        <v>12.5</v>
      </c>
      <c r="I22" s="116">
        <v>6</v>
      </c>
      <c r="J22" s="116">
        <v>0.9</v>
      </c>
      <c r="K22" s="116">
        <v>2</v>
      </c>
      <c r="L22" s="116">
        <f t="shared" si="0"/>
        <v>0.18</v>
      </c>
      <c r="M22" s="116">
        <f t="shared" si="1"/>
        <v>5.9399999999999995</v>
      </c>
      <c r="N22" s="116">
        <f t="shared" si="2"/>
        <v>1.4</v>
      </c>
      <c r="O22" s="116">
        <f t="shared" si="3"/>
        <v>0</v>
      </c>
      <c r="P22" s="116">
        <f t="shared" si="4"/>
        <v>0.15</v>
      </c>
      <c r="Q22" s="116">
        <f t="shared" si="5"/>
        <v>11.25</v>
      </c>
      <c r="R22" s="116">
        <f t="shared" si="6"/>
        <v>0.15</v>
      </c>
      <c r="S22" s="116">
        <f t="shared" si="7"/>
        <v>11.25</v>
      </c>
      <c r="T22" s="116">
        <f t="shared" si="8"/>
        <v>1.6</v>
      </c>
      <c r="U22" s="116">
        <f t="shared" si="9"/>
        <v>2.8800000000000003</v>
      </c>
      <c r="V22" s="116">
        <f t="shared" si="14"/>
        <v>31.319999999999997</v>
      </c>
      <c r="W22" s="116">
        <f t="shared" si="15"/>
        <v>11.25</v>
      </c>
      <c r="X22" s="123">
        <v>20</v>
      </c>
      <c r="Y22" s="123">
        <f t="shared" si="10"/>
        <v>-3</v>
      </c>
      <c r="Z22" s="116">
        <f t="shared" si="11"/>
        <v>23</v>
      </c>
      <c r="AA22" s="116">
        <f t="shared" si="16"/>
        <v>42.57</v>
      </c>
      <c r="AB22" s="116">
        <f t="shared" si="12"/>
        <v>979.11</v>
      </c>
      <c r="AC22" s="116">
        <f t="shared" si="17"/>
        <v>3.6074558784358217</v>
      </c>
      <c r="AD22" s="116">
        <f t="shared" si="13"/>
        <v>13.0548</v>
      </c>
      <c r="AE22" s="116">
        <f t="shared" si="18"/>
        <v>1174.932</v>
      </c>
      <c r="AF22" s="115">
        <f t="shared" si="19"/>
        <v>3.6074558784358217</v>
      </c>
    </row>
    <row r="23" spans="1:32" ht="13.75" customHeight="1" x14ac:dyDescent="0.15">
      <c r="A23" s="116" t="s">
        <v>162</v>
      </c>
      <c r="B23" s="116">
        <f>6+3+1</f>
        <v>10</v>
      </c>
      <c r="C23" s="116">
        <v>3</v>
      </c>
      <c r="D23" s="116">
        <f>6+3+1</f>
        <v>10</v>
      </c>
      <c r="E23" s="116">
        <v>2.5</v>
      </c>
      <c r="F23" s="116">
        <f>6+7</f>
        <v>13</v>
      </c>
      <c r="G23" s="116">
        <v>2.5</v>
      </c>
      <c r="H23" s="116">
        <v>9</v>
      </c>
      <c r="I23" s="116">
        <v>2.5</v>
      </c>
      <c r="J23" s="116">
        <v>1.8</v>
      </c>
      <c r="K23" s="116">
        <v>2</v>
      </c>
      <c r="L23" s="116">
        <f t="shared" si="0"/>
        <v>0.18</v>
      </c>
      <c r="M23" s="116">
        <f t="shared" si="1"/>
        <v>0.89999999999999991</v>
      </c>
      <c r="N23" s="116">
        <f t="shared" si="2"/>
        <v>1.4</v>
      </c>
      <c r="O23" s="116">
        <f t="shared" si="3"/>
        <v>35</v>
      </c>
      <c r="P23" s="116">
        <f t="shared" si="4"/>
        <v>0.15</v>
      </c>
      <c r="Q23" s="116">
        <f>P23*F41</f>
        <v>2.4375</v>
      </c>
      <c r="R23" s="116">
        <f t="shared" si="6"/>
        <v>0.15</v>
      </c>
      <c r="S23" s="116">
        <f>R23*(H23*I23/2)</f>
        <v>1.6875</v>
      </c>
      <c r="T23" s="116">
        <f t="shared" si="8"/>
        <v>1.6</v>
      </c>
      <c r="U23" s="116">
        <f t="shared" si="9"/>
        <v>5.7600000000000007</v>
      </c>
      <c r="V23" s="116">
        <f t="shared" si="14"/>
        <v>45.784999999999997</v>
      </c>
      <c r="W23" s="116">
        <f t="shared" si="15"/>
        <v>4.875</v>
      </c>
      <c r="X23" s="123">
        <v>20</v>
      </c>
      <c r="Y23" s="123">
        <f t="shared" si="10"/>
        <v>-3</v>
      </c>
      <c r="Z23" s="116">
        <f t="shared" si="11"/>
        <v>23</v>
      </c>
      <c r="AA23" s="116">
        <f t="shared" si="16"/>
        <v>50.66</v>
      </c>
      <c r="AB23" s="116">
        <f t="shared" si="12"/>
        <v>1165.1799999999998</v>
      </c>
      <c r="AC23" s="116">
        <f t="shared" si="17"/>
        <v>4.2930165562968918</v>
      </c>
      <c r="AD23" s="116">
        <f t="shared" si="13"/>
        <v>35.851692307692304</v>
      </c>
      <c r="AE23" s="116">
        <f t="shared" si="18"/>
        <v>1398.2159999999997</v>
      </c>
      <c r="AF23" s="115">
        <f t="shared" si="19"/>
        <v>4.2930165562968918</v>
      </c>
    </row>
    <row r="24" spans="1:32" ht="13.75" customHeight="1" x14ac:dyDescent="0.15">
      <c r="A24" s="116" t="s">
        <v>163</v>
      </c>
      <c r="B24" s="116">
        <f>3+7.5</f>
        <v>10.5</v>
      </c>
      <c r="C24" s="116">
        <v>3</v>
      </c>
      <c r="D24" s="116">
        <v>0</v>
      </c>
      <c r="E24" s="116">
        <v>0</v>
      </c>
      <c r="F24" s="116">
        <v>3</v>
      </c>
      <c r="G24" s="116">
        <v>7.5</v>
      </c>
      <c r="H24" s="116">
        <v>3</v>
      </c>
      <c r="I24" s="116">
        <v>7.5</v>
      </c>
      <c r="J24" s="116">
        <v>0.9</v>
      </c>
      <c r="K24" s="116">
        <v>2</v>
      </c>
      <c r="L24" s="116">
        <f t="shared" si="0"/>
        <v>0.18</v>
      </c>
      <c r="M24" s="116">
        <f t="shared" si="1"/>
        <v>5.67</v>
      </c>
      <c r="N24" s="116">
        <f t="shared" si="2"/>
        <v>1.4</v>
      </c>
      <c r="O24" s="116">
        <f t="shared" si="3"/>
        <v>0</v>
      </c>
      <c r="P24" s="116">
        <f t="shared" si="4"/>
        <v>0.15</v>
      </c>
      <c r="Q24" s="116">
        <f>P24*F41</f>
        <v>2.4375</v>
      </c>
      <c r="R24" s="116">
        <f t="shared" si="6"/>
        <v>0.15</v>
      </c>
      <c r="S24" s="116">
        <f>R24*F24*G24</f>
        <v>3.3749999999999996</v>
      </c>
      <c r="T24" s="116">
        <f t="shared" si="8"/>
        <v>1.6</v>
      </c>
      <c r="U24" s="116">
        <f t="shared" si="9"/>
        <v>2.8800000000000003</v>
      </c>
      <c r="V24" s="116">
        <f t="shared" si="14"/>
        <v>14.362500000000001</v>
      </c>
      <c r="W24" s="116">
        <f>$B$3*F41*C24/3</f>
        <v>2.4375</v>
      </c>
      <c r="X24" s="123">
        <v>20</v>
      </c>
      <c r="Y24" s="123">
        <f t="shared" si="10"/>
        <v>-3</v>
      </c>
      <c r="Z24" s="116">
        <f t="shared" si="11"/>
        <v>23</v>
      </c>
      <c r="AA24" s="116">
        <f t="shared" si="16"/>
        <v>16.8</v>
      </c>
      <c r="AB24" s="116">
        <f t="shared" si="12"/>
        <v>386.40000000000003</v>
      </c>
      <c r="AC24" s="116">
        <f t="shared" si="17"/>
        <v>1.423661234618788</v>
      </c>
      <c r="AD24" s="116">
        <f t="shared" si="13"/>
        <v>17.173333333333336</v>
      </c>
      <c r="AE24" s="116">
        <f t="shared" si="18"/>
        <v>463.68</v>
      </c>
      <c r="AF24" s="115">
        <f t="shared" si="19"/>
        <v>1.423661234618788</v>
      </c>
    </row>
    <row r="25" spans="1:32" ht="13.75" customHeight="1" x14ac:dyDescent="0.15">
      <c r="A25" s="116" t="s">
        <v>189</v>
      </c>
      <c r="B25" s="116">
        <v>0</v>
      </c>
      <c r="C25" s="116">
        <v>3</v>
      </c>
      <c r="D25" s="116">
        <v>0</v>
      </c>
      <c r="E25" s="116">
        <v>0</v>
      </c>
      <c r="F25" s="116">
        <v>13.5</v>
      </c>
      <c r="G25" s="116">
        <v>13.5</v>
      </c>
      <c r="H25" s="116">
        <v>13.5</v>
      </c>
      <c r="I25" s="116">
        <v>13.5</v>
      </c>
      <c r="J25" s="116">
        <v>3.6</v>
      </c>
      <c r="K25" s="116">
        <v>2</v>
      </c>
      <c r="L25" s="116">
        <f t="shared" si="0"/>
        <v>0.18</v>
      </c>
      <c r="M25" s="116">
        <f t="shared" si="1"/>
        <v>0</v>
      </c>
      <c r="N25" s="116">
        <f t="shared" si="2"/>
        <v>1.4</v>
      </c>
      <c r="O25" s="116">
        <f t="shared" si="3"/>
        <v>0</v>
      </c>
      <c r="P25" s="116">
        <f t="shared" si="4"/>
        <v>0.15</v>
      </c>
      <c r="Q25" s="116">
        <f>P25*F43</f>
        <v>21.470822291877742</v>
      </c>
      <c r="R25" s="116">
        <f t="shared" si="6"/>
        <v>0.15</v>
      </c>
      <c r="S25" s="116">
        <f>R25*F43</f>
        <v>21.470822291877742</v>
      </c>
      <c r="T25" s="116">
        <f t="shared" si="8"/>
        <v>1.6</v>
      </c>
      <c r="U25" s="116">
        <f t="shared" si="9"/>
        <v>11.520000000000001</v>
      </c>
      <c r="V25" s="116">
        <f t="shared" si="14"/>
        <v>54.461644583755486</v>
      </c>
      <c r="W25" s="116">
        <f>$B$3*F43*C25/3</f>
        <v>21.470822291877742</v>
      </c>
      <c r="X25" s="123">
        <v>20</v>
      </c>
      <c r="Y25" s="123">
        <f t="shared" si="10"/>
        <v>-3</v>
      </c>
      <c r="Z25" s="116">
        <f t="shared" si="11"/>
        <v>23</v>
      </c>
      <c r="AA25" s="116">
        <f t="shared" si="16"/>
        <v>75.932466875633224</v>
      </c>
      <c r="AB25" s="116">
        <f t="shared" si="12"/>
        <v>1746.4467381395641</v>
      </c>
      <c r="AC25" s="116">
        <f t="shared" si="17"/>
        <v>6.434649377369893</v>
      </c>
      <c r="AD25" s="116">
        <f t="shared" si="13"/>
        <v>9.5826981516574161</v>
      </c>
      <c r="AE25" s="116">
        <f t="shared" si="18"/>
        <v>2095.7360857674767</v>
      </c>
      <c r="AF25" s="115">
        <f t="shared" si="19"/>
        <v>6.434649377369893</v>
      </c>
    </row>
    <row r="26" spans="1:32" ht="13.75" customHeight="1" x14ac:dyDescent="0.15">
      <c r="A26" s="116" t="s">
        <v>190</v>
      </c>
      <c r="B26" s="116">
        <f>0.5*PI()*27.5/6</f>
        <v>7.19948316447661</v>
      </c>
      <c r="C26" s="116">
        <v>3</v>
      </c>
      <c r="D26" s="116">
        <v>7</v>
      </c>
      <c r="E26" s="116">
        <v>2.5</v>
      </c>
      <c r="F26" s="116">
        <f>27.5-13.5-3</f>
        <v>11</v>
      </c>
      <c r="G26" s="116">
        <f t="shared" ref="G26:H31" si="20">27.5-13.5-3</f>
        <v>11</v>
      </c>
      <c r="H26" s="116">
        <f>27.5-13.5-3</f>
        <v>11</v>
      </c>
      <c r="I26" s="116">
        <f t="shared" ref="I26:I31" si="21">27.5-13.5-3</f>
        <v>11</v>
      </c>
      <c r="J26" s="116">
        <v>1.8</v>
      </c>
      <c r="K26" s="116">
        <v>2</v>
      </c>
      <c r="L26" s="116">
        <f t="shared" si="0"/>
        <v>0.18</v>
      </c>
      <c r="M26" s="116">
        <f t="shared" si="1"/>
        <v>0.73772090881736918</v>
      </c>
      <c r="N26" s="116">
        <f t="shared" si="2"/>
        <v>1.4</v>
      </c>
      <c r="O26" s="116">
        <f t="shared" si="3"/>
        <v>24.499999999999996</v>
      </c>
      <c r="P26" s="116">
        <f t="shared" si="4"/>
        <v>0.15</v>
      </c>
      <c r="Q26" s="116">
        <f>P26*$F$44</f>
        <v>9.5033177771091246</v>
      </c>
      <c r="R26" s="116">
        <f t="shared" si="6"/>
        <v>0.15</v>
      </c>
      <c r="S26" s="116">
        <f>R26*$F$44</f>
        <v>9.5033177771091246</v>
      </c>
      <c r="T26" s="116">
        <f t="shared" si="8"/>
        <v>1.6</v>
      </c>
      <c r="U26" s="116">
        <f t="shared" si="9"/>
        <v>5.7600000000000007</v>
      </c>
      <c r="V26" s="116">
        <f t="shared" si="14"/>
        <v>50.004356463035613</v>
      </c>
      <c r="W26" s="116">
        <f>$B$3*$F$44*C26/3</f>
        <v>9.5033177771091246</v>
      </c>
      <c r="X26" s="123">
        <v>20</v>
      </c>
      <c r="Y26" s="123">
        <f t="shared" si="10"/>
        <v>-3</v>
      </c>
      <c r="Z26" s="116">
        <f t="shared" si="11"/>
        <v>23</v>
      </c>
      <c r="AA26" s="116">
        <f t="shared" si="16"/>
        <v>59.507674240144738</v>
      </c>
      <c r="AB26" s="116">
        <f t="shared" si="12"/>
        <v>1368.6765075233291</v>
      </c>
      <c r="AC26" s="116">
        <f t="shared" si="17"/>
        <v>5.0427838677391135</v>
      </c>
      <c r="AD26" s="116">
        <f t="shared" si="13"/>
        <v>11.311376095234124</v>
      </c>
      <c r="AE26" s="116">
        <f t="shared" si="18"/>
        <v>1642.4118090279949</v>
      </c>
      <c r="AF26" s="115">
        <f t="shared" si="19"/>
        <v>5.0427838677391135</v>
      </c>
    </row>
    <row r="27" spans="1:32" ht="13.75" customHeight="1" x14ac:dyDescent="0.15">
      <c r="A27" s="116" t="s">
        <v>190</v>
      </c>
      <c r="B27" s="116">
        <f t="shared" ref="B27:B31" si="22">0.5*PI()*27.5/6</f>
        <v>7.19948316447661</v>
      </c>
      <c r="C27" s="116">
        <v>3</v>
      </c>
      <c r="D27" s="116">
        <v>7</v>
      </c>
      <c r="E27" s="116">
        <v>2.5</v>
      </c>
      <c r="F27" s="116">
        <f t="shared" ref="F27:F31" si="23">27.5-13.5-3</f>
        <v>11</v>
      </c>
      <c r="G27" s="116">
        <f t="shared" si="20"/>
        <v>11</v>
      </c>
      <c r="H27" s="116">
        <f t="shared" si="20"/>
        <v>11</v>
      </c>
      <c r="I27" s="116">
        <f t="shared" si="21"/>
        <v>11</v>
      </c>
      <c r="J27" s="116">
        <v>1.8</v>
      </c>
      <c r="K27" s="116">
        <v>2</v>
      </c>
      <c r="L27" s="116">
        <f t="shared" si="0"/>
        <v>0.18</v>
      </c>
      <c r="M27" s="116">
        <f t="shared" si="1"/>
        <v>0.73772090881736918</v>
      </c>
      <c r="N27" s="116">
        <f t="shared" si="2"/>
        <v>1.4</v>
      </c>
      <c r="O27" s="116">
        <f t="shared" si="3"/>
        <v>24.499999999999996</v>
      </c>
      <c r="P27" s="116">
        <f t="shared" si="4"/>
        <v>0.15</v>
      </c>
      <c r="Q27" s="116">
        <f t="shared" ref="Q27:Q30" si="24">P27*$F$44</f>
        <v>9.5033177771091246</v>
      </c>
      <c r="R27" s="116">
        <f t="shared" si="6"/>
        <v>0.15</v>
      </c>
      <c r="S27" s="116">
        <f t="shared" ref="S27:S31" si="25">R27*$F$44</f>
        <v>9.5033177771091246</v>
      </c>
      <c r="T27" s="116">
        <f t="shared" si="8"/>
        <v>1.6</v>
      </c>
      <c r="U27" s="116">
        <f t="shared" si="9"/>
        <v>5.7600000000000007</v>
      </c>
      <c r="V27" s="116">
        <f t="shared" si="14"/>
        <v>50.004356463035613</v>
      </c>
      <c r="W27" s="116">
        <f t="shared" ref="W27:W31" si="26">$B$3*$F$44*C27/3</f>
        <v>9.5033177771091246</v>
      </c>
      <c r="X27" s="123">
        <v>20</v>
      </c>
      <c r="Y27" s="123">
        <f t="shared" si="10"/>
        <v>-3</v>
      </c>
      <c r="Z27" s="116">
        <f t="shared" si="11"/>
        <v>23</v>
      </c>
      <c r="AA27" s="116">
        <f t="shared" si="16"/>
        <v>59.507674240144738</v>
      </c>
      <c r="AB27" s="116">
        <f t="shared" si="12"/>
        <v>1368.6765075233291</v>
      </c>
      <c r="AC27" s="116">
        <f t="shared" si="17"/>
        <v>5.0427838677391135</v>
      </c>
      <c r="AD27" s="116">
        <f t="shared" si="13"/>
        <v>11.311376095234124</v>
      </c>
      <c r="AE27" s="116">
        <f t="shared" si="18"/>
        <v>1642.4118090279949</v>
      </c>
      <c r="AF27" s="115">
        <f t="shared" si="19"/>
        <v>5.0427838677391135</v>
      </c>
    </row>
    <row r="28" spans="1:32" ht="13.75" customHeight="1" x14ac:dyDescent="0.15">
      <c r="A28" s="116" t="s">
        <v>190</v>
      </c>
      <c r="B28" s="116">
        <f t="shared" si="22"/>
        <v>7.19948316447661</v>
      </c>
      <c r="C28" s="116">
        <v>3</v>
      </c>
      <c r="D28" s="116">
        <v>7</v>
      </c>
      <c r="E28" s="116">
        <v>2.5</v>
      </c>
      <c r="F28" s="116">
        <f t="shared" si="23"/>
        <v>11</v>
      </c>
      <c r="G28" s="116">
        <f t="shared" si="20"/>
        <v>11</v>
      </c>
      <c r="H28" s="116">
        <f t="shared" si="20"/>
        <v>11</v>
      </c>
      <c r="I28" s="116">
        <f t="shared" si="21"/>
        <v>11</v>
      </c>
      <c r="J28" s="116">
        <v>1.8</v>
      </c>
      <c r="K28" s="116">
        <v>2</v>
      </c>
      <c r="L28" s="116">
        <f t="shared" si="0"/>
        <v>0.18</v>
      </c>
      <c r="M28" s="116">
        <f t="shared" si="1"/>
        <v>0.73772090881736918</v>
      </c>
      <c r="N28" s="116">
        <f t="shared" si="2"/>
        <v>1.4</v>
      </c>
      <c r="O28" s="116">
        <f t="shared" si="3"/>
        <v>24.499999999999996</v>
      </c>
      <c r="P28" s="116">
        <f t="shared" si="4"/>
        <v>0.15</v>
      </c>
      <c r="Q28" s="116">
        <f t="shared" si="24"/>
        <v>9.5033177771091246</v>
      </c>
      <c r="R28" s="116">
        <f t="shared" si="6"/>
        <v>0.15</v>
      </c>
      <c r="S28" s="116">
        <f t="shared" si="25"/>
        <v>9.5033177771091246</v>
      </c>
      <c r="T28" s="116">
        <f t="shared" si="8"/>
        <v>1.6</v>
      </c>
      <c r="U28" s="116">
        <f t="shared" si="9"/>
        <v>5.7600000000000007</v>
      </c>
      <c r="V28" s="116">
        <f t="shared" si="14"/>
        <v>50.004356463035613</v>
      </c>
      <c r="W28" s="116">
        <f t="shared" si="26"/>
        <v>9.5033177771091246</v>
      </c>
      <c r="X28" s="123">
        <v>20</v>
      </c>
      <c r="Y28" s="123">
        <f t="shared" si="10"/>
        <v>-3</v>
      </c>
      <c r="Z28" s="116">
        <f t="shared" si="11"/>
        <v>23</v>
      </c>
      <c r="AA28" s="116">
        <f t="shared" si="16"/>
        <v>59.507674240144738</v>
      </c>
      <c r="AB28" s="116">
        <f t="shared" si="12"/>
        <v>1368.6765075233291</v>
      </c>
      <c r="AC28" s="116">
        <f t="shared" si="17"/>
        <v>5.0427838677391135</v>
      </c>
      <c r="AD28" s="116">
        <f t="shared" si="13"/>
        <v>11.311376095234124</v>
      </c>
      <c r="AE28" s="116">
        <f t="shared" si="18"/>
        <v>1642.4118090279949</v>
      </c>
      <c r="AF28" s="115">
        <f t="shared" si="19"/>
        <v>5.0427838677391135</v>
      </c>
    </row>
    <row r="29" spans="1:32" ht="13.75" customHeight="1" x14ac:dyDescent="0.15">
      <c r="A29" s="116" t="s">
        <v>190</v>
      </c>
      <c r="B29" s="116">
        <f t="shared" si="22"/>
        <v>7.19948316447661</v>
      </c>
      <c r="C29" s="116">
        <v>3</v>
      </c>
      <c r="D29" s="116">
        <v>7</v>
      </c>
      <c r="E29" s="116">
        <v>2.5</v>
      </c>
      <c r="F29" s="116">
        <f t="shared" si="23"/>
        <v>11</v>
      </c>
      <c r="G29" s="116">
        <f t="shared" si="20"/>
        <v>11</v>
      </c>
      <c r="H29" s="116">
        <f t="shared" si="20"/>
        <v>11</v>
      </c>
      <c r="I29" s="116">
        <f t="shared" si="21"/>
        <v>11</v>
      </c>
      <c r="J29" s="116">
        <v>1.8</v>
      </c>
      <c r="K29" s="116">
        <v>2</v>
      </c>
      <c r="L29" s="116">
        <f t="shared" si="0"/>
        <v>0.18</v>
      </c>
      <c r="M29" s="116">
        <f t="shared" si="1"/>
        <v>0.73772090881736918</v>
      </c>
      <c r="N29" s="116">
        <f t="shared" si="2"/>
        <v>1.4</v>
      </c>
      <c r="O29" s="116">
        <f t="shared" si="3"/>
        <v>24.499999999999996</v>
      </c>
      <c r="P29" s="116">
        <f t="shared" si="4"/>
        <v>0.15</v>
      </c>
      <c r="Q29" s="116">
        <f t="shared" si="24"/>
        <v>9.5033177771091246</v>
      </c>
      <c r="R29" s="116">
        <f t="shared" si="6"/>
        <v>0.15</v>
      </c>
      <c r="S29" s="116">
        <f t="shared" si="25"/>
        <v>9.5033177771091246</v>
      </c>
      <c r="T29" s="116">
        <f t="shared" si="8"/>
        <v>1.6</v>
      </c>
      <c r="U29" s="116">
        <f t="shared" si="9"/>
        <v>5.7600000000000007</v>
      </c>
      <c r="V29" s="116">
        <f t="shared" si="14"/>
        <v>50.004356463035613</v>
      </c>
      <c r="W29" s="116">
        <f t="shared" si="26"/>
        <v>9.5033177771091246</v>
      </c>
      <c r="X29" s="123">
        <v>20</v>
      </c>
      <c r="Y29" s="123">
        <f t="shared" si="10"/>
        <v>-3</v>
      </c>
      <c r="Z29" s="116">
        <f t="shared" si="11"/>
        <v>23</v>
      </c>
      <c r="AA29" s="116">
        <f t="shared" si="16"/>
        <v>59.507674240144738</v>
      </c>
      <c r="AB29" s="116">
        <f t="shared" si="12"/>
        <v>1368.6765075233291</v>
      </c>
      <c r="AC29" s="116">
        <f t="shared" si="17"/>
        <v>5.0427838677391135</v>
      </c>
      <c r="AD29" s="116">
        <f t="shared" si="13"/>
        <v>11.311376095234124</v>
      </c>
      <c r="AE29" s="116">
        <f t="shared" si="18"/>
        <v>1642.4118090279949</v>
      </c>
      <c r="AF29" s="115">
        <f t="shared" si="19"/>
        <v>5.0427838677391135</v>
      </c>
    </row>
    <row r="30" spans="1:32" ht="13.75" customHeight="1" x14ac:dyDescent="0.15">
      <c r="A30" s="116" t="s">
        <v>190</v>
      </c>
      <c r="B30" s="116">
        <f t="shared" si="22"/>
        <v>7.19948316447661</v>
      </c>
      <c r="C30" s="116">
        <v>3</v>
      </c>
      <c r="D30" s="116">
        <v>7</v>
      </c>
      <c r="E30" s="116">
        <v>2.5</v>
      </c>
      <c r="F30" s="116">
        <f t="shared" si="23"/>
        <v>11</v>
      </c>
      <c r="G30" s="116">
        <f t="shared" si="20"/>
        <v>11</v>
      </c>
      <c r="H30" s="116">
        <f t="shared" si="20"/>
        <v>11</v>
      </c>
      <c r="I30" s="116">
        <f t="shared" si="21"/>
        <v>11</v>
      </c>
      <c r="J30" s="116">
        <v>1.8</v>
      </c>
      <c r="K30" s="116">
        <v>2</v>
      </c>
      <c r="L30" s="116">
        <f t="shared" si="0"/>
        <v>0.18</v>
      </c>
      <c r="M30" s="116">
        <f t="shared" si="1"/>
        <v>0.73772090881736918</v>
      </c>
      <c r="N30" s="116">
        <f t="shared" si="2"/>
        <v>1.4</v>
      </c>
      <c r="O30" s="116">
        <f t="shared" si="3"/>
        <v>24.499999999999996</v>
      </c>
      <c r="P30" s="116">
        <f t="shared" si="4"/>
        <v>0.15</v>
      </c>
      <c r="Q30" s="116">
        <f t="shared" si="24"/>
        <v>9.5033177771091246</v>
      </c>
      <c r="R30" s="116">
        <f t="shared" si="6"/>
        <v>0.15</v>
      </c>
      <c r="S30" s="116">
        <f t="shared" si="25"/>
        <v>9.5033177771091246</v>
      </c>
      <c r="T30" s="116">
        <f t="shared" si="8"/>
        <v>1.6</v>
      </c>
      <c r="U30" s="116">
        <f t="shared" si="9"/>
        <v>5.7600000000000007</v>
      </c>
      <c r="V30" s="116">
        <f t="shared" si="14"/>
        <v>50.004356463035613</v>
      </c>
      <c r="W30" s="116">
        <f t="shared" si="26"/>
        <v>9.5033177771091246</v>
      </c>
      <c r="X30" s="123">
        <v>20</v>
      </c>
      <c r="Y30" s="123">
        <f t="shared" si="10"/>
        <v>-3</v>
      </c>
      <c r="Z30" s="116">
        <f t="shared" si="11"/>
        <v>23</v>
      </c>
      <c r="AA30" s="116">
        <f t="shared" si="16"/>
        <v>59.507674240144738</v>
      </c>
      <c r="AB30" s="116">
        <f t="shared" si="12"/>
        <v>1368.6765075233291</v>
      </c>
      <c r="AC30" s="116">
        <f t="shared" si="17"/>
        <v>5.0427838677391135</v>
      </c>
      <c r="AD30" s="116">
        <f t="shared" si="13"/>
        <v>11.311376095234124</v>
      </c>
      <c r="AE30" s="116">
        <f t="shared" si="18"/>
        <v>1642.4118090279949</v>
      </c>
      <c r="AF30" s="115">
        <f t="shared" si="19"/>
        <v>5.0427838677391135</v>
      </c>
    </row>
    <row r="31" spans="1:32" ht="13.75" customHeight="1" x14ac:dyDescent="0.15">
      <c r="A31" s="116" t="s">
        <v>190</v>
      </c>
      <c r="B31" s="116">
        <f t="shared" si="22"/>
        <v>7.19948316447661</v>
      </c>
      <c r="C31" s="116">
        <v>3</v>
      </c>
      <c r="D31" s="116">
        <v>7</v>
      </c>
      <c r="E31" s="116">
        <v>2.5</v>
      </c>
      <c r="F31" s="116">
        <f t="shared" si="23"/>
        <v>11</v>
      </c>
      <c r="G31" s="116">
        <f t="shared" si="20"/>
        <v>11</v>
      </c>
      <c r="H31" s="116">
        <f t="shared" si="20"/>
        <v>11</v>
      </c>
      <c r="I31" s="116">
        <f t="shared" si="21"/>
        <v>11</v>
      </c>
      <c r="J31" s="116">
        <v>1.8</v>
      </c>
      <c r="K31" s="116">
        <v>2</v>
      </c>
      <c r="L31" s="116">
        <f t="shared" si="0"/>
        <v>0.18</v>
      </c>
      <c r="M31" s="116">
        <f t="shared" si="1"/>
        <v>0.73772090881736918</v>
      </c>
      <c r="N31" s="116">
        <f t="shared" si="2"/>
        <v>1.4</v>
      </c>
      <c r="O31" s="116">
        <f t="shared" si="3"/>
        <v>24.499999999999996</v>
      </c>
      <c r="P31" s="116">
        <f t="shared" si="4"/>
        <v>0.15</v>
      </c>
      <c r="Q31" s="116">
        <f>P31*$F$44</f>
        <v>9.5033177771091246</v>
      </c>
      <c r="R31" s="116">
        <f t="shared" si="6"/>
        <v>0.15</v>
      </c>
      <c r="S31" s="116">
        <f t="shared" si="25"/>
        <v>9.5033177771091246</v>
      </c>
      <c r="T31" s="116">
        <f t="shared" si="8"/>
        <v>1.6</v>
      </c>
      <c r="U31" s="116">
        <f t="shared" si="9"/>
        <v>5.7600000000000007</v>
      </c>
      <c r="V31" s="116">
        <f t="shared" si="14"/>
        <v>50.004356463035613</v>
      </c>
      <c r="W31" s="116">
        <f t="shared" si="26"/>
        <v>9.5033177771091246</v>
      </c>
      <c r="X31" s="123">
        <v>20</v>
      </c>
      <c r="Y31" s="123">
        <f t="shared" si="10"/>
        <v>-3</v>
      </c>
      <c r="Z31" s="116">
        <f t="shared" si="11"/>
        <v>23</v>
      </c>
      <c r="AA31" s="116">
        <f t="shared" si="16"/>
        <v>59.507674240144738</v>
      </c>
      <c r="AB31" s="116">
        <f t="shared" si="12"/>
        <v>1368.6765075233291</v>
      </c>
      <c r="AC31" s="116">
        <f t="shared" si="17"/>
        <v>5.0427838677391135</v>
      </c>
      <c r="AD31" s="116">
        <f t="shared" si="13"/>
        <v>11.311376095234124</v>
      </c>
      <c r="AE31" s="116">
        <f t="shared" si="18"/>
        <v>1642.4118090279949</v>
      </c>
      <c r="AF31" s="115">
        <f t="shared" si="19"/>
        <v>5.0427838677391135</v>
      </c>
    </row>
    <row r="32" spans="1:32" ht="13.75" customHeight="1" x14ac:dyDescent="0.15">
      <c r="A32" s="116" t="s">
        <v>191</v>
      </c>
      <c r="B32" s="116">
        <f>29.2+13.5</f>
        <v>42.7</v>
      </c>
      <c r="C32" s="116">
        <v>3</v>
      </c>
      <c r="D32" s="116">
        <v>29</v>
      </c>
      <c r="E32" s="116">
        <v>2.5</v>
      </c>
      <c r="F32" s="116">
        <f>9+13.5</f>
        <v>22.5</v>
      </c>
      <c r="G32" s="116">
        <v>29.5</v>
      </c>
      <c r="H32" s="116">
        <f>9+13.5</f>
        <v>22.5</v>
      </c>
      <c r="I32" s="116">
        <v>29.5</v>
      </c>
      <c r="J32" s="116">
        <v>10.5</v>
      </c>
      <c r="K32" s="116">
        <v>2</v>
      </c>
      <c r="L32" s="116">
        <f t="shared" si="0"/>
        <v>0.18</v>
      </c>
      <c r="M32" s="116">
        <f t="shared" si="1"/>
        <v>10.008000000000004</v>
      </c>
      <c r="N32" s="116">
        <f t="shared" si="2"/>
        <v>1.4</v>
      </c>
      <c r="O32" s="116">
        <f t="shared" si="3"/>
        <v>101.49999999999999</v>
      </c>
      <c r="P32" s="116">
        <f t="shared" si="4"/>
        <v>0.15</v>
      </c>
      <c r="Q32" s="116">
        <f>P32*F45</f>
        <v>49.78125</v>
      </c>
      <c r="R32" s="116">
        <f t="shared" si="6"/>
        <v>0.15</v>
      </c>
      <c r="S32" s="116">
        <f>R32*F45</f>
        <v>49.78125</v>
      </c>
      <c r="T32" s="116">
        <f t="shared" si="8"/>
        <v>1.6</v>
      </c>
      <c r="U32" s="116">
        <f t="shared" si="9"/>
        <v>33.6</v>
      </c>
      <c r="V32" s="116">
        <f t="shared" si="14"/>
        <v>244.67049999999998</v>
      </c>
      <c r="W32" s="116">
        <f>$B$3*F45*C32/3</f>
        <v>49.78125</v>
      </c>
      <c r="X32" s="123">
        <v>20</v>
      </c>
      <c r="Y32" s="123">
        <f t="shared" si="10"/>
        <v>-3</v>
      </c>
      <c r="Z32" s="116">
        <f t="shared" si="11"/>
        <v>23</v>
      </c>
      <c r="AA32" s="116">
        <f t="shared" si="16"/>
        <v>294.45175</v>
      </c>
      <c r="AB32" s="116">
        <f t="shared" si="12"/>
        <v>6772.3902500000004</v>
      </c>
      <c r="AC32" s="116">
        <f t="shared" si="17"/>
        <v>24.952353686944207</v>
      </c>
      <c r="AD32" s="116">
        <f t="shared" si="13"/>
        <v>10.203224482109228</v>
      </c>
      <c r="AE32" s="116">
        <f t="shared" si="18"/>
        <v>8126.8683000000001</v>
      </c>
      <c r="AF32" s="115">
        <f t="shared" si="19"/>
        <v>24.95235368694421</v>
      </c>
    </row>
    <row r="33" spans="1:32" ht="13.75" customHeight="1" x14ac:dyDescent="0.15">
      <c r="A33" s="116" t="s">
        <v>166</v>
      </c>
      <c r="B33" s="116">
        <v>9</v>
      </c>
      <c r="C33" s="116">
        <v>3</v>
      </c>
      <c r="D33" s="116">
        <v>9</v>
      </c>
      <c r="E33" s="116">
        <v>2.5</v>
      </c>
      <c r="F33" s="116">
        <f>7+9</f>
        <v>16</v>
      </c>
      <c r="G33" s="116">
        <v>8.5</v>
      </c>
      <c r="H33" s="116">
        <f>7+9</f>
        <v>16</v>
      </c>
      <c r="I33" s="116">
        <v>8.5</v>
      </c>
      <c r="J33" s="116">
        <v>2.7</v>
      </c>
      <c r="K33" s="116">
        <v>2</v>
      </c>
      <c r="L33" s="116">
        <f t="shared" si="0"/>
        <v>0.18</v>
      </c>
      <c r="M33" s="116">
        <f t="shared" si="1"/>
        <v>0.80999999999999994</v>
      </c>
      <c r="N33" s="116">
        <f t="shared" si="2"/>
        <v>1.4</v>
      </c>
      <c r="O33" s="116">
        <f t="shared" si="3"/>
        <v>31.5</v>
      </c>
      <c r="P33" s="116">
        <f t="shared" si="4"/>
        <v>0.15</v>
      </c>
      <c r="Q33" s="116">
        <f>P33*F46</f>
        <v>10.199999999999999</v>
      </c>
      <c r="R33" s="116">
        <f t="shared" si="6"/>
        <v>0.15</v>
      </c>
      <c r="S33" s="116">
        <f>R33*F46</f>
        <v>10.199999999999999</v>
      </c>
      <c r="T33" s="116">
        <f t="shared" si="8"/>
        <v>1.6</v>
      </c>
      <c r="U33" s="116">
        <f t="shared" si="9"/>
        <v>8.64</v>
      </c>
      <c r="V33" s="116">
        <f t="shared" si="14"/>
        <v>61.350000000000009</v>
      </c>
      <c r="W33" s="116">
        <f>$B$3*F46*C33/3</f>
        <v>10.199999999999999</v>
      </c>
      <c r="X33" s="123">
        <v>20</v>
      </c>
      <c r="Y33" s="123">
        <f t="shared" si="10"/>
        <v>-3</v>
      </c>
      <c r="Z33" s="116">
        <f t="shared" si="11"/>
        <v>23</v>
      </c>
      <c r="AA33" s="116">
        <f t="shared" si="16"/>
        <v>71.550000000000011</v>
      </c>
      <c r="AB33" s="116">
        <f t="shared" si="12"/>
        <v>1645.6500000000003</v>
      </c>
      <c r="AC33" s="116">
        <f t="shared" si="17"/>
        <v>6.0632715081532309</v>
      </c>
      <c r="AD33" s="116">
        <f t="shared" si="13"/>
        <v>12.100367647058826</v>
      </c>
      <c r="AE33" s="116">
        <f t="shared" si="18"/>
        <v>1974.7800000000002</v>
      </c>
      <c r="AF33" s="115">
        <f t="shared" si="19"/>
        <v>6.0632715081532309</v>
      </c>
    </row>
    <row r="34" spans="1:32" ht="13.75" customHeight="1" x14ac:dyDescent="0.15">
      <c r="A34" s="116" t="s">
        <v>171</v>
      </c>
      <c r="B34" s="116">
        <v>6</v>
      </c>
      <c r="C34" s="116">
        <v>3</v>
      </c>
      <c r="D34" s="116">
        <v>0</v>
      </c>
      <c r="E34" s="116">
        <v>0</v>
      </c>
      <c r="F34" s="116">
        <f>7.5+3+13.5+1</f>
        <v>25</v>
      </c>
      <c r="G34" s="116">
        <v>3</v>
      </c>
      <c r="H34" s="116">
        <f>7.5+3+13.5+1</f>
        <v>25</v>
      </c>
      <c r="I34" s="116">
        <v>3</v>
      </c>
      <c r="J34" s="116">
        <v>3.6</v>
      </c>
      <c r="K34" s="116">
        <v>2</v>
      </c>
      <c r="L34" s="116">
        <f t="shared" si="0"/>
        <v>0.18</v>
      </c>
      <c r="M34" s="116">
        <f t="shared" si="1"/>
        <v>3.2399999999999998</v>
      </c>
      <c r="N34" s="116">
        <f t="shared" si="2"/>
        <v>1.4</v>
      </c>
      <c r="O34" s="116">
        <f t="shared" si="3"/>
        <v>0</v>
      </c>
      <c r="P34" s="116">
        <f t="shared" si="4"/>
        <v>0.15</v>
      </c>
      <c r="Q34" s="116">
        <f t="shared" si="5"/>
        <v>11.25</v>
      </c>
      <c r="R34" s="116">
        <f t="shared" si="6"/>
        <v>0.15</v>
      </c>
      <c r="S34" s="116">
        <f t="shared" si="7"/>
        <v>11.25</v>
      </c>
      <c r="T34" s="116">
        <f t="shared" si="8"/>
        <v>1.6</v>
      </c>
      <c r="U34" s="116">
        <f t="shared" si="9"/>
        <v>11.520000000000001</v>
      </c>
      <c r="V34" s="116">
        <f t="shared" si="14"/>
        <v>37.260000000000005</v>
      </c>
      <c r="W34" s="116">
        <f t="shared" si="15"/>
        <v>11.25</v>
      </c>
      <c r="X34" s="123">
        <v>20</v>
      </c>
      <c r="Y34" s="123">
        <f t="shared" si="10"/>
        <v>-3</v>
      </c>
      <c r="Z34" s="116">
        <f t="shared" si="11"/>
        <v>23</v>
      </c>
      <c r="AA34" s="116">
        <f t="shared" si="16"/>
        <v>48.510000000000005</v>
      </c>
      <c r="AB34" s="116">
        <f t="shared" si="12"/>
        <v>1115.73</v>
      </c>
      <c r="AC34" s="116">
        <f t="shared" si="17"/>
        <v>4.1108218149617501</v>
      </c>
      <c r="AD34" s="116">
        <f t="shared" si="13"/>
        <v>14.8764</v>
      </c>
      <c r="AE34" s="116">
        <f t="shared" si="18"/>
        <v>1338.876</v>
      </c>
      <c r="AF34" s="115">
        <f t="shared" si="19"/>
        <v>4.1108218149617501</v>
      </c>
    </row>
    <row r="35" spans="1:32" ht="13.75" customHeight="1" x14ac:dyDescent="0.15">
      <c r="A35" s="116" t="s">
        <v>172</v>
      </c>
      <c r="B35" s="116">
        <v>0</v>
      </c>
      <c r="C35" s="116">
        <v>0</v>
      </c>
      <c r="D35" s="116">
        <v>0</v>
      </c>
      <c r="E35" s="116">
        <v>0</v>
      </c>
      <c r="F35" s="116">
        <v>27.5</v>
      </c>
      <c r="G35" s="116">
        <v>3</v>
      </c>
      <c r="H35" s="116">
        <v>27.5</v>
      </c>
      <c r="I35" s="116">
        <v>3</v>
      </c>
      <c r="J35" s="116">
        <v>1.8</v>
      </c>
      <c r="K35" s="116">
        <v>2</v>
      </c>
      <c r="L35" s="116">
        <f t="shared" si="0"/>
        <v>0.18</v>
      </c>
      <c r="M35" s="116">
        <f t="shared" si="1"/>
        <v>0</v>
      </c>
      <c r="N35" s="116">
        <f t="shared" si="2"/>
        <v>1.4</v>
      </c>
      <c r="O35" s="116">
        <f t="shared" si="3"/>
        <v>0</v>
      </c>
      <c r="P35" s="116">
        <f t="shared" si="4"/>
        <v>0.15</v>
      </c>
      <c r="Q35" s="116">
        <f t="shared" si="5"/>
        <v>12.375</v>
      </c>
      <c r="R35" s="116">
        <f t="shared" si="6"/>
        <v>0.15</v>
      </c>
      <c r="S35" s="116">
        <f t="shared" si="7"/>
        <v>12.375</v>
      </c>
      <c r="T35" s="116">
        <f t="shared" si="8"/>
        <v>1.6</v>
      </c>
      <c r="U35" s="116">
        <f t="shared" si="9"/>
        <v>5.7600000000000007</v>
      </c>
      <c r="V35" s="116">
        <f t="shared" si="14"/>
        <v>30.51</v>
      </c>
      <c r="W35" s="116">
        <f t="shared" si="15"/>
        <v>0</v>
      </c>
      <c r="X35" s="123">
        <v>20</v>
      </c>
      <c r="Y35" s="123">
        <f t="shared" si="10"/>
        <v>-3</v>
      </c>
      <c r="Z35" s="116">
        <f t="shared" si="11"/>
        <v>23</v>
      </c>
      <c r="AA35" s="116">
        <f t="shared" si="16"/>
        <v>30.51</v>
      </c>
      <c r="AB35" s="116">
        <f t="shared" si="12"/>
        <v>701.73</v>
      </c>
      <c r="AC35" s="116">
        <f t="shared" si="17"/>
        <v>2.5854704921559057</v>
      </c>
      <c r="AD35" s="116">
        <f t="shared" si="13"/>
        <v>8.5058181818181815</v>
      </c>
      <c r="AE35" s="116">
        <f t="shared" si="18"/>
        <v>842.07600000000002</v>
      </c>
      <c r="AF35" s="115">
        <f t="shared" si="19"/>
        <v>2.5854704921559062</v>
      </c>
    </row>
    <row r="36" spans="1:32" ht="13.75" customHeight="1" x14ac:dyDescent="0.15">
      <c r="A36" s="116" t="s">
        <v>173</v>
      </c>
      <c r="B36" s="116">
        <v>0</v>
      </c>
      <c r="C36" s="116">
        <v>0</v>
      </c>
      <c r="D36" s="116">
        <v>0</v>
      </c>
      <c r="E36" s="116">
        <v>0</v>
      </c>
      <c r="F36" s="116">
        <v>27.5</v>
      </c>
      <c r="G36" s="116">
        <v>3</v>
      </c>
      <c r="H36" s="116">
        <v>27.5</v>
      </c>
      <c r="I36" s="116">
        <v>3</v>
      </c>
      <c r="J36" s="116">
        <v>0</v>
      </c>
      <c r="K36" s="116">
        <v>0</v>
      </c>
      <c r="L36" s="116">
        <f t="shared" si="0"/>
        <v>0.18</v>
      </c>
      <c r="M36" s="116">
        <f t="shared" si="1"/>
        <v>0</v>
      </c>
      <c r="N36" s="116">
        <f t="shared" si="2"/>
        <v>1.4</v>
      </c>
      <c r="O36" s="116">
        <f t="shared" si="3"/>
        <v>0</v>
      </c>
      <c r="P36" s="116">
        <f t="shared" si="4"/>
        <v>0.15</v>
      </c>
      <c r="Q36" s="116">
        <f>P36*F47</f>
        <v>10.602875205865553</v>
      </c>
      <c r="R36" s="116">
        <f t="shared" si="6"/>
        <v>0.15</v>
      </c>
      <c r="S36" s="116">
        <f>R36*F47</f>
        <v>10.602875205865553</v>
      </c>
      <c r="T36" s="116">
        <f t="shared" si="8"/>
        <v>1.6</v>
      </c>
      <c r="U36" s="116">
        <f t="shared" si="9"/>
        <v>0</v>
      </c>
      <c r="V36" s="116">
        <f t="shared" si="14"/>
        <v>21.205750411731106</v>
      </c>
      <c r="W36" s="116">
        <f>$B$3*F36*G36*C36/3</f>
        <v>0</v>
      </c>
      <c r="X36" s="123">
        <v>20</v>
      </c>
      <c r="Y36" s="123">
        <f t="shared" si="10"/>
        <v>-3</v>
      </c>
      <c r="Z36" s="116">
        <f t="shared" si="11"/>
        <v>23</v>
      </c>
      <c r="AA36" s="116">
        <f t="shared" si="16"/>
        <v>21.205750411731106</v>
      </c>
      <c r="AB36" s="116">
        <f t="shared" si="12"/>
        <v>487.73225946981546</v>
      </c>
      <c r="AC36" s="116">
        <f t="shared" si="17"/>
        <v>1.7970121912013675</v>
      </c>
      <c r="AD36" s="116">
        <f t="shared" si="13"/>
        <v>5.9119061753917022</v>
      </c>
      <c r="AE36" s="116">
        <f t="shared" si="18"/>
        <v>585.27871136377848</v>
      </c>
      <c r="AF36" s="115">
        <f t="shared" si="19"/>
        <v>1.7970121912013675</v>
      </c>
    </row>
    <row r="37" spans="1:32" ht="13.5" customHeight="1" x14ac:dyDescent="0.15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 t="s">
        <v>89</v>
      </c>
      <c r="AB37" s="116">
        <f>SUM(AB18:AB36)</f>
        <v>27141.288292749356</v>
      </c>
      <c r="AC37" s="116"/>
      <c r="AD37" s="116">
        <f>AB37/B2</f>
        <v>17.341763582464413</v>
      </c>
      <c r="AE37" s="116">
        <f>SUM(AE18:AE36)</f>
        <v>32569.545951299224</v>
      </c>
    </row>
    <row r="38" spans="1:32" ht="14.25" customHeight="1" x14ac:dyDescent="0.15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</row>
    <row r="39" spans="1:32" ht="13.75" customHeight="1" x14ac:dyDescent="0.15">
      <c r="A39" s="114"/>
      <c r="B39" s="130"/>
      <c r="C39" s="131"/>
      <c r="D39" s="132"/>
      <c r="E39" s="113"/>
      <c r="F39" s="113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</row>
    <row r="40" spans="1:32" ht="13.75" customHeight="1" x14ac:dyDescent="0.15">
      <c r="A40" s="114"/>
      <c r="B40" s="133"/>
      <c r="C40" s="174" t="s">
        <v>285</v>
      </c>
      <c r="D40" s="174"/>
      <c r="E40" s="174"/>
      <c r="F40" s="116" t="s">
        <v>286</v>
      </c>
      <c r="G40" s="118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</row>
    <row r="41" spans="1:32" ht="13.75" customHeight="1" x14ac:dyDescent="0.15">
      <c r="A41" s="113"/>
      <c r="B41" s="134"/>
      <c r="C41" s="174" t="s">
        <v>186</v>
      </c>
      <c r="D41" s="174"/>
      <c r="E41" s="174"/>
      <c r="F41" s="116">
        <f>F23*G23/2</f>
        <v>16.25</v>
      </c>
      <c r="G41" s="118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</row>
    <row r="42" spans="1:32" ht="13.75" customHeight="1" x14ac:dyDescent="0.15">
      <c r="A42" s="140"/>
      <c r="B42" s="141"/>
      <c r="C42" s="176"/>
      <c r="D42" s="177"/>
      <c r="E42" s="178"/>
      <c r="F42" s="116"/>
      <c r="G42" s="118"/>
      <c r="H42" s="114"/>
      <c r="I42" s="114"/>
      <c r="J42" s="179"/>
      <c r="K42" s="180"/>
      <c r="L42" s="181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</row>
    <row r="43" spans="1:32" ht="13.75" customHeight="1" x14ac:dyDescent="0.15">
      <c r="A43" s="140"/>
      <c r="B43" s="141"/>
      <c r="C43" s="174" t="s">
        <v>164</v>
      </c>
      <c r="D43" s="174"/>
      <c r="E43" s="174"/>
      <c r="F43" s="116">
        <f>1/4*PI()*F25*G25</f>
        <v>143.13881527918494</v>
      </c>
      <c r="G43" s="118"/>
      <c r="H43" s="114"/>
      <c r="I43" s="114"/>
      <c r="J43" s="179"/>
      <c r="K43" s="181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</row>
    <row r="44" spans="1:32" ht="13.75" customHeight="1" x14ac:dyDescent="0.15">
      <c r="A44" s="140"/>
      <c r="B44" s="141"/>
      <c r="C44" s="174" t="s">
        <v>169</v>
      </c>
      <c r="D44" s="174"/>
      <c r="E44" s="174"/>
      <c r="F44" s="116">
        <f>(1/4*PI()*F36*F36-(1/4*PI()*(G35+F25)*(G35+F25)))/6</f>
        <v>63.355451847394171</v>
      </c>
      <c r="G44" s="118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</row>
    <row r="45" spans="1:32" ht="13.75" customHeight="1" x14ac:dyDescent="0.15">
      <c r="A45" s="140"/>
      <c r="B45" s="141"/>
      <c r="C45" s="174" t="s">
        <v>170</v>
      </c>
      <c r="D45" s="174"/>
      <c r="E45" s="174"/>
      <c r="F45" s="116">
        <f>F32*G32/2</f>
        <v>331.875</v>
      </c>
      <c r="G45" s="118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</row>
    <row r="46" spans="1:32" ht="13.75" customHeight="1" x14ac:dyDescent="0.15">
      <c r="A46" s="140"/>
      <c r="B46" s="141"/>
      <c r="C46" s="174" t="s">
        <v>166</v>
      </c>
      <c r="D46" s="174"/>
      <c r="E46" s="174"/>
      <c r="F46" s="116">
        <f>F33*G33/2</f>
        <v>68</v>
      </c>
      <c r="G46" s="118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</row>
    <row r="47" spans="1:32" ht="13.75" customHeight="1" x14ac:dyDescent="0.15">
      <c r="A47" s="140"/>
      <c r="B47" s="141"/>
      <c r="C47" s="174" t="s">
        <v>174</v>
      </c>
      <c r="D47" s="174"/>
      <c r="E47" s="174"/>
      <c r="F47" s="116">
        <f>1/4*PI()*(F25+G35)*(F25+G35)-F43</f>
        <v>70.685834705770361</v>
      </c>
      <c r="G47" s="118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</row>
    <row r="48" spans="1:32" ht="13.75" customHeight="1" x14ac:dyDescent="0.15">
      <c r="A48" s="140"/>
      <c r="B48" s="141"/>
      <c r="C48" s="174" t="s">
        <v>175</v>
      </c>
      <c r="D48" s="174"/>
      <c r="E48" s="174"/>
      <c r="F48" s="116">
        <f>F21*G21</f>
        <v>75</v>
      </c>
      <c r="G48" s="118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</row>
    <row r="49" spans="1:31" ht="13.75" customHeight="1" x14ac:dyDescent="0.15">
      <c r="A49" s="140"/>
      <c r="B49" s="141"/>
      <c r="C49" s="174" t="s">
        <v>172</v>
      </c>
      <c r="D49" s="174"/>
      <c r="E49" s="174"/>
      <c r="F49" s="116">
        <f>F35*G35</f>
        <v>82.5</v>
      </c>
      <c r="G49" s="118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</row>
    <row r="50" spans="1:31" ht="13.75" customHeight="1" x14ac:dyDescent="0.15">
      <c r="A50" s="140"/>
      <c r="B50" s="141"/>
      <c r="C50" s="174" t="s">
        <v>171</v>
      </c>
      <c r="D50" s="174"/>
      <c r="E50" s="174"/>
      <c r="F50" s="116">
        <f>F34*G34</f>
        <v>75</v>
      </c>
      <c r="G50" s="118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</row>
    <row r="51" spans="1:31" ht="13.75" customHeight="1" x14ac:dyDescent="0.15">
      <c r="A51" s="140"/>
      <c r="B51" s="140"/>
      <c r="C51" s="125"/>
      <c r="D51" s="124"/>
      <c r="E51" s="124"/>
      <c r="F51" s="12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</row>
    <row r="52" spans="1:31" ht="13.75" customHeight="1" x14ac:dyDescent="0.15">
      <c r="A52" s="124"/>
      <c r="B52" s="12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</row>
    <row r="53" spans="1:31" ht="13.75" customHeight="1" x14ac:dyDescent="0.15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</row>
    <row r="54" spans="1:31" ht="13.75" customHeight="1" x14ac:dyDescent="0.15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</row>
    <row r="55" spans="1:31" ht="13.75" customHeight="1" x14ac:dyDescent="0.15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</row>
    <row r="56" spans="1:31" ht="13.75" customHeight="1" x14ac:dyDescent="0.15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</row>
    <row r="57" spans="1:31" ht="13.75" customHeight="1" x14ac:dyDescent="0.15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</row>
    <row r="58" spans="1:31" ht="13.75" customHeight="1" x14ac:dyDescent="0.15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</row>
    <row r="59" spans="1:31" ht="13.75" customHeight="1" x14ac:dyDescent="0.15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</row>
    <row r="60" spans="1:31" ht="13.75" customHeight="1" x14ac:dyDescent="0.15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</row>
    <row r="61" spans="1:31" ht="13.75" customHeight="1" x14ac:dyDescent="0.15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</row>
    <row r="62" spans="1:31" ht="13.75" customHeight="1" x14ac:dyDescent="0.15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</row>
    <row r="63" spans="1:31" ht="13.75" customHeight="1" x14ac:dyDescent="0.15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</row>
    <row r="64" spans="1:31" ht="13.75" customHeight="1" x14ac:dyDescent="0.15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</row>
    <row r="65" spans="1:31" ht="13.75" customHeight="1" x14ac:dyDescent="0.15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</row>
    <row r="66" spans="1:31" ht="13.75" customHeight="1" x14ac:dyDescent="0.15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</row>
    <row r="67" spans="1:31" ht="13.75" customHeight="1" x14ac:dyDescent="0.15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</row>
  </sheetData>
  <mergeCells count="17">
    <mergeCell ref="J42:L42"/>
    <mergeCell ref="J43:K43"/>
    <mergeCell ref="I2:K2"/>
    <mergeCell ref="I3:K3"/>
    <mergeCell ref="I4:K4"/>
    <mergeCell ref="I5:K5"/>
    <mergeCell ref="C49:E49"/>
    <mergeCell ref="C50:E50"/>
    <mergeCell ref="C40:E40"/>
    <mergeCell ref="C42:E42"/>
    <mergeCell ref="C44:E44"/>
    <mergeCell ref="C45:E45"/>
    <mergeCell ref="C46:E46"/>
    <mergeCell ref="C47:E47"/>
    <mergeCell ref="C48:E48"/>
    <mergeCell ref="C41:E41"/>
    <mergeCell ref="C43:E43"/>
  </mergeCells>
  <phoneticPr fontId="6" type="noConversion"/>
  <pageMargins left="0.748031" right="0.748031" top="0.98425200000000002" bottom="0.98425200000000002" header="0.51181100000000002" footer="0.51181100000000002"/>
  <pageSetup orientation="landscape"/>
  <headerFooter>
    <oddFooter>&amp;L&amp;"Arial,Regular"&amp;10&amp;K000000Energy_use_house.xlsx&amp;C&amp;"Arial,Regular"&amp;10&amp;K000000Ht Loss_house1&amp;R&amp;"Arial,Regular"&amp;10&amp;K000000EC 18/03/2025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showGridLines="0" zoomScale="144" zoomScaleNormal="309" workbookViewId="0">
      <selection activeCell="A5" sqref="A5:C7"/>
    </sheetView>
  </sheetViews>
  <sheetFormatPr baseColWidth="10" defaultColWidth="8.83203125" defaultRowHeight="12.75" customHeight="1" x14ac:dyDescent="0.15"/>
  <cols>
    <col min="1" max="1" width="23.83203125" style="146" customWidth="1"/>
    <col min="2" max="2" width="15.33203125" style="146" customWidth="1"/>
    <col min="3" max="3" width="11.6640625" style="146" customWidth="1"/>
    <col min="4" max="6" width="8.83203125" style="146" customWidth="1"/>
    <col min="7" max="7" width="33.5" style="146" customWidth="1"/>
    <col min="8" max="8" width="8.83203125" style="146" customWidth="1"/>
    <col min="9" max="16384" width="8.83203125" style="146"/>
  </cols>
  <sheetData>
    <row r="1" spans="1:7" ht="15.75" customHeight="1" x14ac:dyDescent="0.15">
      <c r="A1" s="143" t="s">
        <v>91</v>
      </c>
      <c r="B1" s="144"/>
      <c r="C1" s="145" t="s">
        <v>92</v>
      </c>
      <c r="D1" s="111">
        <f>Uvals!B2</f>
        <v>1565.0823610693203</v>
      </c>
      <c r="E1" s="145" t="s">
        <v>2</v>
      </c>
      <c r="F1" s="144"/>
      <c r="G1" s="149" t="s">
        <v>93</v>
      </c>
    </row>
    <row r="2" spans="1:7" ht="13.75" customHeight="1" x14ac:dyDescent="0.15">
      <c r="A2" s="144"/>
      <c r="B2" s="144"/>
      <c r="C2" s="144"/>
      <c r="D2" s="144"/>
      <c r="E2" s="144"/>
      <c r="F2" s="144"/>
      <c r="G2" s="149" t="s">
        <v>94</v>
      </c>
    </row>
    <row r="3" spans="1:7" ht="13.75" customHeight="1" x14ac:dyDescent="0.15">
      <c r="A3" s="145" t="s">
        <v>95</v>
      </c>
      <c r="B3" s="111">
        <f>B41</f>
        <v>461</v>
      </c>
      <c r="C3" s="144"/>
      <c r="D3" s="145" t="s">
        <v>96</v>
      </c>
      <c r="E3" s="111">
        <v>200</v>
      </c>
      <c r="F3" s="144"/>
      <c r="G3" s="149" t="s">
        <v>97</v>
      </c>
    </row>
    <row r="4" spans="1:7" ht="13.75" customHeight="1" x14ac:dyDescent="0.15">
      <c r="A4" s="145" t="s">
        <v>98</v>
      </c>
      <c r="B4" s="111">
        <v>7</v>
      </c>
      <c r="C4" s="145" t="s">
        <v>99</v>
      </c>
      <c r="D4" s="145" t="s">
        <v>100</v>
      </c>
      <c r="E4" s="111">
        <v>0.75</v>
      </c>
      <c r="F4" s="144"/>
      <c r="G4" s="149" t="s">
        <v>213</v>
      </c>
    </row>
    <row r="5" spans="1:7" ht="13.75" customHeight="1" x14ac:dyDescent="0.15">
      <c r="A5" s="145" t="s">
        <v>101</v>
      </c>
      <c r="B5" s="111">
        <v>4187</v>
      </c>
      <c r="C5" s="145" t="s">
        <v>102</v>
      </c>
      <c r="D5" s="144"/>
      <c r="E5" s="111">
        <f>E4*100</f>
        <v>75</v>
      </c>
      <c r="F5" s="145" t="s">
        <v>103</v>
      </c>
      <c r="G5" s="144"/>
    </row>
    <row r="6" spans="1:7" ht="13.75" customHeight="1" x14ac:dyDescent="0.15">
      <c r="A6" s="145" t="s">
        <v>61</v>
      </c>
      <c r="B6" s="111">
        <v>50</v>
      </c>
      <c r="C6" s="145" t="s">
        <v>56</v>
      </c>
      <c r="D6" s="145" t="s">
        <v>104</v>
      </c>
      <c r="E6" s="144"/>
      <c r="F6" s="144"/>
      <c r="G6" s="144"/>
    </row>
    <row r="7" spans="1:7" ht="13.75" customHeight="1" x14ac:dyDescent="0.15">
      <c r="A7" s="145" t="s">
        <v>212</v>
      </c>
      <c r="B7" s="111">
        <v>2</v>
      </c>
      <c r="C7" s="145" t="s">
        <v>105</v>
      </c>
      <c r="D7" s="144"/>
      <c r="E7" s="144"/>
      <c r="F7" s="144"/>
      <c r="G7" s="144"/>
    </row>
    <row r="8" spans="1:7" ht="13.75" customHeight="1" x14ac:dyDescent="0.15">
      <c r="A8" s="144"/>
      <c r="B8" s="144"/>
      <c r="C8" s="144"/>
      <c r="D8" s="144"/>
      <c r="E8" s="144"/>
      <c r="F8" s="144"/>
      <c r="G8" s="144"/>
    </row>
    <row r="9" spans="1:7" ht="13.75" customHeight="1" x14ac:dyDescent="0.15">
      <c r="A9" s="145" t="s">
        <v>91</v>
      </c>
      <c r="B9" s="111">
        <f>B3*B4*B5*B6/2/3600/E4</f>
        <v>125106.00925925926</v>
      </c>
      <c r="C9" s="145" t="s">
        <v>47</v>
      </c>
      <c r="D9" s="144"/>
      <c r="E9" s="144"/>
      <c r="F9" s="144"/>
      <c r="G9" s="144"/>
    </row>
    <row r="10" spans="1:7" ht="13.75" customHeight="1" x14ac:dyDescent="0.15">
      <c r="A10" s="144"/>
      <c r="B10" s="111">
        <f>B9/1000</f>
        <v>125.10600925925925</v>
      </c>
      <c r="C10" s="145" t="s">
        <v>106</v>
      </c>
      <c r="D10" s="144"/>
      <c r="E10" s="144"/>
      <c r="F10" s="144"/>
      <c r="G10" s="144"/>
    </row>
    <row r="11" spans="1:7" ht="13.75" customHeight="1" x14ac:dyDescent="0.15">
      <c r="A11" s="145" t="s">
        <v>107</v>
      </c>
      <c r="B11" s="111">
        <f>B3*B4*B5*B6/E4</f>
        <v>900763266.66666663</v>
      </c>
      <c r="C11" s="145" t="s">
        <v>108</v>
      </c>
      <c r="D11" s="144"/>
      <c r="E11" s="144"/>
      <c r="F11" s="144"/>
      <c r="G11" s="144"/>
    </row>
    <row r="12" spans="1:7" ht="13.75" customHeight="1" x14ac:dyDescent="0.15">
      <c r="A12" s="145" t="s">
        <v>109</v>
      </c>
      <c r="B12" s="147">
        <f>B11/3600000</f>
        <v>250.21201851851851</v>
      </c>
      <c r="C12" s="145" t="s">
        <v>110</v>
      </c>
      <c r="D12" s="144"/>
      <c r="E12" s="144"/>
      <c r="F12" s="144"/>
      <c r="G12" s="144"/>
    </row>
    <row r="13" spans="1:7" ht="13.75" customHeight="1" x14ac:dyDescent="0.15">
      <c r="A13" s="145" t="s">
        <v>214</v>
      </c>
      <c r="B13" s="148">
        <f>B12*E3</f>
        <v>50042.403703703698</v>
      </c>
      <c r="C13" s="145" t="s">
        <v>111</v>
      </c>
      <c r="D13" s="144"/>
      <c r="E13" s="144"/>
      <c r="F13" s="144"/>
      <c r="G13" s="144"/>
    </row>
    <row r="14" spans="1:7" ht="13.75" customHeight="1" x14ac:dyDescent="0.15">
      <c r="A14" s="145" t="s">
        <v>112</v>
      </c>
      <c r="B14" s="144"/>
      <c r="C14" s="144"/>
      <c r="D14" s="144"/>
      <c r="E14" s="144"/>
      <c r="F14" s="144"/>
      <c r="G14" s="144"/>
    </row>
    <row r="15" spans="1:7" ht="13.75" customHeight="1" x14ac:dyDescent="0.15">
      <c r="A15" s="144"/>
      <c r="B15" s="147">
        <f>B13/D1</f>
        <v>31.97429410009639</v>
      </c>
      <c r="C15" s="145" t="s">
        <v>63</v>
      </c>
      <c r="D15" s="144"/>
      <c r="E15" s="144"/>
      <c r="F15" s="144"/>
      <c r="G15" s="144"/>
    </row>
    <row r="21" spans="1:2" ht="12.75" customHeight="1" x14ac:dyDescent="0.15">
      <c r="A21" s="150" t="s">
        <v>187</v>
      </c>
      <c r="B21" s="151">
        <v>40</v>
      </c>
    </row>
    <row r="22" spans="1:2" ht="12.75" customHeight="1" x14ac:dyDescent="0.15">
      <c r="A22" s="150" t="s">
        <v>187</v>
      </c>
      <c r="B22" s="151">
        <v>40</v>
      </c>
    </row>
    <row r="23" spans="1:2" ht="12.75" customHeight="1" x14ac:dyDescent="0.15">
      <c r="A23" s="150" t="s">
        <v>187</v>
      </c>
      <c r="B23" s="151">
        <v>40</v>
      </c>
    </row>
    <row r="24" spans="1:2" ht="12.75" customHeight="1" x14ac:dyDescent="0.15">
      <c r="A24" s="150" t="s">
        <v>188</v>
      </c>
      <c r="B24" s="151">
        <v>15</v>
      </c>
    </row>
    <row r="25" spans="1:2" ht="12.75" customHeight="1" x14ac:dyDescent="0.15">
      <c r="A25" s="150" t="s">
        <v>188</v>
      </c>
      <c r="B25" s="151">
        <v>15</v>
      </c>
    </row>
    <row r="26" spans="1:2" ht="12.75" customHeight="1" x14ac:dyDescent="0.15">
      <c r="A26" s="150" t="s">
        <v>162</v>
      </c>
      <c r="B26" s="151">
        <v>0</v>
      </c>
    </row>
    <row r="27" spans="1:2" ht="12.75" customHeight="1" x14ac:dyDescent="0.15">
      <c r="A27" s="150" t="s">
        <v>163</v>
      </c>
      <c r="B27" s="151">
        <v>0</v>
      </c>
    </row>
    <row r="28" spans="1:2" ht="12.75" customHeight="1" x14ac:dyDescent="0.15">
      <c r="A28" s="150" t="s">
        <v>189</v>
      </c>
      <c r="B28" s="151">
        <v>100</v>
      </c>
    </row>
    <row r="29" spans="1:2" ht="12.75" customHeight="1" x14ac:dyDescent="0.15">
      <c r="A29" s="150" t="s">
        <v>190</v>
      </c>
      <c r="B29" s="151">
        <v>30</v>
      </c>
    </row>
    <row r="30" spans="1:2" ht="12.75" customHeight="1" x14ac:dyDescent="0.15">
      <c r="A30" s="150" t="s">
        <v>190</v>
      </c>
      <c r="B30" s="151">
        <v>30</v>
      </c>
    </row>
    <row r="31" spans="1:2" ht="12.75" customHeight="1" x14ac:dyDescent="0.15">
      <c r="A31" s="150" t="s">
        <v>190</v>
      </c>
      <c r="B31" s="151">
        <v>30</v>
      </c>
    </row>
    <row r="32" spans="1:2" ht="12.75" customHeight="1" x14ac:dyDescent="0.15">
      <c r="A32" s="150" t="s">
        <v>190</v>
      </c>
      <c r="B32" s="151">
        <v>30</v>
      </c>
    </row>
    <row r="33" spans="1:2" ht="12.75" customHeight="1" x14ac:dyDescent="0.15">
      <c r="A33" s="150" t="s">
        <v>190</v>
      </c>
      <c r="B33" s="151">
        <v>30</v>
      </c>
    </row>
    <row r="34" spans="1:2" ht="12.75" customHeight="1" x14ac:dyDescent="0.15">
      <c r="A34" s="150" t="s">
        <v>190</v>
      </c>
      <c r="B34" s="151">
        <v>30</v>
      </c>
    </row>
    <row r="35" spans="1:2" ht="12.75" customHeight="1" x14ac:dyDescent="0.15">
      <c r="A35" s="150" t="s">
        <v>191</v>
      </c>
      <c r="B35" s="151">
        <v>20</v>
      </c>
    </row>
    <row r="36" spans="1:2" ht="12.75" customHeight="1" x14ac:dyDescent="0.15">
      <c r="A36" s="150" t="s">
        <v>166</v>
      </c>
      <c r="B36" s="111">
        <v>2</v>
      </c>
    </row>
    <row r="37" spans="1:2" ht="12.75" customHeight="1" x14ac:dyDescent="0.15">
      <c r="A37" s="150" t="s">
        <v>171</v>
      </c>
      <c r="B37" s="111">
        <v>3</v>
      </c>
    </row>
    <row r="38" spans="1:2" ht="12.75" customHeight="1" x14ac:dyDescent="0.15">
      <c r="A38" s="150" t="s">
        <v>172</v>
      </c>
      <c r="B38" s="111">
        <v>3</v>
      </c>
    </row>
    <row r="39" spans="1:2" ht="12.75" customHeight="1" x14ac:dyDescent="0.15">
      <c r="A39" s="150" t="s">
        <v>173</v>
      </c>
      <c r="B39" s="111">
        <v>3</v>
      </c>
    </row>
    <row r="41" spans="1:2" ht="12.75" customHeight="1" x14ac:dyDescent="0.15">
      <c r="B41" s="146">
        <f>SUM(B21:B39)</f>
        <v>461</v>
      </c>
    </row>
  </sheetData>
  <phoneticPr fontId="6" type="noConversion"/>
  <pageMargins left="0.75" right="0.75" top="1" bottom="1" header="0.5" footer="0.5"/>
  <pageSetup orientation="portrait"/>
  <headerFooter>
    <oddFooter>&amp;L&amp;"Arial,Regular"&amp;10&amp;K000000Energy_use_house.xlsx&amp;C&amp;"Arial,Regular"&amp;10&amp;K000000Htg_hot_water&amp;R&amp;"Arial,Regular"&amp;10&amp;K000000E Clancy 17/12/09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3"/>
  <sheetViews>
    <sheetView showGridLines="0" workbookViewId="0">
      <selection activeCell="D18" sqref="D18"/>
    </sheetView>
  </sheetViews>
  <sheetFormatPr baseColWidth="10" defaultColWidth="8.83203125" defaultRowHeight="15" customHeight="1" x14ac:dyDescent="0.15"/>
  <cols>
    <col min="1" max="1" width="9.1640625" style="1" customWidth="1"/>
    <col min="2" max="2" width="13.1640625" style="1" customWidth="1"/>
    <col min="3" max="3" width="9.1640625" style="1" customWidth="1"/>
    <col min="4" max="4" width="17.33203125" style="1" customWidth="1"/>
    <col min="5" max="7" width="9.1640625" style="1" customWidth="1"/>
    <col min="8" max="8" width="9.5" style="1" customWidth="1"/>
    <col min="9" max="9" width="17.33203125" style="1" customWidth="1"/>
    <col min="10" max="11" width="9.1640625" style="1" customWidth="1"/>
    <col min="12" max="12" width="8.83203125" style="1" customWidth="1"/>
    <col min="13" max="16384" width="8.83203125" style="1"/>
  </cols>
  <sheetData>
    <row r="1" spans="1:11" ht="15.75" customHeight="1" x14ac:dyDescent="0.2">
      <c r="A1" s="46" t="s">
        <v>113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.75" customHeight="1" x14ac:dyDescent="0.2">
      <c r="A2" s="46" t="s">
        <v>215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3.7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6.5" customHeight="1" x14ac:dyDescent="0.15">
      <c r="A4" s="4"/>
      <c r="B4" s="47" t="s">
        <v>114</v>
      </c>
      <c r="C4" s="47" t="s">
        <v>115</v>
      </c>
      <c r="D4" s="47" t="s">
        <v>78</v>
      </c>
      <c r="E4" s="48">
        <f>'Ht Loss_house1'!L2</f>
        <v>82377.053510934536</v>
      </c>
      <c r="F4" s="47" t="s">
        <v>47</v>
      </c>
      <c r="G4" s="47" t="s">
        <v>116</v>
      </c>
      <c r="H4" s="49">
        <v>20</v>
      </c>
      <c r="I4" s="4"/>
      <c r="J4" s="47" t="s">
        <v>117</v>
      </c>
      <c r="K4" s="49">
        <v>2360</v>
      </c>
    </row>
    <row r="5" spans="1:11" ht="16.5" customHeight="1" x14ac:dyDescent="0.15">
      <c r="A5" s="4"/>
      <c r="B5" s="47" t="s">
        <v>118</v>
      </c>
      <c r="C5" s="4"/>
      <c r="D5" s="4"/>
      <c r="E5" s="4"/>
      <c r="F5" s="4"/>
      <c r="G5" s="47" t="s">
        <v>119</v>
      </c>
      <c r="H5" s="49">
        <v>-3</v>
      </c>
      <c r="I5" s="4"/>
      <c r="J5" s="4"/>
      <c r="K5" s="4"/>
    </row>
    <row r="6" spans="1:11" ht="16.5" customHeight="1" x14ac:dyDescent="0.15">
      <c r="A6" s="4"/>
      <c r="B6" s="4"/>
      <c r="C6" s="4"/>
      <c r="D6" s="4"/>
      <c r="E6" s="4"/>
      <c r="F6" s="4"/>
      <c r="G6" s="47" t="s">
        <v>61</v>
      </c>
      <c r="H6" s="49">
        <f>H4-H5</f>
        <v>23</v>
      </c>
      <c r="I6" s="4"/>
      <c r="J6" s="4"/>
      <c r="K6" s="4"/>
    </row>
    <row r="7" spans="1:11" ht="16.5" customHeight="1" x14ac:dyDescent="0.15">
      <c r="A7" s="4"/>
      <c r="B7" s="4"/>
      <c r="C7" s="4"/>
      <c r="D7" s="47" t="s">
        <v>120</v>
      </c>
      <c r="E7" s="48">
        <f>E4/H6</f>
        <v>3581.6110222145448</v>
      </c>
      <c r="F7" s="47" t="s">
        <v>121</v>
      </c>
      <c r="G7" s="4"/>
      <c r="H7" s="4"/>
      <c r="I7" s="4"/>
      <c r="J7" s="4"/>
      <c r="K7" s="4"/>
    </row>
    <row r="8" spans="1:11" ht="16.5" customHeight="1" x14ac:dyDescent="0.15">
      <c r="A8" s="47" t="s">
        <v>90</v>
      </c>
      <c r="B8" s="152">
        <f>Uvals!B2</f>
        <v>1565.0823610693203</v>
      </c>
      <c r="C8" s="47" t="s">
        <v>2</v>
      </c>
      <c r="D8" s="4"/>
      <c r="E8" s="4"/>
      <c r="F8" s="4"/>
      <c r="G8" s="4"/>
      <c r="H8" s="4"/>
      <c r="I8" s="4"/>
      <c r="J8" s="4"/>
      <c r="K8" s="4"/>
    </row>
    <row r="9" spans="1:11" ht="15.75" customHeight="1" x14ac:dyDescent="0.15">
      <c r="A9" s="4"/>
      <c r="B9" s="27"/>
      <c r="C9" s="27"/>
      <c r="D9" s="27"/>
      <c r="E9" s="27"/>
      <c r="F9" s="27"/>
      <c r="G9" s="27"/>
      <c r="H9" s="27"/>
      <c r="I9" s="27"/>
      <c r="J9" s="4"/>
      <c r="K9" s="4"/>
    </row>
    <row r="10" spans="1:11" ht="17" customHeight="1" x14ac:dyDescent="0.15">
      <c r="A10" s="50"/>
      <c r="B10" s="51"/>
      <c r="C10" s="52" t="s">
        <v>59</v>
      </c>
      <c r="D10" s="52" t="s">
        <v>122</v>
      </c>
      <c r="E10" s="53"/>
      <c r="F10" s="53"/>
      <c r="G10" s="53"/>
      <c r="H10" s="52" t="s">
        <v>123</v>
      </c>
      <c r="I10" s="54" t="s">
        <v>124</v>
      </c>
      <c r="J10" s="10"/>
      <c r="K10" s="4"/>
    </row>
    <row r="11" spans="1:11" ht="13.75" customHeight="1" x14ac:dyDescent="0.15">
      <c r="A11" s="50"/>
      <c r="B11" s="55"/>
      <c r="C11" s="56"/>
      <c r="D11" s="56"/>
      <c r="E11" s="56"/>
      <c r="F11" s="56"/>
      <c r="G11" s="56"/>
      <c r="H11" s="56"/>
      <c r="I11" s="57"/>
      <c r="J11" s="10"/>
      <c r="K11" s="4"/>
    </row>
    <row r="12" spans="1:11" ht="16.5" customHeight="1" x14ac:dyDescent="0.15">
      <c r="A12" s="50"/>
      <c r="B12" s="55"/>
      <c r="C12" s="43" t="s">
        <v>59</v>
      </c>
      <c r="D12" s="58">
        <f>E7*24*K4/1000</f>
        <v>202862.44829823181</v>
      </c>
      <c r="E12" s="43" t="s">
        <v>111</v>
      </c>
      <c r="F12" s="56"/>
      <c r="G12" s="56"/>
      <c r="H12" s="58">
        <f>D12/B8</f>
        <v>129.61774622495199</v>
      </c>
      <c r="I12" s="57"/>
      <c r="J12" s="10"/>
      <c r="K12" s="4"/>
    </row>
    <row r="13" spans="1:11" ht="16.5" customHeight="1" x14ac:dyDescent="0.15">
      <c r="A13" s="50"/>
      <c r="B13" s="55"/>
      <c r="C13" s="56"/>
      <c r="D13" s="58"/>
      <c r="E13" s="56"/>
      <c r="F13" s="56"/>
      <c r="G13" s="56"/>
      <c r="H13" s="58"/>
      <c r="I13" s="57"/>
      <c r="J13" s="10"/>
      <c r="K13" s="4"/>
    </row>
    <row r="14" spans="1:11" ht="16.5" customHeight="1" x14ac:dyDescent="0.15">
      <c r="A14" s="50"/>
      <c r="B14" s="59" t="s">
        <v>125</v>
      </c>
      <c r="C14" s="43" t="s">
        <v>126</v>
      </c>
      <c r="D14" s="58">
        <f>Htg_hot_water!B13</f>
        <v>50042.403703703698</v>
      </c>
      <c r="E14" s="43" t="s">
        <v>111</v>
      </c>
      <c r="F14" s="56"/>
      <c r="G14" s="56"/>
      <c r="H14" s="58">
        <f>D14/B8</f>
        <v>31.97429410009639</v>
      </c>
      <c r="I14" s="57"/>
      <c r="J14" s="10"/>
      <c r="K14" s="4"/>
    </row>
    <row r="15" spans="1:11" ht="16.5" customHeight="1" x14ac:dyDescent="0.15">
      <c r="A15" s="50"/>
      <c r="B15" s="79"/>
      <c r="C15" s="80"/>
      <c r="D15" s="81"/>
      <c r="E15" s="80"/>
      <c r="F15" s="82"/>
      <c r="G15" s="82"/>
      <c r="H15" s="81"/>
      <c r="I15" s="83"/>
      <c r="J15" s="10"/>
      <c r="K15" s="4"/>
    </row>
    <row r="16" spans="1:11" ht="16.5" customHeight="1" x14ac:dyDescent="0.15">
      <c r="A16" s="50"/>
      <c r="B16" s="79"/>
      <c r="C16" s="84" t="s">
        <v>222</v>
      </c>
      <c r="D16" s="81">
        <f>'Ht Loss_house1'!V3</f>
        <v>26931.149999999998</v>
      </c>
      <c r="E16" s="43" t="s">
        <v>111</v>
      </c>
      <c r="F16" s="82"/>
      <c r="G16" s="82"/>
      <c r="H16" s="81"/>
      <c r="I16" s="83"/>
      <c r="J16" s="10"/>
      <c r="K16" s="4"/>
    </row>
    <row r="17" spans="1:11" ht="15.75" customHeight="1" x14ac:dyDescent="0.15">
      <c r="A17" s="50"/>
      <c r="B17" s="60"/>
      <c r="C17" s="61"/>
      <c r="D17" s="62"/>
      <c r="E17" s="61"/>
      <c r="F17" s="61"/>
      <c r="G17" s="61"/>
      <c r="H17" s="62"/>
      <c r="I17" s="63"/>
      <c r="J17" s="10"/>
      <c r="K17" s="4"/>
    </row>
    <row r="18" spans="1:11" ht="15.75" customHeight="1" x14ac:dyDescent="0.15">
      <c r="A18" s="50"/>
      <c r="B18" s="64"/>
      <c r="C18" s="65" t="s">
        <v>127</v>
      </c>
      <c r="D18" s="66">
        <f>D12+D14-D16</f>
        <v>225973.70200193551</v>
      </c>
      <c r="E18" s="65" t="s">
        <v>111</v>
      </c>
      <c r="F18" s="67"/>
      <c r="G18" s="67"/>
      <c r="H18" s="66">
        <f>D18/B8</f>
        <v>144.38454334603975</v>
      </c>
      <c r="I18" s="68"/>
      <c r="J18" s="10"/>
      <c r="K18" s="4"/>
    </row>
    <row r="19" spans="1:11" ht="14.25" customHeight="1" x14ac:dyDescent="0.15">
      <c r="A19" s="4"/>
      <c r="B19" s="38"/>
      <c r="C19" s="38"/>
      <c r="D19" s="38"/>
      <c r="E19" s="38"/>
      <c r="F19" s="38"/>
      <c r="G19" s="38"/>
      <c r="H19" s="38"/>
      <c r="I19" s="38"/>
      <c r="J19" s="4"/>
      <c r="K19" s="4"/>
    </row>
    <row r="20" spans="1:11" ht="13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3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6.5" customHeight="1" x14ac:dyDescent="0.15">
      <c r="A22" s="4"/>
      <c r="B22" s="47" t="s">
        <v>128</v>
      </c>
      <c r="C22" s="47" t="s">
        <v>129</v>
      </c>
      <c r="D22" s="69">
        <v>44000000</v>
      </c>
      <c r="E22" s="47" t="s">
        <v>130</v>
      </c>
      <c r="F22" s="4"/>
      <c r="G22" s="4"/>
      <c r="H22" s="4"/>
      <c r="I22" s="4"/>
      <c r="J22" s="4"/>
      <c r="K22" s="4"/>
    </row>
    <row r="23" spans="1:11" ht="16.5" customHeight="1" x14ac:dyDescent="0.15">
      <c r="A23" s="4"/>
      <c r="B23" s="4"/>
      <c r="C23" s="4"/>
      <c r="D23" s="70">
        <f>D22/3600000</f>
        <v>12.222222222222221</v>
      </c>
      <c r="E23" s="47" t="s">
        <v>131</v>
      </c>
      <c r="F23" s="4"/>
      <c r="G23" s="4"/>
      <c r="H23" s="4"/>
      <c r="I23" s="4"/>
      <c r="J23" s="4"/>
      <c r="K23" s="4"/>
    </row>
    <row r="24" spans="1:11" ht="13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6.5" customHeight="1" x14ac:dyDescent="0.15">
      <c r="A25" s="4"/>
      <c r="B25" s="47" t="s">
        <v>132</v>
      </c>
      <c r="C25" s="4"/>
      <c r="D25" s="71">
        <f>D18/D23</f>
        <v>18488.757436521999</v>
      </c>
      <c r="E25" s="47" t="s">
        <v>133</v>
      </c>
      <c r="F25" s="4"/>
      <c r="G25" s="4"/>
      <c r="H25" s="4"/>
      <c r="I25" s="4"/>
      <c r="J25" s="4"/>
      <c r="K25" s="4"/>
    </row>
    <row r="26" spans="1:11" ht="13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6.5" customHeight="1" x14ac:dyDescent="0.15">
      <c r="A27" s="4"/>
      <c r="B27" s="47" t="s">
        <v>134</v>
      </c>
      <c r="C27" s="49">
        <v>800</v>
      </c>
      <c r="D27" s="78" t="s">
        <v>217</v>
      </c>
      <c r="E27" s="47" t="s">
        <v>135</v>
      </c>
      <c r="F27" s="4"/>
      <c r="G27" s="4"/>
      <c r="H27" s="78" t="s">
        <v>216</v>
      </c>
      <c r="I27" s="4"/>
      <c r="J27" s="4"/>
      <c r="K27" s="4"/>
    </row>
    <row r="28" spans="1:11" ht="13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6.5" customHeight="1" x14ac:dyDescent="0.15">
      <c r="A29" s="4"/>
      <c r="B29" s="47" t="s">
        <v>132</v>
      </c>
      <c r="C29" s="4"/>
      <c r="D29" s="71">
        <f>D25/C27*1000</f>
        <v>23110.9467956525</v>
      </c>
      <c r="E29" s="47" t="s">
        <v>99</v>
      </c>
      <c r="F29" s="47" t="s">
        <v>136</v>
      </c>
      <c r="G29" s="4"/>
      <c r="H29" s="4"/>
      <c r="I29" s="4"/>
      <c r="J29" s="4"/>
      <c r="K29" s="4"/>
    </row>
    <row r="30" spans="1:11" ht="13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6.5" customHeight="1" x14ac:dyDescent="0.15">
      <c r="A31" s="4"/>
      <c r="B31" s="47" t="s">
        <v>137</v>
      </c>
      <c r="C31" s="4"/>
      <c r="D31" s="70">
        <v>1.4</v>
      </c>
      <c r="E31" s="4"/>
      <c r="F31" s="4"/>
      <c r="G31" s="4"/>
      <c r="H31" s="4"/>
      <c r="I31" s="4"/>
      <c r="J31" s="4"/>
      <c r="K31" s="4"/>
    </row>
    <row r="32" spans="1:11" ht="13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6.5" customHeight="1" x14ac:dyDescent="0.2">
      <c r="A33" s="4"/>
      <c r="B33" s="47" t="s">
        <v>138</v>
      </c>
      <c r="C33" s="72" t="s">
        <v>139</v>
      </c>
      <c r="D33" s="70">
        <f>D29*D31</f>
        <v>32355.3255139135</v>
      </c>
      <c r="E33" s="4"/>
      <c r="F33" s="47" t="s">
        <v>136</v>
      </c>
      <c r="G33" s="72" t="s">
        <v>139</v>
      </c>
      <c r="H33" s="70">
        <f>D33/B8</f>
        <v>20.673241433637514</v>
      </c>
      <c r="I33" s="47" t="s">
        <v>140</v>
      </c>
      <c r="J33" s="4"/>
      <c r="K33" s="4"/>
    </row>
  </sheetData>
  <phoneticPr fontId="6" type="noConversion"/>
  <pageMargins left="0.7" right="0.7" top="0.75" bottom="0.75" header="0.3" footer="0.3"/>
  <pageSetup orientation="portrait"/>
  <headerFooter>
    <oddFooter>&amp;C&amp;"Helvetica Neue,Regular"&amp;11&amp;K000000&amp;P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7CC34-D0A4-ED40-82B9-01C4F5D3DFDB}">
  <dimension ref="A1:K33"/>
  <sheetViews>
    <sheetView showGridLines="0" workbookViewId="0">
      <selection activeCell="D18" sqref="D18"/>
    </sheetView>
  </sheetViews>
  <sheetFormatPr baseColWidth="10" defaultColWidth="8.83203125" defaultRowHeight="15" customHeight="1" x14ac:dyDescent="0.15"/>
  <cols>
    <col min="1" max="1" width="9.1640625" style="1" customWidth="1"/>
    <col min="2" max="2" width="13.1640625" style="1" customWidth="1"/>
    <col min="3" max="3" width="9.1640625" style="1" customWidth="1"/>
    <col min="4" max="4" width="17.33203125" style="1" customWidth="1"/>
    <col min="5" max="7" width="9.1640625" style="1" customWidth="1"/>
    <col min="8" max="8" width="9.5" style="1" customWidth="1"/>
    <col min="9" max="9" width="17.33203125" style="1" customWidth="1"/>
    <col min="10" max="11" width="9.1640625" style="1" customWidth="1"/>
    <col min="12" max="12" width="8.83203125" style="1" customWidth="1"/>
    <col min="13" max="16384" width="8.83203125" style="1"/>
  </cols>
  <sheetData>
    <row r="1" spans="1:11" ht="15.75" customHeight="1" x14ac:dyDescent="0.2">
      <c r="A1" s="46" t="s">
        <v>113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.75" customHeight="1" x14ac:dyDescent="0.2">
      <c r="A2" s="46" t="s">
        <v>287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3.7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6.5" customHeight="1" x14ac:dyDescent="0.15">
      <c r="A4" s="4"/>
      <c r="B4" s="47" t="s">
        <v>114</v>
      </c>
      <c r="C4" s="47" t="s">
        <v>115</v>
      </c>
      <c r="D4" s="47" t="s">
        <v>78</v>
      </c>
      <c r="E4" s="48">
        <f>'Ht Loss_house2 '!L2</f>
        <v>27141.288292749356</v>
      </c>
      <c r="F4" s="47" t="s">
        <v>47</v>
      </c>
      <c r="G4" s="47" t="s">
        <v>116</v>
      </c>
      <c r="H4" s="49">
        <v>20</v>
      </c>
      <c r="I4" s="4"/>
      <c r="J4" s="47" t="s">
        <v>117</v>
      </c>
      <c r="K4" s="49">
        <v>2360</v>
      </c>
    </row>
    <row r="5" spans="1:11" ht="16.5" customHeight="1" x14ac:dyDescent="0.15">
      <c r="A5" s="4"/>
      <c r="B5" s="47" t="s">
        <v>118</v>
      </c>
      <c r="C5" s="4"/>
      <c r="D5" s="4"/>
      <c r="E5" s="4"/>
      <c r="F5" s="4"/>
      <c r="G5" s="47" t="s">
        <v>119</v>
      </c>
      <c r="H5" s="49">
        <v>-3</v>
      </c>
      <c r="I5" s="4"/>
      <c r="J5" s="4"/>
      <c r="K5" s="4"/>
    </row>
    <row r="6" spans="1:11" ht="16.5" customHeight="1" x14ac:dyDescent="0.15">
      <c r="A6" s="4"/>
      <c r="B6" s="4"/>
      <c r="C6" s="4"/>
      <c r="D6" s="4"/>
      <c r="E6" s="4"/>
      <c r="F6" s="4"/>
      <c r="G6" s="47" t="s">
        <v>61</v>
      </c>
      <c r="H6" s="49">
        <f>H4-H5</f>
        <v>23</v>
      </c>
      <c r="I6" s="4"/>
      <c r="J6" s="4"/>
      <c r="K6" s="4"/>
    </row>
    <row r="7" spans="1:11" ht="16.5" customHeight="1" x14ac:dyDescent="0.15">
      <c r="A7" s="4"/>
      <c r="B7" s="4"/>
      <c r="C7" s="4"/>
      <c r="D7" s="47" t="s">
        <v>120</v>
      </c>
      <c r="E7" s="48">
        <f>E4/H6</f>
        <v>1180.0560127282329</v>
      </c>
      <c r="F7" s="47" t="s">
        <v>121</v>
      </c>
      <c r="G7" s="4"/>
      <c r="H7" s="4"/>
      <c r="I7" s="4"/>
      <c r="J7" s="4"/>
      <c r="K7" s="4"/>
    </row>
    <row r="8" spans="1:11" ht="16.5" customHeight="1" x14ac:dyDescent="0.15">
      <c r="A8" s="47" t="s">
        <v>90</v>
      </c>
      <c r="B8" s="152">
        <f>Uvals!B2</f>
        <v>1565.0823610693203</v>
      </c>
      <c r="C8" s="47" t="s">
        <v>2</v>
      </c>
      <c r="D8" s="4"/>
      <c r="E8" s="4"/>
      <c r="F8" s="4"/>
      <c r="G8" s="4"/>
      <c r="H8" s="4"/>
      <c r="I8" s="4"/>
      <c r="J8" s="4"/>
      <c r="K8" s="4"/>
    </row>
    <row r="9" spans="1:11" ht="15.75" customHeight="1" thickBot="1" x14ac:dyDescent="0.2">
      <c r="A9" s="4"/>
      <c r="B9" s="27"/>
      <c r="C9" s="27"/>
      <c r="D9" s="27"/>
      <c r="E9" s="27"/>
      <c r="F9" s="27"/>
      <c r="G9" s="27"/>
      <c r="H9" s="27"/>
      <c r="I9" s="27"/>
      <c r="J9" s="4"/>
      <c r="K9" s="4"/>
    </row>
    <row r="10" spans="1:11" ht="17" customHeight="1" x14ac:dyDescent="0.15">
      <c r="A10" s="50"/>
      <c r="B10" s="51"/>
      <c r="C10" s="52" t="s">
        <v>59</v>
      </c>
      <c r="D10" s="52" t="s">
        <v>122</v>
      </c>
      <c r="E10" s="53"/>
      <c r="F10" s="53"/>
      <c r="G10" s="53"/>
      <c r="H10" s="52" t="s">
        <v>123</v>
      </c>
      <c r="I10" s="54" t="s">
        <v>124</v>
      </c>
      <c r="J10" s="10"/>
      <c r="K10" s="4"/>
    </row>
    <row r="11" spans="1:11" ht="13.75" customHeight="1" x14ac:dyDescent="0.15">
      <c r="A11" s="50"/>
      <c r="B11" s="55"/>
      <c r="C11" s="56"/>
      <c r="D11" s="56"/>
      <c r="E11" s="56"/>
      <c r="F11" s="56"/>
      <c r="G11" s="56"/>
      <c r="H11" s="56"/>
      <c r="I11" s="57"/>
      <c r="J11" s="10"/>
      <c r="K11" s="4"/>
    </row>
    <row r="12" spans="1:11" ht="16.5" customHeight="1" x14ac:dyDescent="0.15">
      <c r="A12" s="50"/>
      <c r="B12" s="55"/>
      <c r="C12" s="43" t="s">
        <v>59</v>
      </c>
      <c r="D12" s="58">
        <f>E7*24*K4/1000</f>
        <v>66838.372560927106</v>
      </c>
      <c r="E12" s="43" t="s">
        <v>111</v>
      </c>
      <c r="F12" s="56"/>
      <c r="G12" s="56"/>
      <c r="H12" s="58">
        <f>D12/B8</f>
        <v>42.705977796121054</v>
      </c>
      <c r="I12" s="57"/>
      <c r="J12" s="10"/>
      <c r="K12" s="4"/>
    </row>
    <row r="13" spans="1:11" ht="16.5" customHeight="1" x14ac:dyDescent="0.15">
      <c r="A13" s="50"/>
      <c r="B13" s="55"/>
      <c r="C13" s="56"/>
      <c r="D13" s="58"/>
      <c r="E13" s="56"/>
      <c r="F13" s="56"/>
      <c r="G13" s="56"/>
      <c r="H13" s="58"/>
      <c r="I13" s="57"/>
      <c r="J13" s="10"/>
      <c r="K13" s="4"/>
    </row>
    <row r="14" spans="1:11" ht="16.5" customHeight="1" x14ac:dyDescent="0.15">
      <c r="A14" s="50"/>
      <c r="B14" s="59" t="s">
        <v>125</v>
      </c>
      <c r="C14" s="43" t="s">
        <v>126</v>
      </c>
      <c r="D14" s="58">
        <f>Htg_hot_water!B13</f>
        <v>50042.403703703698</v>
      </c>
      <c r="E14" s="43" t="s">
        <v>111</v>
      </c>
      <c r="F14" s="56"/>
      <c r="G14" s="56"/>
      <c r="H14" s="58">
        <f>D14/B8</f>
        <v>31.97429410009639</v>
      </c>
      <c r="I14" s="57"/>
      <c r="J14" s="10"/>
      <c r="K14" s="4"/>
    </row>
    <row r="15" spans="1:11" ht="16.5" customHeight="1" x14ac:dyDescent="0.15">
      <c r="A15" s="50"/>
      <c r="B15" s="79"/>
      <c r="C15" s="80"/>
      <c r="D15" s="81"/>
      <c r="E15" s="80"/>
      <c r="F15" s="82"/>
      <c r="G15" s="82"/>
      <c r="H15" s="81"/>
      <c r="I15" s="83"/>
      <c r="J15" s="10"/>
      <c r="K15" s="4"/>
    </row>
    <row r="16" spans="1:11" ht="16.5" customHeight="1" x14ac:dyDescent="0.15">
      <c r="A16" s="50"/>
      <c r="B16" s="79"/>
      <c r="C16" s="84" t="s">
        <v>222</v>
      </c>
      <c r="D16" s="81">
        <f>'Ht Loss_house2 '!V3</f>
        <v>77003.100000000006</v>
      </c>
      <c r="E16" s="43" t="s">
        <v>111</v>
      </c>
      <c r="F16" s="82"/>
      <c r="G16" s="82"/>
      <c r="H16" s="81"/>
      <c r="I16" s="83"/>
      <c r="J16" s="10"/>
      <c r="K16" s="4"/>
    </row>
    <row r="17" spans="1:11" ht="15.75" customHeight="1" thickBot="1" x14ac:dyDescent="0.2">
      <c r="A17" s="50"/>
      <c r="B17" s="60"/>
      <c r="C17" s="61"/>
      <c r="D17" s="62"/>
      <c r="E17" s="61"/>
      <c r="F17" s="61"/>
      <c r="G17" s="61"/>
      <c r="H17" s="62"/>
      <c r="I17" s="63"/>
      <c r="J17" s="10"/>
      <c r="K17" s="4"/>
    </row>
    <row r="18" spans="1:11" ht="15.75" customHeight="1" thickBot="1" x14ac:dyDescent="0.2">
      <c r="A18" s="50"/>
      <c r="B18" s="64"/>
      <c r="C18" s="65" t="s">
        <v>127</v>
      </c>
      <c r="D18" s="66">
        <f>D12+D14-D16</f>
        <v>39877.676264630805</v>
      </c>
      <c r="E18" s="65" t="s">
        <v>111</v>
      </c>
      <c r="F18" s="67"/>
      <c r="G18" s="67"/>
      <c r="H18" s="66">
        <f>D18/B8</f>
        <v>25.479602388071736</v>
      </c>
      <c r="I18" s="68"/>
      <c r="J18" s="10"/>
      <c r="K18" s="4"/>
    </row>
    <row r="19" spans="1:11" ht="14.25" customHeight="1" x14ac:dyDescent="0.15">
      <c r="A19" s="4"/>
      <c r="B19" s="38"/>
      <c r="C19" s="38"/>
      <c r="D19" s="38"/>
      <c r="E19" s="38"/>
      <c r="F19" s="38"/>
      <c r="G19" s="38"/>
      <c r="H19" s="38"/>
      <c r="I19" s="38"/>
      <c r="J19" s="4"/>
      <c r="K19" s="4"/>
    </row>
    <row r="20" spans="1:11" ht="13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3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6.5" customHeight="1" x14ac:dyDescent="0.15">
      <c r="A22" s="4"/>
      <c r="B22" s="47" t="s">
        <v>128</v>
      </c>
      <c r="C22" s="47" t="s">
        <v>129</v>
      </c>
      <c r="D22" s="69">
        <v>44000000</v>
      </c>
      <c r="E22" s="47" t="s">
        <v>130</v>
      </c>
      <c r="F22" s="4"/>
      <c r="G22" s="4"/>
      <c r="H22" s="4"/>
      <c r="I22" s="4"/>
      <c r="J22" s="4"/>
      <c r="K22" s="4"/>
    </row>
    <row r="23" spans="1:11" ht="16.5" customHeight="1" x14ac:dyDescent="0.15">
      <c r="A23" s="4"/>
      <c r="B23" s="4"/>
      <c r="C23" s="4"/>
      <c r="D23" s="70">
        <f>D22/3600000</f>
        <v>12.222222222222221</v>
      </c>
      <c r="E23" s="47" t="s">
        <v>131</v>
      </c>
      <c r="F23" s="4"/>
      <c r="G23" s="4"/>
      <c r="H23" s="4"/>
      <c r="I23" s="4"/>
      <c r="J23" s="4"/>
      <c r="K23" s="4"/>
    </row>
    <row r="24" spans="1:11" ht="13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6.5" customHeight="1" x14ac:dyDescent="0.15">
      <c r="A25" s="4"/>
      <c r="B25" s="47" t="s">
        <v>132</v>
      </c>
      <c r="C25" s="4"/>
      <c r="D25" s="71">
        <f>D18/D23</f>
        <v>3262.7189671061569</v>
      </c>
      <c r="E25" s="47" t="s">
        <v>133</v>
      </c>
      <c r="F25" s="4"/>
      <c r="G25" s="4"/>
      <c r="H25" s="4"/>
      <c r="I25" s="4"/>
      <c r="J25" s="4"/>
      <c r="K25" s="4"/>
    </row>
    <row r="26" spans="1:11" ht="13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6.5" customHeight="1" x14ac:dyDescent="0.15">
      <c r="A27" s="4"/>
      <c r="B27" s="47" t="s">
        <v>134</v>
      </c>
      <c r="C27" s="49">
        <v>800</v>
      </c>
      <c r="D27" s="78" t="s">
        <v>217</v>
      </c>
      <c r="E27" s="47" t="s">
        <v>135</v>
      </c>
      <c r="F27" s="4"/>
      <c r="G27" s="4"/>
      <c r="H27" s="78" t="s">
        <v>216</v>
      </c>
      <c r="I27" s="4"/>
      <c r="J27" s="4"/>
      <c r="K27" s="4"/>
    </row>
    <row r="28" spans="1:11" ht="13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6.5" customHeight="1" x14ac:dyDescent="0.15">
      <c r="A29" s="4"/>
      <c r="B29" s="47" t="s">
        <v>132</v>
      </c>
      <c r="C29" s="4"/>
      <c r="D29" s="71">
        <f>D25/C27*1000</f>
        <v>4078.3987088826966</v>
      </c>
      <c r="E29" s="47" t="s">
        <v>99</v>
      </c>
      <c r="F29" s="47" t="s">
        <v>136</v>
      </c>
      <c r="G29" s="4"/>
      <c r="H29" s="4"/>
      <c r="I29" s="4"/>
      <c r="J29" s="4"/>
      <c r="K29" s="4"/>
    </row>
    <row r="30" spans="1:11" ht="13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6.5" customHeight="1" x14ac:dyDescent="0.15">
      <c r="A31" s="4"/>
      <c r="B31" s="47" t="s">
        <v>137</v>
      </c>
      <c r="C31" s="4"/>
      <c r="D31" s="70">
        <v>1.4</v>
      </c>
      <c r="E31" s="4"/>
      <c r="F31" s="4"/>
      <c r="G31" s="4"/>
      <c r="H31" s="4"/>
      <c r="I31" s="4"/>
      <c r="J31" s="4"/>
      <c r="K31" s="4"/>
    </row>
    <row r="32" spans="1:11" ht="13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6.5" customHeight="1" x14ac:dyDescent="0.2">
      <c r="A33" s="4"/>
      <c r="B33" s="47" t="s">
        <v>138</v>
      </c>
      <c r="C33" s="72" t="s">
        <v>139</v>
      </c>
      <c r="D33" s="70">
        <f>D29*D31</f>
        <v>5709.7581924357746</v>
      </c>
      <c r="E33" s="4"/>
      <c r="F33" s="47" t="s">
        <v>136</v>
      </c>
      <c r="G33" s="72" t="s">
        <v>139</v>
      </c>
      <c r="H33" s="70">
        <f>D33/B8</f>
        <v>3.6482157964739077</v>
      </c>
      <c r="I33" s="47" t="s">
        <v>140</v>
      </c>
      <c r="J33" s="4"/>
      <c r="K33" s="4"/>
    </row>
  </sheetData>
  <phoneticPr fontId="6" type="noConversion"/>
  <pageMargins left="0.7" right="0.7" top="0.75" bottom="0.75" header="0.3" footer="0.3"/>
  <pageSetup orientation="portrait"/>
  <headerFooter>
    <oddFooter>&amp;C&amp;"Helvetica Neue,Regular"&amp;11&amp;K000000&amp;P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5395F-EAFF-D34D-B4F8-00F23B20CE98}">
  <dimension ref="A1:I96"/>
  <sheetViews>
    <sheetView showGridLines="0" topLeftCell="A63" zoomScale="125" workbookViewId="0">
      <selection activeCell="B96" sqref="B96"/>
    </sheetView>
  </sheetViews>
  <sheetFormatPr baseColWidth="10" defaultColWidth="8.83203125" defaultRowHeight="12.75" customHeight="1" x14ac:dyDescent="0.15"/>
  <cols>
    <col min="1" max="2" width="16.1640625" style="77" customWidth="1"/>
    <col min="3" max="3" width="8.83203125" style="77" customWidth="1"/>
    <col min="4" max="4" width="12.6640625" style="77" customWidth="1"/>
    <col min="5" max="6" width="8.83203125" style="77" customWidth="1"/>
    <col min="7" max="7" width="10.83203125" style="77" customWidth="1"/>
    <col min="8" max="8" width="8.5" style="77" customWidth="1"/>
    <col min="9" max="10" width="8.83203125" style="77" customWidth="1"/>
    <col min="11" max="16384" width="8.83203125" style="77"/>
  </cols>
  <sheetData>
    <row r="1" spans="1:9" ht="13.75" customHeight="1" x14ac:dyDescent="0.15">
      <c r="A1" s="85" t="s">
        <v>194</v>
      </c>
      <c r="B1" s="85"/>
      <c r="C1" s="85"/>
      <c r="D1" s="85"/>
      <c r="E1" s="85"/>
      <c r="F1" s="85"/>
      <c r="G1" s="85"/>
      <c r="H1" s="85"/>
      <c r="I1" s="85"/>
    </row>
    <row r="2" spans="1:9" ht="13.5" customHeight="1" thickBot="1" x14ac:dyDescent="0.2">
      <c r="A2" s="86"/>
      <c r="B2" s="86"/>
      <c r="C2" s="86"/>
      <c r="D2" s="86"/>
      <c r="E2" s="86"/>
      <c r="F2" s="86"/>
      <c r="G2" s="86"/>
      <c r="H2" s="86"/>
      <c r="I2" s="85"/>
    </row>
    <row r="3" spans="1:9" ht="15" customHeight="1" x14ac:dyDescent="0.15">
      <c r="A3" s="87" t="s">
        <v>142</v>
      </c>
      <c r="B3" s="88"/>
      <c r="C3" s="88" t="s">
        <v>38</v>
      </c>
      <c r="D3" s="88" t="s">
        <v>226</v>
      </c>
      <c r="E3" s="88" t="s">
        <v>146</v>
      </c>
      <c r="F3" s="89" t="s">
        <v>147</v>
      </c>
      <c r="G3" s="89" t="s">
        <v>148</v>
      </c>
      <c r="H3" s="90" t="s">
        <v>143</v>
      </c>
      <c r="I3" s="91"/>
    </row>
    <row r="4" spans="1:9" ht="16.5" customHeight="1" x14ac:dyDescent="0.2">
      <c r="A4" s="92"/>
      <c r="B4" s="93"/>
      <c r="C4" s="94" t="s">
        <v>88</v>
      </c>
      <c r="D4" s="94" t="s">
        <v>227</v>
      </c>
      <c r="E4" s="95">
        <v>0</v>
      </c>
      <c r="F4" s="95">
        <v>0.7</v>
      </c>
      <c r="G4" s="95" t="s">
        <v>150</v>
      </c>
      <c r="H4" s="96" t="s">
        <v>144</v>
      </c>
      <c r="I4" s="91"/>
    </row>
    <row r="5" spans="1:9" ht="14.25" customHeight="1" x14ac:dyDescent="0.15">
      <c r="A5" s="182" t="s">
        <v>167</v>
      </c>
      <c r="B5" s="93" t="s">
        <v>192</v>
      </c>
      <c r="C5" s="93">
        <v>10</v>
      </c>
      <c r="D5" s="93">
        <f>Room_01!$G$7</f>
        <v>75</v>
      </c>
      <c r="E5" s="93">
        <v>5</v>
      </c>
      <c r="F5" s="93">
        <v>0.7</v>
      </c>
      <c r="G5" s="93">
        <f t="shared" ref="G5:G26" si="0">C5*D5*E5*F5</f>
        <v>2625</v>
      </c>
      <c r="H5" s="96">
        <f>G5/1000</f>
        <v>2.625</v>
      </c>
      <c r="I5" s="91"/>
    </row>
    <row r="6" spans="1:9" ht="14.25" customHeight="1" x14ac:dyDescent="0.15">
      <c r="A6" s="183"/>
      <c r="B6" s="93" t="s">
        <v>175</v>
      </c>
      <c r="C6" s="93">
        <v>100</v>
      </c>
      <c r="D6" s="93">
        <v>1</v>
      </c>
      <c r="E6" s="93">
        <v>5</v>
      </c>
      <c r="F6" s="93">
        <v>0.7</v>
      </c>
      <c r="G6" s="93">
        <f t="shared" si="0"/>
        <v>350</v>
      </c>
      <c r="H6" s="96">
        <f t="shared" ref="H6:H60" si="1">G6/1000</f>
        <v>0.35</v>
      </c>
      <c r="I6" s="91"/>
    </row>
    <row r="7" spans="1:9" ht="14.25" customHeight="1" x14ac:dyDescent="0.15">
      <c r="A7" s="183"/>
      <c r="B7" s="93" t="s">
        <v>193</v>
      </c>
      <c r="C7" s="93">
        <v>200</v>
      </c>
      <c r="D7" s="93">
        <v>1</v>
      </c>
      <c r="E7" s="93">
        <v>5</v>
      </c>
      <c r="F7" s="93">
        <v>0.7</v>
      </c>
      <c r="G7" s="93">
        <f t="shared" si="0"/>
        <v>700</v>
      </c>
      <c r="H7" s="96">
        <f t="shared" si="1"/>
        <v>0.7</v>
      </c>
      <c r="I7" s="91"/>
    </row>
    <row r="8" spans="1:9" ht="14.25" customHeight="1" x14ac:dyDescent="0.15">
      <c r="A8" s="183"/>
      <c r="B8" s="93" t="s">
        <v>229</v>
      </c>
      <c r="C8" s="93">
        <v>2</v>
      </c>
      <c r="D8" s="93">
        <v>75</v>
      </c>
      <c r="E8" s="93">
        <v>5</v>
      </c>
      <c r="F8" s="93">
        <v>0.7</v>
      </c>
      <c r="G8" s="93">
        <f t="shared" si="0"/>
        <v>525</v>
      </c>
      <c r="H8" s="96">
        <f t="shared" si="1"/>
        <v>0.52500000000000002</v>
      </c>
      <c r="I8" s="91"/>
    </row>
    <row r="9" spans="1:9" ht="14.25" customHeight="1" x14ac:dyDescent="0.15">
      <c r="A9" s="183"/>
      <c r="B9" s="93" t="s">
        <v>199</v>
      </c>
      <c r="C9" s="93">
        <v>2</v>
      </c>
      <c r="D9" s="93">
        <f>Room_01!G8</f>
        <v>75</v>
      </c>
      <c r="E9" s="93">
        <v>5</v>
      </c>
      <c r="F9" s="93">
        <v>0.7</v>
      </c>
      <c r="G9" s="93">
        <f t="shared" si="0"/>
        <v>525</v>
      </c>
      <c r="H9" s="96">
        <f t="shared" si="1"/>
        <v>0.52500000000000002</v>
      </c>
      <c r="I9" s="91"/>
    </row>
    <row r="10" spans="1:9" ht="14.25" customHeight="1" x14ac:dyDescent="0.15">
      <c r="A10" s="184"/>
      <c r="B10" s="93" t="s">
        <v>196</v>
      </c>
      <c r="C10" s="93">
        <v>1</v>
      </c>
      <c r="D10" s="93">
        <f>Room_01!$G$7</f>
        <v>75</v>
      </c>
      <c r="E10" s="93">
        <v>5</v>
      </c>
      <c r="F10" s="93">
        <v>0.7</v>
      </c>
      <c r="G10" s="93">
        <f t="shared" si="0"/>
        <v>262.5</v>
      </c>
      <c r="H10" s="96">
        <f t="shared" si="1"/>
        <v>0.26250000000000001</v>
      </c>
      <c r="I10" s="91"/>
    </row>
    <row r="11" spans="1:9" ht="14.25" customHeight="1" x14ac:dyDescent="0.15">
      <c r="A11" s="182" t="s">
        <v>167</v>
      </c>
      <c r="B11" s="93" t="s">
        <v>192</v>
      </c>
      <c r="C11" s="93">
        <v>10</v>
      </c>
      <c r="D11" s="93">
        <f>Room_01!$G$7</f>
        <v>75</v>
      </c>
      <c r="E11" s="93">
        <v>5</v>
      </c>
      <c r="F11" s="93">
        <v>0.7</v>
      </c>
      <c r="G11" s="93">
        <f t="shared" si="0"/>
        <v>2625</v>
      </c>
      <c r="H11" s="96">
        <f t="shared" si="1"/>
        <v>2.625</v>
      </c>
      <c r="I11" s="91"/>
    </row>
    <row r="12" spans="1:9" ht="14.25" customHeight="1" x14ac:dyDescent="0.15">
      <c r="A12" s="183"/>
      <c r="B12" s="93" t="s">
        <v>175</v>
      </c>
      <c r="C12" s="93">
        <v>100</v>
      </c>
      <c r="D12" s="93">
        <v>1</v>
      </c>
      <c r="E12" s="93">
        <v>5</v>
      </c>
      <c r="F12" s="93">
        <v>0.7</v>
      </c>
      <c r="G12" s="93">
        <f t="shared" si="0"/>
        <v>350</v>
      </c>
      <c r="H12" s="96">
        <f t="shared" si="1"/>
        <v>0.35</v>
      </c>
      <c r="I12" s="91"/>
    </row>
    <row r="13" spans="1:9" ht="14.25" customHeight="1" x14ac:dyDescent="0.15">
      <c r="A13" s="183"/>
      <c r="B13" s="93" t="s">
        <v>193</v>
      </c>
      <c r="C13" s="93">
        <v>200</v>
      </c>
      <c r="D13" s="93">
        <v>1</v>
      </c>
      <c r="E13" s="93">
        <v>5</v>
      </c>
      <c r="F13" s="93">
        <v>0.7</v>
      </c>
      <c r="G13" s="93">
        <f t="shared" si="0"/>
        <v>700</v>
      </c>
      <c r="H13" s="96">
        <f t="shared" si="1"/>
        <v>0.7</v>
      </c>
      <c r="I13" s="91"/>
    </row>
    <row r="14" spans="1:9" ht="14.25" customHeight="1" x14ac:dyDescent="0.15">
      <c r="A14" s="183"/>
      <c r="B14" s="93" t="s">
        <v>229</v>
      </c>
      <c r="C14" s="93">
        <v>2</v>
      </c>
      <c r="D14" s="93">
        <v>75</v>
      </c>
      <c r="E14" s="93">
        <v>5</v>
      </c>
      <c r="F14" s="93">
        <v>0.7</v>
      </c>
      <c r="G14" s="93">
        <f t="shared" si="0"/>
        <v>525</v>
      </c>
      <c r="H14" s="96">
        <f t="shared" si="1"/>
        <v>0.52500000000000002</v>
      </c>
      <c r="I14" s="91"/>
    </row>
    <row r="15" spans="1:9" ht="14.25" customHeight="1" x14ac:dyDescent="0.15">
      <c r="A15" s="183"/>
      <c r="B15" s="93" t="s">
        <v>199</v>
      </c>
      <c r="C15" s="93">
        <v>2</v>
      </c>
      <c r="D15" s="93">
        <f>Room_01!$G$7</f>
        <v>75</v>
      </c>
      <c r="E15" s="93">
        <v>5</v>
      </c>
      <c r="F15" s="93">
        <v>0.7</v>
      </c>
      <c r="G15" s="93">
        <f t="shared" si="0"/>
        <v>525</v>
      </c>
      <c r="H15" s="96">
        <f t="shared" si="1"/>
        <v>0.52500000000000002</v>
      </c>
      <c r="I15" s="91"/>
    </row>
    <row r="16" spans="1:9" ht="14.25" customHeight="1" x14ac:dyDescent="0.15">
      <c r="A16" s="184"/>
      <c r="B16" s="93" t="s">
        <v>196</v>
      </c>
      <c r="C16" s="93">
        <v>1</v>
      </c>
      <c r="D16" s="93">
        <f>Room_01!$G$7</f>
        <v>75</v>
      </c>
      <c r="E16" s="93">
        <v>5</v>
      </c>
      <c r="F16" s="93">
        <v>0.7</v>
      </c>
      <c r="G16" s="93">
        <f t="shared" si="0"/>
        <v>262.5</v>
      </c>
      <c r="H16" s="96">
        <f t="shared" si="1"/>
        <v>0.26250000000000001</v>
      </c>
      <c r="I16" s="91"/>
    </row>
    <row r="17" spans="1:9" ht="14.25" customHeight="1" x14ac:dyDescent="0.15">
      <c r="A17" s="182" t="s">
        <v>167</v>
      </c>
      <c r="B17" s="93" t="s">
        <v>192</v>
      </c>
      <c r="C17" s="93">
        <v>10</v>
      </c>
      <c r="D17" s="93">
        <f>Room_01!$G$7</f>
        <v>75</v>
      </c>
      <c r="E17" s="93">
        <v>5</v>
      </c>
      <c r="F17" s="93">
        <v>0.7</v>
      </c>
      <c r="G17" s="93">
        <f t="shared" si="0"/>
        <v>2625</v>
      </c>
      <c r="H17" s="96">
        <f t="shared" si="1"/>
        <v>2.625</v>
      </c>
      <c r="I17" s="91"/>
    </row>
    <row r="18" spans="1:9" ht="14.25" customHeight="1" x14ac:dyDescent="0.15">
      <c r="A18" s="183"/>
      <c r="B18" s="93" t="s">
        <v>175</v>
      </c>
      <c r="C18" s="93">
        <v>100</v>
      </c>
      <c r="D18" s="93">
        <v>1</v>
      </c>
      <c r="E18" s="93">
        <v>5</v>
      </c>
      <c r="F18" s="93">
        <v>0.7</v>
      </c>
      <c r="G18" s="93">
        <f t="shared" si="0"/>
        <v>350</v>
      </c>
      <c r="H18" s="96">
        <f t="shared" si="1"/>
        <v>0.35</v>
      </c>
      <c r="I18" s="91"/>
    </row>
    <row r="19" spans="1:9" ht="14.25" customHeight="1" x14ac:dyDescent="0.15">
      <c r="A19" s="183"/>
      <c r="B19" s="93" t="s">
        <v>193</v>
      </c>
      <c r="C19" s="93">
        <v>200</v>
      </c>
      <c r="D19" s="93">
        <v>1</v>
      </c>
      <c r="E19" s="93">
        <v>5</v>
      </c>
      <c r="F19" s="93">
        <v>0.7</v>
      </c>
      <c r="G19" s="93">
        <f t="shared" si="0"/>
        <v>700</v>
      </c>
      <c r="H19" s="96">
        <f t="shared" si="1"/>
        <v>0.7</v>
      </c>
      <c r="I19" s="91"/>
    </row>
    <row r="20" spans="1:9" ht="14.25" customHeight="1" x14ac:dyDescent="0.15">
      <c r="A20" s="183"/>
      <c r="B20" s="93" t="s">
        <v>229</v>
      </c>
      <c r="C20" s="93">
        <v>2</v>
      </c>
      <c r="D20" s="93">
        <v>75</v>
      </c>
      <c r="E20" s="93">
        <v>5</v>
      </c>
      <c r="F20" s="93">
        <v>0.7</v>
      </c>
      <c r="G20" s="93">
        <f t="shared" si="0"/>
        <v>525</v>
      </c>
      <c r="H20" s="96">
        <f t="shared" si="1"/>
        <v>0.52500000000000002</v>
      </c>
      <c r="I20" s="91"/>
    </row>
    <row r="21" spans="1:9" ht="14.25" customHeight="1" x14ac:dyDescent="0.15">
      <c r="A21" s="183"/>
      <c r="B21" s="93" t="s">
        <v>199</v>
      </c>
      <c r="C21" s="93">
        <v>2</v>
      </c>
      <c r="D21" s="93">
        <f>Room_01!$G$7</f>
        <v>75</v>
      </c>
      <c r="E21" s="93">
        <v>5</v>
      </c>
      <c r="F21" s="93">
        <v>0.7</v>
      </c>
      <c r="G21" s="93">
        <f t="shared" si="0"/>
        <v>525</v>
      </c>
      <c r="H21" s="96">
        <f t="shared" si="1"/>
        <v>0.52500000000000002</v>
      </c>
      <c r="I21" s="91"/>
    </row>
    <row r="22" spans="1:9" ht="14.25" customHeight="1" x14ac:dyDescent="0.15">
      <c r="A22" s="184"/>
      <c r="B22" s="93" t="s">
        <v>196</v>
      </c>
      <c r="C22" s="93">
        <v>1</v>
      </c>
      <c r="D22" s="93">
        <f>Room_01!$G$7</f>
        <v>75</v>
      </c>
      <c r="E22" s="93">
        <v>5</v>
      </c>
      <c r="F22" s="93">
        <v>0.7</v>
      </c>
      <c r="G22" s="93">
        <f t="shared" si="0"/>
        <v>262.5</v>
      </c>
      <c r="H22" s="96">
        <f t="shared" si="1"/>
        <v>0.26250000000000001</v>
      </c>
      <c r="I22" s="91"/>
    </row>
    <row r="23" spans="1:9" ht="14.25" customHeight="1" x14ac:dyDescent="0.15">
      <c r="A23" s="182" t="s">
        <v>168</v>
      </c>
      <c r="B23" s="93" t="s">
        <v>192</v>
      </c>
      <c r="C23" s="93">
        <v>10</v>
      </c>
      <c r="D23" s="93">
        <f>Room_01!$G$10</f>
        <v>75</v>
      </c>
      <c r="E23" s="93">
        <v>5</v>
      </c>
      <c r="F23" s="93">
        <v>0.7</v>
      </c>
      <c r="G23" s="93">
        <f t="shared" si="0"/>
        <v>2625</v>
      </c>
      <c r="H23" s="96">
        <f t="shared" si="1"/>
        <v>2.625</v>
      </c>
      <c r="I23" s="91"/>
    </row>
    <row r="24" spans="1:9" ht="14.25" customHeight="1" x14ac:dyDescent="0.15">
      <c r="A24" s="183"/>
      <c r="B24" s="93" t="s">
        <v>175</v>
      </c>
      <c r="C24" s="93">
        <v>100</v>
      </c>
      <c r="D24" s="93">
        <v>20</v>
      </c>
      <c r="E24" s="93">
        <v>5</v>
      </c>
      <c r="F24" s="93">
        <v>0.7</v>
      </c>
      <c r="G24" s="93">
        <f t="shared" si="0"/>
        <v>7000</v>
      </c>
      <c r="H24" s="96">
        <f t="shared" si="1"/>
        <v>7</v>
      </c>
      <c r="I24" s="91"/>
    </row>
    <row r="25" spans="1:9" ht="14.25" customHeight="1" x14ac:dyDescent="0.15">
      <c r="A25" s="183"/>
      <c r="B25" s="93" t="s">
        <v>193</v>
      </c>
      <c r="C25" s="93">
        <v>200</v>
      </c>
      <c r="D25" s="93">
        <v>1</v>
      </c>
      <c r="E25" s="93">
        <v>5</v>
      </c>
      <c r="F25" s="93">
        <v>0.7</v>
      </c>
      <c r="G25" s="93">
        <f t="shared" si="0"/>
        <v>700</v>
      </c>
      <c r="H25" s="96">
        <f t="shared" si="1"/>
        <v>0.7</v>
      </c>
      <c r="I25" s="91"/>
    </row>
    <row r="26" spans="1:9" ht="14.25" customHeight="1" x14ac:dyDescent="0.15">
      <c r="A26" s="183"/>
      <c r="B26" s="93" t="s">
        <v>229</v>
      </c>
      <c r="C26" s="93">
        <v>2</v>
      </c>
      <c r="D26" s="93">
        <f>Room_01!$G$10</f>
        <v>75</v>
      </c>
      <c r="E26" s="93">
        <v>5</v>
      </c>
      <c r="F26" s="93">
        <v>0.7</v>
      </c>
      <c r="G26" s="93">
        <f t="shared" si="0"/>
        <v>525</v>
      </c>
      <c r="H26" s="96">
        <f t="shared" si="1"/>
        <v>0.52500000000000002</v>
      </c>
      <c r="I26" s="91"/>
    </row>
    <row r="27" spans="1:9" ht="14.25" customHeight="1" x14ac:dyDescent="0.15">
      <c r="A27" s="183"/>
      <c r="B27" s="93" t="s">
        <v>200</v>
      </c>
      <c r="C27" s="93">
        <v>5</v>
      </c>
      <c r="D27" s="93">
        <f>Room_01!$G$10</f>
        <v>75</v>
      </c>
      <c r="E27" s="93">
        <v>5</v>
      </c>
      <c r="F27" s="93">
        <v>0.7</v>
      </c>
      <c r="G27" s="93">
        <f t="shared" ref="G27:G80" si="2">C27*D27*E27*F27</f>
        <v>1312.5</v>
      </c>
      <c r="H27" s="96">
        <f t="shared" si="1"/>
        <v>1.3125</v>
      </c>
      <c r="I27" s="91"/>
    </row>
    <row r="28" spans="1:9" ht="14.25" customHeight="1" x14ac:dyDescent="0.15">
      <c r="A28" s="184"/>
      <c r="B28" s="93" t="s">
        <v>196</v>
      </c>
      <c r="C28" s="93">
        <v>1</v>
      </c>
      <c r="D28" s="93">
        <f>Room_01!$G$10</f>
        <v>75</v>
      </c>
      <c r="E28" s="93">
        <v>5</v>
      </c>
      <c r="F28" s="93">
        <v>0.7</v>
      </c>
      <c r="G28" s="93">
        <f t="shared" si="2"/>
        <v>262.5</v>
      </c>
      <c r="H28" s="96">
        <f t="shared" si="1"/>
        <v>0.26250000000000001</v>
      </c>
      <c r="I28" s="91"/>
    </row>
    <row r="29" spans="1:9" ht="14.25" customHeight="1" x14ac:dyDescent="0.15">
      <c r="A29" s="182" t="s">
        <v>168</v>
      </c>
      <c r="B29" s="93" t="s">
        <v>192</v>
      </c>
      <c r="C29" s="93">
        <v>10</v>
      </c>
      <c r="D29" s="93">
        <f>Room_01!$G$10</f>
        <v>75</v>
      </c>
      <c r="E29" s="93">
        <v>5</v>
      </c>
      <c r="F29" s="93">
        <v>0.7</v>
      </c>
      <c r="G29" s="93">
        <f t="shared" si="2"/>
        <v>2625</v>
      </c>
      <c r="H29" s="96">
        <f t="shared" si="1"/>
        <v>2.625</v>
      </c>
      <c r="I29" s="91"/>
    </row>
    <row r="30" spans="1:9" ht="14.25" customHeight="1" x14ac:dyDescent="0.15">
      <c r="A30" s="183"/>
      <c r="B30" s="93" t="s">
        <v>175</v>
      </c>
      <c r="C30" s="93">
        <v>100</v>
      </c>
      <c r="D30" s="93">
        <v>20</v>
      </c>
      <c r="E30" s="93">
        <v>5</v>
      </c>
      <c r="F30" s="93">
        <v>0.7</v>
      </c>
      <c r="G30" s="93">
        <f t="shared" si="2"/>
        <v>7000</v>
      </c>
      <c r="H30" s="96">
        <f t="shared" si="1"/>
        <v>7</v>
      </c>
      <c r="I30" s="91"/>
    </row>
    <row r="31" spans="1:9" ht="14.25" customHeight="1" x14ac:dyDescent="0.15">
      <c r="A31" s="183"/>
      <c r="B31" s="93" t="s">
        <v>193</v>
      </c>
      <c r="C31" s="93">
        <v>200</v>
      </c>
      <c r="D31" s="93">
        <v>1</v>
      </c>
      <c r="E31" s="93">
        <v>5</v>
      </c>
      <c r="F31" s="93">
        <v>0.7</v>
      </c>
      <c r="G31" s="93">
        <f t="shared" si="2"/>
        <v>700</v>
      </c>
      <c r="H31" s="96">
        <f t="shared" si="1"/>
        <v>0.7</v>
      </c>
      <c r="I31" s="91"/>
    </row>
    <row r="32" spans="1:9" ht="14.25" customHeight="1" x14ac:dyDescent="0.15">
      <c r="A32" s="183"/>
      <c r="B32" s="93" t="s">
        <v>229</v>
      </c>
      <c r="C32" s="93">
        <v>2</v>
      </c>
      <c r="D32" s="93">
        <v>75</v>
      </c>
      <c r="E32" s="93">
        <v>5</v>
      </c>
      <c r="F32" s="93">
        <v>0.7</v>
      </c>
      <c r="G32" s="93">
        <f t="shared" si="2"/>
        <v>525</v>
      </c>
      <c r="H32" s="96">
        <f t="shared" si="1"/>
        <v>0.52500000000000002</v>
      </c>
      <c r="I32" s="91"/>
    </row>
    <row r="33" spans="1:9" ht="14.25" customHeight="1" x14ac:dyDescent="0.15">
      <c r="A33" s="183"/>
      <c r="B33" s="93" t="s">
        <v>200</v>
      </c>
      <c r="C33" s="93">
        <v>5</v>
      </c>
      <c r="D33" s="93">
        <f>Room_01!$G$10</f>
        <v>75</v>
      </c>
      <c r="E33" s="93">
        <v>5</v>
      </c>
      <c r="F33" s="93">
        <v>0.7</v>
      </c>
      <c r="G33" s="93">
        <f t="shared" si="2"/>
        <v>1312.5</v>
      </c>
      <c r="H33" s="96">
        <f t="shared" si="1"/>
        <v>1.3125</v>
      </c>
      <c r="I33" s="91"/>
    </row>
    <row r="34" spans="1:9" ht="14.25" customHeight="1" x14ac:dyDescent="0.15">
      <c r="A34" s="184"/>
      <c r="B34" s="93" t="s">
        <v>196</v>
      </c>
      <c r="C34" s="93">
        <v>1</v>
      </c>
      <c r="D34" s="93">
        <f>Room_01!$G$10</f>
        <v>75</v>
      </c>
      <c r="E34" s="93">
        <v>5</v>
      </c>
      <c r="F34" s="93">
        <v>0.7</v>
      </c>
      <c r="G34" s="93">
        <f t="shared" si="2"/>
        <v>262.5</v>
      </c>
      <c r="H34" s="96">
        <f t="shared" si="1"/>
        <v>0.26250000000000001</v>
      </c>
      <c r="I34" s="91"/>
    </row>
    <row r="35" spans="1:9" ht="14.25" customHeight="1" x14ac:dyDescent="0.15">
      <c r="A35" s="182" t="s">
        <v>201</v>
      </c>
      <c r="B35" s="93" t="s">
        <v>192</v>
      </c>
      <c r="C35" s="93">
        <v>10</v>
      </c>
      <c r="D35" s="93">
        <f>Room_01!$G$14</f>
        <v>143.13881527918494</v>
      </c>
      <c r="E35" s="93">
        <v>3</v>
      </c>
      <c r="F35" s="93">
        <v>0.7</v>
      </c>
      <c r="G35" s="93">
        <f t="shared" si="2"/>
        <v>3005.9151208628832</v>
      </c>
      <c r="H35" s="96">
        <f t="shared" si="1"/>
        <v>3.0059151208628831</v>
      </c>
      <c r="I35" s="91"/>
    </row>
    <row r="36" spans="1:9" ht="14.25" customHeight="1" x14ac:dyDescent="0.25">
      <c r="A36" s="183"/>
      <c r="B36" s="93" t="s">
        <v>211</v>
      </c>
      <c r="C36" s="93">
        <v>200</v>
      </c>
      <c r="D36" s="93">
        <v>1</v>
      </c>
      <c r="E36" s="93">
        <v>3</v>
      </c>
      <c r="F36" s="93">
        <v>0.7</v>
      </c>
      <c r="G36" s="93">
        <f t="shared" si="2"/>
        <v>420</v>
      </c>
      <c r="H36" s="96">
        <f t="shared" si="1"/>
        <v>0.42</v>
      </c>
      <c r="I36" s="91"/>
    </row>
    <row r="37" spans="1:9" ht="14.25" customHeight="1" x14ac:dyDescent="0.15">
      <c r="A37" s="183"/>
      <c r="B37" s="93" t="s">
        <v>202</v>
      </c>
      <c r="C37" s="93">
        <v>1000</v>
      </c>
      <c r="D37" s="93">
        <v>1</v>
      </c>
      <c r="E37" s="93">
        <v>3</v>
      </c>
      <c r="F37" s="93">
        <v>0.7</v>
      </c>
      <c r="G37" s="93">
        <f t="shared" si="2"/>
        <v>2100</v>
      </c>
      <c r="H37" s="96">
        <f t="shared" si="1"/>
        <v>2.1</v>
      </c>
      <c r="I37" s="91"/>
    </row>
    <row r="38" spans="1:9" ht="14.25" customHeight="1" x14ac:dyDescent="0.15">
      <c r="A38" s="183"/>
      <c r="B38" s="93" t="s">
        <v>229</v>
      </c>
      <c r="C38" s="93">
        <v>2</v>
      </c>
      <c r="D38" s="93">
        <f>Room_01!$G$14</f>
        <v>143.13881527918494</v>
      </c>
      <c r="E38" s="93">
        <v>3</v>
      </c>
      <c r="F38" s="93">
        <v>0.7</v>
      </c>
      <c r="G38" s="93">
        <f t="shared" si="2"/>
        <v>601.18302417257667</v>
      </c>
      <c r="H38" s="96">
        <f t="shared" si="1"/>
        <v>0.60118302417257663</v>
      </c>
      <c r="I38" s="91"/>
    </row>
    <row r="39" spans="1:9" ht="14.25" customHeight="1" x14ac:dyDescent="0.15">
      <c r="A39" s="183"/>
      <c r="B39" s="93" t="s">
        <v>203</v>
      </c>
      <c r="C39" s="93">
        <v>5</v>
      </c>
      <c r="D39" s="93">
        <f>Room_01!$G$14</f>
        <v>143.13881527918494</v>
      </c>
      <c r="E39" s="93">
        <v>3</v>
      </c>
      <c r="F39" s="93">
        <v>0.7</v>
      </c>
      <c r="G39" s="93">
        <f t="shared" si="2"/>
        <v>1502.9575604314416</v>
      </c>
      <c r="H39" s="96">
        <f t="shared" si="1"/>
        <v>1.5029575604314416</v>
      </c>
      <c r="I39" s="91"/>
    </row>
    <row r="40" spans="1:9" ht="14.25" customHeight="1" x14ac:dyDescent="0.15">
      <c r="A40" s="184"/>
      <c r="B40" s="93" t="s">
        <v>196</v>
      </c>
      <c r="C40" s="93">
        <v>1</v>
      </c>
      <c r="D40" s="93">
        <f>Room_01!$G$14</f>
        <v>143.13881527918494</v>
      </c>
      <c r="E40" s="93">
        <v>3</v>
      </c>
      <c r="F40" s="93">
        <v>0.7</v>
      </c>
      <c r="G40" s="93">
        <f t="shared" si="2"/>
        <v>300.59151208628833</v>
      </c>
      <c r="H40" s="96">
        <f t="shared" si="1"/>
        <v>0.30059151208628831</v>
      </c>
      <c r="I40" s="91"/>
    </row>
    <row r="41" spans="1:9" ht="14.25" customHeight="1" x14ac:dyDescent="0.15">
      <c r="A41" s="182" t="s">
        <v>169</v>
      </c>
      <c r="B41" s="93" t="s">
        <v>192</v>
      </c>
      <c r="C41" s="93">
        <v>10</v>
      </c>
      <c r="D41" s="93">
        <f>Room_01!$G$15</f>
        <v>63.355451847394171</v>
      </c>
      <c r="E41" s="93">
        <v>5</v>
      </c>
      <c r="F41" s="93">
        <v>0.7</v>
      </c>
      <c r="G41" s="93">
        <f t="shared" si="2"/>
        <v>2217.4408146587957</v>
      </c>
      <c r="H41" s="96">
        <f t="shared" si="1"/>
        <v>2.2174408146587958</v>
      </c>
      <c r="I41" s="91"/>
    </row>
    <row r="42" spans="1:9" ht="14.25" customHeight="1" x14ac:dyDescent="0.15">
      <c r="A42" s="183"/>
      <c r="B42" s="93" t="s">
        <v>175</v>
      </c>
      <c r="C42" s="93">
        <v>100</v>
      </c>
      <c r="D42" s="93">
        <v>1</v>
      </c>
      <c r="E42" s="93">
        <v>5</v>
      </c>
      <c r="F42" s="93">
        <v>0.7</v>
      </c>
      <c r="G42" s="93">
        <f t="shared" si="2"/>
        <v>350</v>
      </c>
      <c r="H42" s="96">
        <f t="shared" si="1"/>
        <v>0.35</v>
      </c>
      <c r="I42" s="91"/>
    </row>
    <row r="43" spans="1:9" ht="14.25" customHeight="1" x14ac:dyDescent="0.15">
      <c r="A43" s="183"/>
      <c r="B43" s="93" t="s">
        <v>193</v>
      </c>
      <c r="C43" s="93">
        <v>200</v>
      </c>
      <c r="D43" s="93">
        <v>1</v>
      </c>
      <c r="E43" s="93">
        <v>5</v>
      </c>
      <c r="F43" s="93">
        <v>0.7</v>
      </c>
      <c r="G43" s="93">
        <f t="shared" si="2"/>
        <v>700</v>
      </c>
      <c r="H43" s="96">
        <f t="shared" si="1"/>
        <v>0.7</v>
      </c>
      <c r="I43" s="91"/>
    </row>
    <row r="44" spans="1:9" ht="14.25" customHeight="1" x14ac:dyDescent="0.15">
      <c r="A44" s="183"/>
      <c r="B44" s="97" t="s">
        <v>292</v>
      </c>
      <c r="C44" s="93">
        <v>2</v>
      </c>
      <c r="D44" s="93">
        <f>Room_01!$G$15</f>
        <v>63.355451847394171</v>
      </c>
      <c r="E44" s="93">
        <v>5</v>
      </c>
      <c r="F44" s="93">
        <v>0.7</v>
      </c>
      <c r="G44" s="93">
        <f t="shared" si="2"/>
        <v>443.48816293175918</v>
      </c>
      <c r="H44" s="96">
        <f t="shared" si="1"/>
        <v>0.44348816293175919</v>
      </c>
      <c r="I44" s="91"/>
    </row>
    <row r="45" spans="1:9" ht="14.25" customHeight="1" x14ac:dyDescent="0.15">
      <c r="A45" s="183"/>
      <c r="B45" s="93" t="s">
        <v>199</v>
      </c>
      <c r="C45" s="93">
        <v>2</v>
      </c>
      <c r="D45" s="93">
        <f>Room_01!$G$15</f>
        <v>63.355451847394171</v>
      </c>
      <c r="E45" s="93">
        <v>5</v>
      </c>
      <c r="F45" s="93">
        <v>0.7</v>
      </c>
      <c r="G45" s="93">
        <f t="shared" si="2"/>
        <v>443.48816293175918</v>
      </c>
      <c r="H45" s="96">
        <f t="shared" si="1"/>
        <v>0.44348816293175919</v>
      </c>
      <c r="I45" s="91"/>
    </row>
    <row r="46" spans="1:9" ht="14.25" customHeight="1" x14ac:dyDescent="0.15">
      <c r="A46" s="184"/>
      <c r="B46" s="93" t="s">
        <v>196</v>
      </c>
      <c r="C46" s="93">
        <v>1</v>
      </c>
      <c r="D46" s="93">
        <f>Room_01!$G$15</f>
        <v>63.355451847394171</v>
      </c>
      <c r="E46" s="93">
        <v>5</v>
      </c>
      <c r="F46" s="93">
        <v>0.7</v>
      </c>
      <c r="G46" s="93">
        <f t="shared" si="2"/>
        <v>221.74408146587959</v>
      </c>
      <c r="H46" s="96">
        <f t="shared" si="1"/>
        <v>0.22174408146587959</v>
      </c>
      <c r="I46" s="91"/>
    </row>
    <row r="47" spans="1:9" ht="14.25" customHeight="1" x14ac:dyDescent="0.15">
      <c r="A47" s="182" t="s">
        <v>169</v>
      </c>
      <c r="B47" s="93" t="s">
        <v>192</v>
      </c>
      <c r="C47" s="93">
        <v>10</v>
      </c>
      <c r="D47" s="93">
        <f>Room_01!$G$15</f>
        <v>63.355451847394171</v>
      </c>
      <c r="E47" s="93">
        <v>5</v>
      </c>
      <c r="F47" s="93">
        <v>0.7</v>
      </c>
      <c r="G47" s="93">
        <f t="shared" si="2"/>
        <v>2217.4408146587957</v>
      </c>
      <c r="H47" s="96">
        <f t="shared" si="1"/>
        <v>2.2174408146587958</v>
      </c>
      <c r="I47" s="91"/>
    </row>
    <row r="48" spans="1:9" ht="14.25" customHeight="1" x14ac:dyDescent="0.15">
      <c r="A48" s="183"/>
      <c r="B48" s="93" t="s">
        <v>175</v>
      </c>
      <c r="C48" s="93">
        <v>100</v>
      </c>
      <c r="D48" s="93">
        <v>1</v>
      </c>
      <c r="E48" s="93">
        <v>5</v>
      </c>
      <c r="F48" s="93">
        <v>0.7</v>
      </c>
      <c r="G48" s="93">
        <f t="shared" si="2"/>
        <v>350</v>
      </c>
      <c r="H48" s="96">
        <f t="shared" si="1"/>
        <v>0.35</v>
      </c>
      <c r="I48" s="91"/>
    </row>
    <row r="49" spans="1:9" ht="14.25" customHeight="1" x14ac:dyDescent="0.15">
      <c r="A49" s="183"/>
      <c r="B49" s="93" t="s">
        <v>193</v>
      </c>
      <c r="C49" s="93">
        <v>200</v>
      </c>
      <c r="D49" s="93">
        <v>1</v>
      </c>
      <c r="E49" s="93">
        <v>5</v>
      </c>
      <c r="F49" s="93">
        <v>0.7</v>
      </c>
      <c r="G49" s="93">
        <f t="shared" si="2"/>
        <v>700</v>
      </c>
      <c r="H49" s="96">
        <f t="shared" si="1"/>
        <v>0.7</v>
      </c>
      <c r="I49" s="91"/>
    </row>
    <row r="50" spans="1:9" ht="14.25" customHeight="1" x14ac:dyDescent="0.15">
      <c r="A50" s="183"/>
      <c r="B50" s="93" t="s">
        <v>229</v>
      </c>
      <c r="C50" s="93">
        <v>2</v>
      </c>
      <c r="D50" s="102">
        <v>63.36</v>
      </c>
      <c r="E50" s="93">
        <v>5</v>
      </c>
      <c r="F50" s="93">
        <v>0.7</v>
      </c>
      <c r="G50" s="93">
        <f t="shared" si="2"/>
        <v>443.52</v>
      </c>
      <c r="H50" s="96">
        <f t="shared" si="1"/>
        <v>0.44351999999999997</v>
      </c>
      <c r="I50" s="91"/>
    </row>
    <row r="51" spans="1:9" ht="14.25" customHeight="1" x14ac:dyDescent="0.15">
      <c r="A51" s="183"/>
      <c r="B51" s="93" t="s">
        <v>199</v>
      </c>
      <c r="C51" s="93">
        <v>2</v>
      </c>
      <c r="D51" s="93">
        <f>Room_01!$G$15</f>
        <v>63.355451847394171</v>
      </c>
      <c r="E51" s="93">
        <v>5</v>
      </c>
      <c r="F51" s="93">
        <v>0.7</v>
      </c>
      <c r="G51" s="93">
        <f t="shared" si="2"/>
        <v>443.48816293175918</v>
      </c>
      <c r="H51" s="96">
        <f t="shared" si="1"/>
        <v>0.44348816293175919</v>
      </c>
      <c r="I51" s="91"/>
    </row>
    <row r="52" spans="1:9" ht="14.25" customHeight="1" x14ac:dyDescent="0.15">
      <c r="A52" s="184"/>
      <c r="B52" s="93" t="s">
        <v>196</v>
      </c>
      <c r="C52" s="93">
        <v>1</v>
      </c>
      <c r="D52" s="93">
        <f>Room_01!$G$15</f>
        <v>63.355451847394171</v>
      </c>
      <c r="E52" s="93">
        <v>5</v>
      </c>
      <c r="F52" s="93">
        <v>0.7</v>
      </c>
      <c r="G52" s="93">
        <f t="shared" si="2"/>
        <v>221.74408146587959</v>
      </c>
      <c r="H52" s="96">
        <f t="shared" si="1"/>
        <v>0.22174408146587959</v>
      </c>
      <c r="I52" s="91"/>
    </row>
    <row r="53" spans="1:9" ht="14.25" customHeight="1" x14ac:dyDescent="0.15">
      <c r="A53" s="182" t="s">
        <v>169</v>
      </c>
      <c r="B53" s="93" t="s">
        <v>192</v>
      </c>
      <c r="C53" s="93">
        <v>10</v>
      </c>
      <c r="D53" s="93">
        <f>Room_01!$G$15</f>
        <v>63.355451847394171</v>
      </c>
      <c r="E53" s="93">
        <v>5</v>
      </c>
      <c r="F53" s="93">
        <v>0.7</v>
      </c>
      <c r="G53" s="93">
        <f t="shared" si="2"/>
        <v>2217.4408146587957</v>
      </c>
      <c r="H53" s="96">
        <f t="shared" si="1"/>
        <v>2.2174408146587958</v>
      </c>
      <c r="I53" s="91"/>
    </row>
    <row r="54" spans="1:9" ht="14.25" customHeight="1" x14ac:dyDescent="0.15">
      <c r="A54" s="183"/>
      <c r="B54" s="93" t="s">
        <v>175</v>
      </c>
      <c r="C54" s="93">
        <v>100</v>
      </c>
      <c r="D54" s="93">
        <v>1</v>
      </c>
      <c r="E54" s="93">
        <v>5</v>
      </c>
      <c r="F54" s="93">
        <v>0.7</v>
      </c>
      <c r="G54" s="93">
        <f t="shared" si="2"/>
        <v>350</v>
      </c>
      <c r="H54" s="96">
        <f t="shared" si="1"/>
        <v>0.35</v>
      </c>
      <c r="I54" s="91"/>
    </row>
    <row r="55" spans="1:9" ht="14.25" customHeight="1" x14ac:dyDescent="0.15">
      <c r="A55" s="183"/>
      <c r="B55" s="93" t="s">
        <v>193</v>
      </c>
      <c r="C55" s="93">
        <v>200</v>
      </c>
      <c r="D55" s="93">
        <v>1</v>
      </c>
      <c r="E55" s="93">
        <v>5</v>
      </c>
      <c r="F55" s="93">
        <v>0.7</v>
      </c>
      <c r="G55" s="93">
        <f t="shared" si="2"/>
        <v>700</v>
      </c>
      <c r="H55" s="96">
        <f t="shared" si="1"/>
        <v>0.7</v>
      </c>
      <c r="I55" s="91"/>
    </row>
    <row r="56" spans="1:9" ht="14.25" customHeight="1" x14ac:dyDescent="0.15">
      <c r="A56" s="183"/>
      <c r="B56" s="93" t="s">
        <v>229</v>
      </c>
      <c r="C56" s="93">
        <v>2</v>
      </c>
      <c r="D56" s="102">
        <v>63.36</v>
      </c>
      <c r="E56" s="93">
        <v>5</v>
      </c>
      <c r="F56" s="93">
        <v>0.7</v>
      </c>
      <c r="G56" s="93">
        <f t="shared" si="2"/>
        <v>443.52</v>
      </c>
      <c r="H56" s="96">
        <f t="shared" si="1"/>
        <v>0.44351999999999997</v>
      </c>
      <c r="I56" s="91"/>
    </row>
    <row r="57" spans="1:9" ht="14.25" customHeight="1" x14ac:dyDescent="0.15">
      <c r="A57" s="183"/>
      <c r="B57" s="93" t="s">
        <v>199</v>
      </c>
      <c r="C57" s="93">
        <v>2</v>
      </c>
      <c r="D57" s="93">
        <f>Room_01!$G$15</f>
        <v>63.355451847394171</v>
      </c>
      <c r="E57" s="93">
        <v>5</v>
      </c>
      <c r="F57" s="93">
        <v>0.7</v>
      </c>
      <c r="G57" s="93">
        <f t="shared" si="2"/>
        <v>443.48816293175918</v>
      </c>
      <c r="H57" s="96">
        <f t="shared" si="1"/>
        <v>0.44348816293175919</v>
      </c>
      <c r="I57" s="91"/>
    </row>
    <row r="58" spans="1:9" ht="14.25" customHeight="1" x14ac:dyDescent="0.15">
      <c r="A58" s="184"/>
      <c r="B58" s="93" t="s">
        <v>196</v>
      </c>
      <c r="C58" s="93">
        <v>1</v>
      </c>
      <c r="D58" s="93">
        <f>Room_01!$G$15</f>
        <v>63.355451847394171</v>
      </c>
      <c r="E58" s="93">
        <v>5</v>
      </c>
      <c r="F58" s="93">
        <v>0.7</v>
      </c>
      <c r="G58" s="93">
        <f t="shared" si="2"/>
        <v>221.74408146587959</v>
      </c>
      <c r="H58" s="96">
        <f t="shared" si="1"/>
        <v>0.22174408146587959</v>
      </c>
      <c r="I58" s="91"/>
    </row>
    <row r="59" spans="1:9" ht="14.25" customHeight="1" x14ac:dyDescent="0.15">
      <c r="A59" s="182" t="s">
        <v>169</v>
      </c>
      <c r="B59" s="93" t="s">
        <v>192</v>
      </c>
      <c r="C59" s="93">
        <v>10</v>
      </c>
      <c r="D59" s="93">
        <f>Room_01!$G$15</f>
        <v>63.355451847394171</v>
      </c>
      <c r="E59" s="93">
        <v>5</v>
      </c>
      <c r="F59" s="93">
        <v>0.7</v>
      </c>
      <c r="G59" s="93">
        <f t="shared" si="2"/>
        <v>2217.4408146587957</v>
      </c>
      <c r="H59" s="96">
        <f t="shared" si="1"/>
        <v>2.2174408146587958</v>
      </c>
      <c r="I59" s="91"/>
    </row>
    <row r="60" spans="1:9" ht="14.25" customHeight="1" x14ac:dyDescent="0.15">
      <c r="A60" s="183"/>
      <c r="B60" s="93" t="s">
        <v>175</v>
      </c>
      <c r="C60" s="93">
        <v>100</v>
      </c>
      <c r="D60" s="93">
        <v>1</v>
      </c>
      <c r="E60" s="93">
        <v>5</v>
      </c>
      <c r="F60" s="93">
        <v>0.7</v>
      </c>
      <c r="G60" s="93">
        <f t="shared" si="2"/>
        <v>350</v>
      </c>
      <c r="H60" s="96">
        <f t="shared" si="1"/>
        <v>0.35</v>
      </c>
      <c r="I60" s="91"/>
    </row>
    <row r="61" spans="1:9" ht="14.25" customHeight="1" x14ac:dyDescent="0.15">
      <c r="A61" s="183"/>
      <c r="B61" s="93" t="s">
        <v>193</v>
      </c>
      <c r="C61" s="93">
        <v>200</v>
      </c>
      <c r="D61" s="93">
        <v>1</v>
      </c>
      <c r="E61" s="93">
        <v>5</v>
      </c>
      <c r="F61" s="93">
        <v>0.7</v>
      </c>
      <c r="G61" s="93">
        <f t="shared" si="2"/>
        <v>700</v>
      </c>
      <c r="H61" s="96">
        <f t="shared" ref="H61:H89" si="3">G61/1000</f>
        <v>0.7</v>
      </c>
      <c r="I61" s="91"/>
    </row>
    <row r="62" spans="1:9" ht="14.25" customHeight="1" x14ac:dyDescent="0.15">
      <c r="A62" s="183"/>
      <c r="B62" s="93" t="s">
        <v>229</v>
      </c>
      <c r="C62" s="93">
        <v>2</v>
      </c>
      <c r="D62" s="102">
        <v>63.36</v>
      </c>
      <c r="E62" s="93">
        <v>5</v>
      </c>
      <c r="F62" s="93">
        <v>0.7</v>
      </c>
      <c r="G62" s="93">
        <f t="shared" si="2"/>
        <v>443.52</v>
      </c>
      <c r="H62" s="96">
        <f t="shared" si="3"/>
        <v>0.44351999999999997</v>
      </c>
      <c r="I62" s="91"/>
    </row>
    <row r="63" spans="1:9" ht="14.25" customHeight="1" x14ac:dyDescent="0.15">
      <c r="A63" s="183"/>
      <c r="B63" s="93" t="s">
        <v>199</v>
      </c>
      <c r="C63" s="93">
        <v>2</v>
      </c>
      <c r="D63" s="93">
        <f>Room_01!$G$15</f>
        <v>63.355451847394171</v>
      </c>
      <c r="E63" s="93">
        <v>5</v>
      </c>
      <c r="F63" s="93">
        <v>0.7</v>
      </c>
      <c r="G63" s="93">
        <f t="shared" si="2"/>
        <v>443.48816293175918</v>
      </c>
      <c r="H63" s="96">
        <f t="shared" si="3"/>
        <v>0.44348816293175919</v>
      </c>
      <c r="I63" s="91"/>
    </row>
    <row r="64" spans="1:9" ht="14.25" customHeight="1" x14ac:dyDescent="0.15">
      <c r="A64" s="184"/>
      <c r="B64" s="93" t="s">
        <v>196</v>
      </c>
      <c r="C64" s="93">
        <v>1</v>
      </c>
      <c r="D64" s="93">
        <f>Room_01!$G$15</f>
        <v>63.355451847394171</v>
      </c>
      <c r="E64" s="93">
        <v>5</v>
      </c>
      <c r="F64" s="93">
        <v>0.7</v>
      </c>
      <c r="G64" s="93">
        <f t="shared" si="2"/>
        <v>221.74408146587959</v>
      </c>
      <c r="H64" s="96">
        <f t="shared" si="3"/>
        <v>0.22174408146587959</v>
      </c>
      <c r="I64" s="91"/>
    </row>
    <row r="65" spans="1:9" ht="14.25" customHeight="1" x14ac:dyDescent="0.15">
      <c r="A65" s="182" t="s">
        <v>169</v>
      </c>
      <c r="B65" s="93" t="s">
        <v>192</v>
      </c>
      <c r="C65" s="93">
        <v>10</v>
      </c>
      <c r="D65" s="93">
        <f>Room_01!$G$15</f>
        <v>63.355451847394171</v>
      </c>
      <c r="E65" s="93">
        <v>5</v>
      </c>
      <c r="F65" s="93">
        <v>0.7</v>
      </c>
      <c r="G65" s="93">
        <f t="shared" si="2"/>
        <v>2217.4408146587957</v>
      </c>
      <c r="H65" s="96">
        <f t="shared" si="3"/>
        <v>2.2174408146587958</v>
      </c>
      <c r="I65" s="91"/>
    </row>
    <row r="66" spans="1:9" ht="14.25" customHeight="1" x14ac:dyDescent="0.15">
      <c r="A66" s="183"/>
      <c r="B66" s="93" t="s">
        <v>175</v>
      </c>
      <c r="C66" s="93">
        <v>100</v>
      </c>
      <c r="D66" s="93">
        <v>1</v>
      </c>
      <c r="E66" s="93">
        <v>5</v>
      </c>
      <c r="F66" s="93">
        <v>0.7</v>
      </c>
      <c r="G66" s="93">
        <f t="shared" si="2"/>
        <v>350</v>
      </c>
      <c r="H66" s="96">
        <f t="shared" si="3"/>
        <v>0.35</v>
      </c>
      <c r="I66" s="91"/>
    </row>
    <row r="67" spans="1:9" ht="14.25" customHeight="1" x14ac:dyDescent="0.15">
      <c r="A67" s="183"/>
      <c r="B67" s="93" t="s">
        <v>193</v>
      </c>
      <c r="C67" s="93">
        <v>200</v>
      </c>
      <c r="D67" s="93">
        <v>1</v>
      </c>
      <c r="E67" s="93">
        <v>5</v>
      </c>
      <c r="F67" s="93">
        <v>0.7</v>
      </c>
      <c r="G67" s="93">
        <f t="shared" si="2"/>
        <v>700</v>
      </c>
      <c r="H67" s="96">
        <f t="shared" si="3"/>
        <v>0.7</v>
      </c>
      <c r="I67" s="91"/>
    </row>
    <row r="68" spans="1:9" ht="14.25" customHeight="1" x14ac:dyDescent="0.15">
      <c r="A68" s="183"/>
      <c r="B68" s="93" t="s">
        <v>229</v>
      </c>
      <c r="C68" s="93">
        <v>2</v>
      </c>
      <c r="D68" s="102">
        <v>63.36</v>
      </c>
      <c r="E68" s="93">
        <v>5</v>
      </c>
      <c r="F68" s="93">
        <v>0.7</v>
      </c>
      <c r="G68" s="93">
        <f t="shared" si="2"/>
        <v>443.52</v>
      </c>
      <c r="H68" s="96">
        <f t="shared" si="3"/>
        <v>0.44351999999999997</v>
      </c>
      <c r="I68" s="91"/>
    </row>
    <row r="69" spans="1:9" ht="14.25" customHeight="1" x14ac:dyDescent="0.15">
      <c r="A69" s="183"/>
      <c r="B69" s="93" t="s">
        <v>199</v>
      </c>
      <c r="C69" s="93">
        <v>2</v>
      </c>
      <c r="D69" s="93">
        <f>Room_01!$G$15</f>
        <v>63.355451847394171</v>
      </c>
      <c r="E69" s="93">
        <v>5</v>
      </c>
      <c r="F69" s="93">
        <v>0.7</v>
      </c>
      <c r="G69" s="93">
        <f t="shared" si="2"/>
        <v>443.48816293175918</v>
      </c>
      <c r="H69" s="96">
        <f t="shared" si="3"/>
        <v>0.44348816293175919</v>
      </c>
      <c r="I69" s="91"/>
    </row>
    <row r="70" spans="1:9" ht="14.25" customHeight="1" x14ac:dyDescent="0.15">
      <c r="A70" s="184"/>
      <c r="B70" s="93" t="s">
        <v>196</v>
      </c>
      <c r="C70" s="93">
        <v>1</v>
      </c>
      <c r="D70" s="93">
        <f>Room_01!$G$15</f>
        <v>63.355451847394171</v>
      </c>
      <c r="E70" s="93">
        <v>5</v>
      </c>
      <c r="F70" s="93">
        <v>0.7</v>
      </c>
      <c r="G70" s="93">
        <f t="shared" si="2"/>
        <v>221.74408146587959</v>
      </c>
      <c r="H70" s="96">
        <f t="shared" si="3"/>
        <v>0.22174408146587959</v>
      </c>
      <c r="I70" s="91"/>
    </row>
    <row r="71" spans="1:9" ht="14.25" customHeight="1" x14ac:dyDescent="0.15">
      <c r="A71" s="182" t="s">
        <v>169</v>
      </c>
      <c r="B71" s="93" t="s">
        <v>192</v>
      </c>
      <c r="C71" s="93">
        <v>10</v>
      </c>
      <c r="D71" s="93">
        <f>Room_01!$G$15</f>
        <v>63.355451847394171</v>
      </c>
      <c r="E71" s="93">
        <v>5</v>
      </c>
      <c r="F71" s="93">
        <v>0.7</v>
      </c>
      <c r="G71" s="93">
        <f t="shared" si="2"/>
        <v>2217.4408146587957</v>
      </c>
      <c r="H71" s="96">
        <f t="shared" si="3"/>
        <v>2.2174408146587958</v>
      </c>
      <c r="I71" s="91"/>
    </row>
    <row r="72" spans="1:9" ht="14.25" customHeight="1" x14ac:dyDescent="0.15">
      <c r="A72" s="183"/>
      <c r="B72" s="93" t="s">
        <v>175</v>
      </c>
      <c r="C72" s="93">
        <v>100</v>
      </c>
      <c r="D72" s="93">
        <v>1</v>
      </c>
      <c r="E72" s="93">
        <v>5</v>
      </c>
      <c r="F72" s="93">
        <v>0.7</v>
      </c>
      <c r="G72" s="93">
        <f t="shared" si="2"/>
        <v>350</v>
      </c>
      <c r="H72" s="96">
        <f t="shared" si="3"/>
        <v>0.35</v>
      </c>
      <c r="I72" s="91"/>
    </row>
    <row r="73" spans="1:9" ht="14.25" customHeight="1" x14ac:dyDescent="0.15">
      <c r="A73" s="183"/>
      <c r="B73" s="93" t="s">
        <v>193</v>
      </c>
      <c r="C73" s="93">
        <v>200</v>
      </c>
      <c r="D73" s="93">
        <v>1</v>
      </c>
      <c r="E73" s="93">
        <v>5</v>
      </c>
      <c r="F73" s="93">
        <v>0.7</v>
      </c>
      <c r="G73" s="93">
        <f t="shared" si="2"/>
        <v>700</v>
      </c>
      <c r="H73" s="96">
        <f t="shared" si="3"/>
        <v>0.7</v>
      </c>
      <c r="I73" s="91"/>
    </row>
    <row r="74" spans="1:9" ht="14.25" customHeight="1" x14ac:dyDescent="0.15">
      <c r="A74" s="183"/>
      <c r="B74" s="93" t="s">
        <v>229</v>
      </c>
      <c r="C74" s="93">
        <v>2</v>
      </c>
      <c r="D74" s="102">
        <v>63.36</v>
      </c>
      <c r="E74" s="93">
        <v>5</v>
      </c>
      <c r="F74" s="93">
        <v>0.7</v>
      </c>
      <c r="G74" s="93">
        <f t="shared" si="2"/>
        <v>443.52</v>
      </c>
      <c r="H74" s="96">
        <f t="shared" si="3"/>
        <v>0.44351999999999997</v>
      </c>
      <c r="I74" s="91"/>
    </row>
    <row r="75" spans="1:9" ht="14.25" customHeight="1" x14ac:dyDescent="0.15">
      <c r="A75" s="183"/>
      <c r="B75" s="93" t="s">
        <v>199</v>
      </c>
      <c r="C75" s="93">
        <v>2</v>
      </c>
      <c r="D75" s="93">
        <f>Room_01!$G$15</f>
        <v>63.355451847394171</v>
      </c>
      <c r="E75" s="93">
        <v>5</v>
      </c>
      <c r="F75" s="93">
        <v>0.7</v>
      </c>
      <c r="G75" s="93">
        <f t="shared" si="2"/>
        <v>443.48816293175918</v>
      </c>
      <c r="H75" s="96">
        <f t="shared" si="3"/>
        <v>0.44348816293175919</v>
      </c>
      <c r="I75" s="91"/>
    </row>
    <row r="76" spans="1:9" ht="14.25" customHeight="1" x14ac:dyDescent="0.15">
      <c r="A76" s="184"/>
      <c r="B76" s="93" t="s">
        <v>196</v>
      </c>
      <c r="C76" s="93">
        <v>1</v>
      </c>
      <c r="D76" s="93">
        <f>Room_01!$G$15</f>
        <v>63.355451847394171</v>
      </c>
      <c r="E76" s="93">
        <v>5</v>
      </c>
      <c r="F76" s="93">
        <v>0.7</v>
      </c>
      <c r="G76" s="93">
        <f t="shared" si="2"/>
        <v>221.74408146587959</v>
      </c>
      <c r="H76" s="96">
        <f t="shared" si="3"/>
        <v>0.22174408146587959</v>
      </c>
      <c r="I76" s="91"/>
    </row>
    <row r="77" spans="1:9" ht="14.25" customHeight="1" x14ac:dyDescent="0.15">
      <c r="A77" s="182" t="s">
        <v>166</v>
      </c>
      <c r="B77" s="93" t="s">
        <v>192</v>
      </c>
      <c r="C77" s="93">
        <v>10</v>
      </c>
      <c r="D77" s="93">
        <f>Room_01!$G$22</f>
        <v>68</v>
      </c>
      <c r="E77" s="93">
        <v>2</v>
      </c>
      <c r="F77" s="93">
        <v>0.7</v>
      </c>
      <c r="G77" s="93">
        <f t="shared" si="2"/>
        <v>951.99999999999989</v>
      </c>
      <c r="H77" s="96">
        <f t="shared" si="3"/>
        <v>0.95199999999999985</v>
      </c>
      <c r="I77" s="91"/>
    </row>
    <row r="78" spans="1:9" ht="14.25" customHeight="1" x14ac:dyDescent="0.15">
      <c r="A78" s="183"/>
      <c r="B78" s="93" t="s">
        <v>198</v>
      </c>
      <c r="C78" s="93">
        <v>1200</v>
      </c>
      <c r="D78" s="93">
        <v>1</v>
      </c>
      <c r="E78" s="93">
        <v>2</v>
      </c>
      <c r="F78" s="93">
        <v>0.7</v>
      </c>
      <c r="G78" s="93">
        <f t="shared" si="2"/>
        <v>1680</v>
      </c>
      <c r="H78" s="96">
        <f t="shared" si="3"/>
        <v>1.68</v>
      </c>
      <c r="I78" s="91"/>
    </row>
    <row r="79" spans="1:9" ht="14.25" customHeight="1" x14ac:dyDescent="0.15">
      <c r="A79" s="184"/>
      <c r="B79" s="93" t="s">
        <v>229</v>
      </c>
      <c r="C79" s="93">
        <v>2</v>
      </c>
      <c r="D79" s="93">
        <f>Room_01!$G$22</f>
        <v>68</v>
      </c>
      <c r="E79" s="93">
        <v>2</v>
      </c>
      <c r="F79" s="93">
        <v>0.7</v>
      </c>
      <c r="G79" s="93">
        <f t="shared" si="2"/>
        <v>190.39999999999998</v>
      </c>
      <c r="H79" s="96">
        <f t="shared" si="3"/>
        <v>0.19039999999999999</v>
      </c>
      <c r="I79" s="91"/>
    </row>
    <row r="80" spans="1:9" ht="14.25" customHeight="1" x14ac:dyDescent="0.15">
      <c r="A80" s="182" t="s">
        <v>165</v>
      </c>
      <c r="B80" s="97" t="s">
        <v>192</v>
      </c>
      <c r="C80" s="93">
        <v>10</v>
      </c>
      <c r="D80" s="93">
        <f>Room_01!G21</f>
        <v>331.875</v>
      </c>
      <c r="E80" s="93">
        <v>3</v>
      </c>
      <c r="F80" s="93">
        <v>0.7</v>
      </c>
      <c r="G80" s="93">
        <f t="shared" si="2"/>
        <v>6969.375</v>
      </c>
      <c r="H80" s="96">
        <f t="shared" si="3"/>
        <v>6.9693750000000003</v>
      </c>
      <c r="I80" s="91"/>
    </row>
    <row r="81" spans="1:9" ht="14.25" customHeight="1" x14ac:dyDescent="0.15">
      <c r="A81" s="183"/>
      <c r="B81" s="97" t="s">
        <v>205</v>
      </c>
      <c r="C81" s="93">
        <v>1500</v>
      </c>
      <c r="D81" s="93">
        <v>1</v>
      </c>
      <c r="E81" s="93">
        <v>3</v>
      </c>
      <c r="F81" s="93">
        <v>0.7</v>
      </c>
      <c r="G81" s="93">
        <f t="shared" ref="G81:G89" si="4">C81*D81*E81*F81</f>
        <v>3150</v>
      </c>
      <c r="H81" s="96">
        <f t="shared" si="3"/>
        <v>3.15</v>
      </c>
      <c r="I81" s="91"/>
    </row>
    <row r="82" spans="1:9" ht="14.25" customHeight="1" x14ac:dyDescent="0.15">
      <c r="A82" s="183"/>
      <c r="B82" s="97" t="s">
        <v>206</v>
      </c>
      <c r="C82" s="93">
        <v>300</v>
      </c>
      <c r="D82" s="93">
        <v>1</v>
      </c>
      <c r="E82" s="93">
        <v>3</v>
      </c>
      <c r="F82" s="93">
        <v>0.7</v>
      </c>
      <c r="G82" s="93">
        <f t="shared" si="4"/>
        <v>630</v>
      </c>
      <c r="H82" s="96">
        <f t="shared" si="3"/>
        <v>0.63</v>
      </c>
      <c r="I82" s="91"/>
    </row>
    <row r="83" spans="1:9" ht="14.25" customHeight="1" x14ac:dyDescent="0.15">
      <c r="A83" s="183"/>
      <c r="B83" s="97" t="s">
        <v>207</v>
      </c>
      <c r="C83" s="93">
        <v>1000</v>
      </c>
      <c r="D83" s="93">
        <v>1</v>
      </c>
      <c r="E83" s="93">
        <v>3</v>
      </c>
      <c r="F83" s="93">
        <v>0.7</v>
      </c>
      <c r="G83" s="93">
        <f t="shared" si="4"/>
        <v>2100</v>
      </c>
      <c r="H83" s="96">
        <f t="shared" si="3"/>
        <v>2.1</v>
      </c>
      <c r="I83" s="91"/>
    </row>
    <row r="84" spans="1:9" ht="14.25" customHeight="1" x14ac:dyDescent="0.15">
      <c r="A84" s="183"/>
      <c r="B84" s="97" t="s">
        <v>208</v>
      </c>
      <c r="C84" s="93">
        <v>1500</v>
      </c>
      <c r="D84" s="93">
        <v>1</v>
      </c>
      <c r="E84" s="93">
        <v>3</v>
      </c>
      <c r="F84" s="93">
        <v>0.7</v>
      </c>
      <c r="G84" s="93">
        <f t="shared" si="4"/>
        <v>3150</v>
      </c>
      <c r="H84" s="96">
        <f t="shared" si="3"/>
        <v>3.15</v>
      </c>
      <c r="I84" s="91"/>
    </row>
    <row r="85" spans="1:9" ht="14.25" customHeight="1" x14ac:dyDescent="0.15">
      <c r="A85" s="183"/>
      <c r="B85" s="93" t="s">
        <v>229</v>
      </c>
      <c r="C85" s="93">
        <v>2</v>
      </c>
      <c r="D85" s="93">
        <f>D80</f>
        <v>331.875</v>
      </c>
      <c r="E85" s="93">
        <v>3</v>
      </c>
      <c r="F85" s="93">
        <v>0.7</v>
      </c>
      <c r="G85" s="93">
        <f t="shared" si="4"/>
        <v>1393.875</v>
      </c>
      <c r="H85" s="96">
        <f t="shared" si="3"/>
        <v>1.393875</v>
      </c>
      <c r="I85" s="91"/>
    </row>
    <row r="86" spans="1:9" ht="14.25" customHeight="1" x14ac:dyDescent="0.15">
      <c r="A86" s="183"/>
      <c r="B86" s="93" t="s">
        <v>209</v>
      </c>
      <c r="C86" s="93">
        <v>100</v>
      </c>
      <c r="D86" s="93">
        <v>1</v>
      </c>
      <c r="E86" s="93">
        <v>3</v>
      </c>
      <c r="F86" s="93">
        <v>0.7</v>
      </c>
      <c r="G86" s="93">
        <f t="shared" si="4"/>
        <v>210</v>
      </c>
      <c r="H86" s="96">
        <f t="shared" si="3"/>
        <v>0.21</v>
      </c>
      <c r="I86" s="91"/>
    </row>
    <row r="87" spans="1:9" ht="14.25" customHeight="1" x14ac:dyDescent="0.15">
      <c r="A87" s="184"/>
      <c r="B87" s="97" t="s">
        <v>210</v>
      </c>
      <c r="C87" s="93">
        <v>5</v>
      </c>
      <c r="D87" s="93">
        <v>1</v>
      </c>
      <c r="E87" s="93">
        <v>3</v>
      </c>
      <c r="F87" s="93">
        <v>0.7</v>
      </c>
      <c r="G87" s="93">
        <f t="shared" si="4"/>
        <v>10.5</v>
      </c>
      <c r="H87" s="96">
        <f t="shared" si="3"/>
        <v>1.0500000000000001E-2</v>
      </c>
      <c r="I87" s="91"/>
    </row>
    <row r="88" spans="1:9" ht="14.25" customHeight="1" x14ac:dyDescent="0.2">
      <c r="A88" s="182" t="s">
        <v>204</v>
      </c>
      <c r="B88" s="93" t="s">
        <v>192</v>
      </c>
      <c r="C88" s="95">
        <v>10</v>
      </c>
      <c r="D88" s="95">
        <f>SUM(Room_01!G23:G25)</f>
        <v>228.18583470577036</v>
      </c>
      <c r="E88" s="93">
        <v>8</v>
      </c>
      <c r="F88" s="93">
        <v>0.7</v>
      </c>
      <c r="G88" s="93">
        <f t="shared" si="4"/>
        <v>12778.406743523139</v>
      </c>
      <c r="H88" s="96">
        <f t="shared" si="3"/>
        <v>12.778406743523139</v>
      </c>
      <c r="I88" s="91"/>
    </row>
    <row r="89" spans="1:9" ht="14.25" customHeight="1" x14ac:dyDescent="0.2">
      <c r="A89" s="184"/>
      <c r="B89" s="93" t="s">
        <v>197</v>
      </c>
      <c r="C89" s="95">
        <v>100</v>
      </c>
      <c r="D89" s="95">
        <v>1</v>
      </c>
      <c r="E89" s="93">
        <v>24</v>
      </c>
      <c r="F89" s="93">
        <v>0.7</v>
      </c>
      <c r="G89" s="93">
        <f t="shared" si="4"/>
        <v>1680</v>
      </c>
      <c r="H89" s="96">
        <f t="shared" si="3"/>
        <v>1.68</v>
      </c>
      <c r="I89" s="91"/>
    </row>
    <row r="90" spans="1:9" ht="13.5" customHeight="1" thickBot="1" x14ac:dyDescent="0.2">
      <c r="A90" s="98" t="s">
        <v>145</v>
      </c>
      <c r="B90" s="99"/>
      <c r="C90" s="99"/>
      <c r="D90" s="99"/>
      <c r="E90" s="99"/>
      <c r="F90" s="99"/>
      <c r="G90" s="99">
        <f>SUM(G5:G89)</f>
        <v>108894.83047834667</v>
      </c>
      <c r="H90" s="100">
        <f>SUM(H5:H89)</f>
        <v>108.89483047834671</v>
      </c>
      <c r="I90" s="91" t="s">
        <v>60</v>
      </c>
    </row>
    <row r="91" spans="1:9" ht="14.25" customHeight="1" x14ac:dyDescent="0.15">
      <c r="A91" s="101"/>
      <c r="B91" s="101"/>
      <c r="C91" s="101"/>
      <c r="D91" s="101"/>
      <c r="E91" s="101"/>
      <c r="F91" s="101"/>
      <c r="G91" s="101"/>
      <c r="H91" s="101"/>
      <c r="I91" s="85"/>
    </row>
    <row r="92" spans="1:9" ht="13.75" customHeight="1" x14ac:dyDescent="0.15">
      <c r="A92" s="85"/>
      <c r="B92" s="85"/>
      <c r="C92" s="85" t="s">
        <v>141</v>
      </c>
      <c r="D92" s="85">
        <v>200</v>
      </c>
      <c r="E92" s="85" t="s">
        <v>151</v>
      </c>
      <c r="F92" s="85"/>
      <c r="G92" s="85"/>
      <c r="H92" s="85">
        <f>D92*H90</f>
        <v>21778.966095669341</v>
      </c>
      <c r="I92" s="85" t="s">
        <v>111</v>
      </c>
    </row>
    <row r="96" spans="1:9" ht="12.75" customHeight="1" x14ac:dyDescent="0.2">
      <c r="B96" s="166"/>
    </row>
  </sheetData>
  <mergeCells count="15">
    <mergeCell ref="A35:A40"/>
    <mergeCell ref="A5:A10"/>
    <mergeCell ref="A11:A16"/>
    <mergeCell ref="A17:A22"/>
    <mergeCell ref="A23:A28"/>
    <mergeCell ref="A29:A34"/>
    <mergeCell ref="A77:A79"/>
    <mergeCell ref="A80:A87"/>
    <mergeCell ref="A88:A89"/>
    <mergeCell ref="A41:A46"/>
    <mergeCell ref="A47:A52"/>
    <mergeCell ref="A53:A58"/>
    <mergeCell ref="A59:A64"/>
    <mergeCell ref="A65:A70"/>
    <mergeCell ref="A71:A76"/>
  </mergeCells>
  <phoneticPr fontId="6" type="noConversion"/>
  <pageMargins left="0.7" right="0.7" top="0.75" bottom="0.75" header="0.3" footer="0.3"/>
  <pageSetup orientation="portrait"/>
  <headerFooter>
    <oddFooter>&amp;C&amp;"Helvetica Neue,Regular"&amp;11&amp;K000000&amp;P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C540-0FA7-7942-BE1A-048B1BE6F35C}">
  <dimension ref="A1:I92"/>
  <sheetViews>
    <sheetView showGridLines="0" topLeftCell="B63" zoomScale="125" workbookViewId="0">
      <selection activeCell="H92" sqref="H92"/>
    </sheetView>
  </sheetViews>
  <sheetFormatPr baseColWidth="10" defaultColWidth="8.83203125" defaultRowHeight="12.75" customHeight="1" x14ac:dyDescent="0.15"/>
  <cols>
    <col min="1" max="1" width="16.1640625" style="77" customWidth="1"/>
    <col min="2" max="2" width="17.5" style="77" customWidth="1"/>
    <col min="3" max="3" width="8.83203125" style="77" customWidth="1"/>
    <col min="4" max="4" width="12.6640625" style="77" customWidth="1"/>
    <col min="5" max="6" width="8.83203125" style="77" customWidth="1"/>
    <col min="7" max="7" width="10.83203125" style="77" customWidth="1"/>
    <col min="8" max="8" width="8.5" style="77" customWidth="1"/>
    <col min="9" max="10" width="8.83203125" style="77" customWidth="1"/>
    <col min="11" max="16384" width="8.83203125" style="77"/>
  </cols>
  <sheetData>
    <row r="1" spans="1:9" ht="13.75" customHeight="1" x14ac:dyDescent="0.15">
      <c r="A1" s="85" t="s">
        <v>194</v>
      </c>
      <c r="B1" s="85"/>
      <c r="C1" s="85"/>
      <c r="D1" s="85"/>
      <c r="E1" s="85"/>
      <c r="F1" s="85"/>
      <c r="G1" s="85"/>
      <c r="H1" s="85"/>
      <c r="I1" s="85"/>
    </row>
    <row r="2" spans="1:9" ht="13.5" customHeight="1" thickBot="1" x14ac:dyDescent="0.2">
      <c r="A2" s="86"/>
      <c r="B2" s="86"/>
      <c r="C2" s="86"/>
      <c r="D2" s="86"/>
      <c r="E2" s="86"/>
      <c r="F2" s="86"/>
      <c r="G2" s="86"/>
      <c r="H2" s="86"/>
      <c r="I2" s="85"/>
    </row>
    <row r="3" spans="1:9" ht="15" customHeight="1" x14ac:dyDescent="0.15">
      <c r="A3" s="87" t="s">
        <v>142</v>
      </c>
      <c r="B3" s="88"/>
      <c r="C3" s="88" t="s">
        <v>38</v>
      </c>
      <c r="D3" s="88" t="s">
        <v>226</v>
      </c>
      <c r="E3" s="88" t="s">
        <v>146</v>
      </c>
      <c r="F3" s="89" t="s">
        <v>147</v>
      </c>
      <c r="G3" s="89" t="s">
        <v>148</v>
      </c>
      <c r="H3" s="90" t="s">
        <v>143</v>
      </c>
      <c r="I3" s="91"/>
    </row>
    <row r="4" spans="1:9" ht="16.5" customHeight="1" x14ac:dyDescent="0.2">
      <c r="A4" s="92"/>
      <c r="B4" s="93"/>
      <c r="C4" s="94" t="s">
        <v>88</v>
      </c>
      <c r="D4" s="94" t="s">
        <v>227</v>
      </c>
      <c r="E4" s="95">
        <v>0</v>
      </c>
      <c r="F4" s="95"/>
      <c r="G4" s="95" t="s">
        <v>150</v>
      </c>
      <c r="H4" s="96" t="s">
        <v>144</v>
      </c>
      <c r="I4" s="91"/>
    </row>
    <row r="5" spans="1:9" ht="14.25" customHeight="1" x14ac:dyDescent="0.15">
      <c r="A5" s="182" t="s">
        <v>167</v>
      </c>
      <c r="B5" s="93" t="s">
        <v>228</v>
      </c>
      <c r="C5" s="93">
        <v>5</v>
      </c>
      <c r="D5" s="93">
        <f>Room_01!$G$7</f>
        <v>75</v>
      </c>
      <c r="E5" s="93">
        <v>5</v>
      </c>
      <c r="F5" s="93">
        <v>0.5</v>
      </c>
      <c r="G5" s="93">
        <f t="shared" ref="G5:G68" si="0">C5*D5*E5*F5</f>
        <v>937.5</v>
      </c>
      <c r="H5" s="96">
        <f>G5/1000</f>
        <v>0.9375</v>
      </c>
      <c r="I5" s="91"/>
    </row>
    <row r="6" spans="1:9" ht="14.25" customHeight="1" x14ac:dyDescent="0.15">
      <c r="A6" s="183"/>
      <c r="B6" s="93" t="s">
        <v>295</v>
      </c>
      <c r="C6" s="93">
        <v>60</v>
      </c>
      <c r="D6" s="93">
        <v>1</v>
      </c>
      <c r="E6" s="93">
        <v>5</v>
      </c>
      <c r="F6" s="93">
        <v>0.5</v>
      </c>
      <c r="G6" s="93">
        <f t="shared" si="0"/>
        <v>150</v>
      </c>
      <c r="H6" s="96">
        <f t="shared" ref="H6:H69" si="1">G6/1000</f>
        <v>0.15</v>
      </c>
      <c r="I6" s="91"/>
    </row>
    <row r="7" spans="1:9" ht="14.25" customHeight="1" x14ac:dyDescent="0.15">
      <c r="A7" s="183"/>
      <c r="B7" s="93" t="s">
        <v>296</v>
      </c>
      <c r="C7" s="93">
        <v>150</v>
      </c>
      <c r="D7" s="93">
        <v>1</v>
      </c>
      <c r="E7" s="93">
        <v>5</v>
      </c>
      <c r="F7" s="93">
        <v>0.5</v>
      </c>
      <c r="G7" s="93">
        <f t="shared" si="0"/>
        <v>375</v>
      </c>
      <c r="H7" s="96">
        <f t="shared" si="1"/>
        <v>0.375</v>
      </c>
      <c r="I7" s="91"/>
    </row>
    <row r="8" spans="1:9" ht="14.25" customHeight="1" x14ac:dyDescent="0.15">
      <c r="A8" s="183"/>
      <c r="B8" s="93" t="s">
        <v>229</v>
      </c>
      <c r="C8" s="93">
        <v>2</v>
      </c>
      <c r="D8" s="93">
        <v>75</v>
      </c>
      <c r="E8" s="93">
        <v>5</v>
      </c>
      <c r="F8" s="93">
        <v>0.5</v>
      </c>
      <c r="G8" s="93">
        <f t="shared" si="0"/>
        <v>375</v>
      </c>
      <c r="H8" s="96">
        <f t="shared" si="1"/>
        <v>0.375</v>
      </c>
      <c r="I8" s="91"/>
    </row>
    <row r="9" spans="1:9" ht="14.25" customHeight="1" x14ac:dyDescent="0.15">
      <c r="A9" s="183"/>
      <c r="B9" s="93" t="s">
        <v>199</v>
      </c>
      <c r="C9" s="93">
        <v>2</v>
      </c>
      <c r="D9" s="93">
        <f>Room_01!G8</f>
        <v>75</v>
      </c>
      <c r="E9" s="93">
        <v>5</v>
      </c>
      <c r="F9" s="93">
        <v>0.5</v>
      </c>
      <c r="G9" s="93">
        <f t="shared" si="0"/>
        <v>375</v>
      </c>
      <c r="H9" s="96">
        <f t="shared" si="1"/>
        <v>0.375</v>
      </c>
      <c r="I9" s="91"/>
    </row>
    <row r="10" spans="1:9" ht="14.25" customHeight="1" x14ac:dyDescent="0.15">
      <c r="A10" s="184"/>
      <c r="B10" s="93" t="s">
        <v>196</v>
      </c>
      <c r="C10" s="93">
        <v>1</v>
      </c>
      <c r="D10" s="93">
        <f>Room_01!$G$7</f>
        <v>75</v>
      </c>
      <c r="E10" s="93">
        <v>5</v>
      </c>
      <c r="F10" s="93">
        <v>0.5</v>
      </c>
      <c r="G10" s="93">
        <f t="shared" si="0"/>
        <v>187.5</v>
      </c>
      <c r="H10" s="96">
        <f t="shared" si="1"/>
        <v>0.1875</v>
      </c>
      <c r="I10" s="91"/>
    </row>
    <row r="11" spans="1:9" ht="14.25" customHeight="1" x14ac:dyDescent="0.15">
      <c r="A11" s="182" t="s">
        <v>167</v>
      </c>
      <c r="B11" s="93" t="s">
        <v>228</v>
      </c>
      <c r="C11" s="93">
        <v>5</v>
      </c>
      <c r="D11" s="93">
        <f>Room_01!$G$7</f>
        <v>75</v>
      </c>
      <c r="E11" s="93">
        <v>5</v>
      </c>
      <c r="F11" s="93">
        <v>0.5</v>
      </c>
      <c r="G11" s="93">
        <f t="shared" si="0"/>
        <v>937.5</v>
      </c>
      <c r="H11" s="96">
        <f t="shared" si="1"/>
        <v>0.9375</v>
      </c>
      <c r="I11" s="91"/>
    </row>
    <row r="12" spans="1:9" ht="14.25" customHeight="1" x14ac:dyDescent="0.15">
      <c r="A12" s="183"/>
      <c r="B12" s="93" t="s">
        <v>294</v>
      </c>
      <c r="C12" s="93">
        <v>60</v>
      </c>
      <c r="D12" s="93">
        <v>1</v>
      </c>
      <c r="E12" s="93">
        <v>5</v>
      </c>
      <c r="F12" s="93">
        <v>0.5</v>
      </c>
      <c r="G12" s="93">
        <f t="shared" si="0"/>
        <v>150</v>
      </c>
      <c r="H12" s="96">
        <f t="shared" si="1"/>
        <v>0.15</v>
      </c>
      <c r="I12" s="91"/>
    </row>
    <row r="13" spans="1:9" ht="14.25" customHeight="1" x14ac:dyDescent="0.15">
      <c r="A13" s="183"/>
      <c r="B13" s="93" t="s">
        <v>296</v>
      </c>
      <c r="C13" s="93">
        <v>150</v>
      </c>
      <c r="D13" s="93">
        <v>1</v>
      </c>
      <c r="E13" s="93">
        <v>5</v>
      </c>
      <c r="F13" s="93">
        <v>0.5</v>
      </c>
      <c r="G13" s="93">
        <f t="shared" si="0"/>
        <v>375</v>
      </c>
      <c r="H13" s="96">
        <f t="shared" si="1"/>
        <v>0.375</v>
      </c>
      <c r="I13" s="91"/>
    </row>
    <row r="14" spans="1:9" ht="14.25" customHeight="1" x14ac:dyDescent="0.15">
      <c r="A14" s="183"/>
      <c r="B14" s="93" t="s">
        <v>229</v>
      </c>
      <c r="C14" s="93">
        <v>2</v>
      </c>
      <c r="D14" s="93">
        <v>75</v>
      </c>
      <c r="E14" s="93">
        <v>5</v>
      </c>
      <c r="F14" s="93">
        <v>0.5</v>
      </c>
      <c r="G14" s="93">
        <f t="shared" si="0"/>
        <v>375</v>
      </c>
      <c r="H14" s="96">
        <f t="shared" si="1"/>
        <v>0.375</v>
      </c>
      <c r="I14" s="91"/>
    </row>
    <row r="15" spans="1:9" ht="14.25" customHeight="1" x14ac:dyDescent="0.15">
      <c r="A15" s="183"/>
      <c r="B15" s="93" t="s">
        <v>199</v>
      </c>
      <c r="C15" s="93">
        <v>2</v>
      </c>
      <c r="D15" s="93">
        <f>Room_01!$G$7</f>
        <v>75</v>
      </c>
      <c r="E15" s="93">
        <v>5</v>
      </c>
      <c r="F15" s="93">
        <v>0.5</v>
      </c>
      <c r="G15" s="93">
        <f t="shared" si="0"/>
        <v>375</v>
      </c>
      <c r="H15" s="96">
        <f t="shared" si="1"/>
        <v>0.375</v>
      </c>
      <c r="I15" s="91"/>
    </row>
    <row r="16" spans="1:9" ht="14.25" customHeight="1" x14ac:dyDescent="0.15">
      <c r="A16" s="184"/>
      <c r="B16" s="93" t="s">
        <v>196</v>
      </c>
      <c r="C16" s="93">
        <v>1</v>
      </c>
      <c r="D16" s="93">
        <f>Room_01!$G$7</f>
        <v>75</v>
      </c>
      <c r="E16" s="93">
        <v>5</v>
      </c>
      <c r="F16" s="93">
        <v>0.5</v>
      </c>
      <c r="G16" s="93">
        <f t="shared" si="0"/>
        <v>187.5</v>
      </c>
      <c r="H16" s="96">
        <f t="shared" si="1"/>
        <v>0.1875</v>
      </c>
      <c r="I16" s="91"/>
    </row>
    <row r="17" spans="1:9" ht="14.25" customHeight="1" x14ac:dyDescent="0.15">
      <c r="A17" s="182" t="s">
        <v>167</v>
      </c>
      <c r="B17" s="93" t="s">
        <v>228</v>
      </c>
      <c r="C17" s="93">
        <v>5</v>
      </c>
      <c r="D17" s="93">
        <f>Room_01!$G$7</f>
        <v>75</v>
      </c>
      <c r="E17" s="93">
        <v>5</v>
      </c>
      <c r="F17" s="93">
        <v>0.5</v>
      </c>
      <c r="G17" s="93">
        <f t="shared" si="0"/>
        <v>937.5</v>
      </c>
      <c r="H17" s="96">
        <f t="shared" si="1"/>
        <v>0.9375</v>
      </c>
      <c r="I17" s="91"/>
    </row>
    <row r="18" spans="1:9" ht="14.25" customHeight="1" x14ac:dyDescent="0.15">
      <c r="A18" s="183"/>
      <c r="B18" s="93" t="s">
        <v>294</v>
      </c>
      <c r="C18" s="93">
        <v>60</v>
      </c>
      <c r="D18" s="93">
        <v>1</v>
      </c>
      <c r="E18" s="93">
        <v>5</v>
      </c>
      <c r="F18" s="93">
        <v>0.5</v>
      </c>
      <c r="G18" s="93">
        <f t="shared" si="0"/>
        <v>150</v>
      </c>
      <c r="H18" s="96">
        <f t="shared" si="1"/>
        <v>0.15</v>
      </c>
      <c r="I18" s="91"/>
    </row>
    <row r="19" spans="1:9" ht="14.25" customHeight="1" x14ac:dyDescent="0.15">
      <c r="A19" s="183"/>
      <c r="B19" s="93" t="s">
        <v>296</v>
      </c>
      <c r="C19" s="93">
        <v>150</v>
      </c>
      <c r="D19" s="93">
        <v>1</v>
      </c>
      <c r="E19" s="93">
        <v>5</v>
      </c>
      <c r="F19" s="93">
        <v>0.5</v>
      </c>
      <c r="G19" s="93">
        <f t="shared" si="0"/>
        <v>375</v>
      </c>
      <c r="H19" s="96">
        <f t="shared" si="1"/>
        <v>0.375</v>
      </c>
      <c r="I19" s="91"/>
    </row>
    <row r="20" spans="1:9" ht="14.25" customHeight="1" x14ac:dyDescent="0.15">
      <c r="A20" s="183"/>
      <c r="B20" s="93" t="s">
        <v>229</v>
      </c>
      <c r="C20" s="93">
        <v>2</v>
      </c>
      <c r="D20" s="93">
        <v>75</v>
      </c>
      <c r="E20" s="93">
        <v>5</v>
      </c>
      <c r="F20" s="93">
        <v>0.5</v>
      </c>
      <c r="G20" s="93">
        <f t="shared" si="0"/>
        <v>375</v>
      </c>
      <c r="H20" s="96">
        <f t="shared" si="1"/>
        <v>0.375</v>
      </c>
      <c r="I20" s="91"/>
    </row>
    <row r="21" spans="1:9" ht="14.25" customHeight="1" x14ac:dyDescent="0.15">
      <c r="A21" s="183"/>
      <c r="B21" s="93" t="s">
        <v>199</v>
      </c>
      <c r="C21" s="93">
        <v>2</v>
      </c>
      <c r="D21" s="93">
        <f>Room_01!$G$7</f>
        <v>75</v>
      </c>
      <c r="E21" s="93">
        <v>5</v>
      </c>
      <c r="F21" s="93">
        <v>0.5</v>
      </c>
      <c r="G21" s="93">
        <f t="shared" si="0"/>
        <v>375</v>
      </c>
      <c r="H21" s="96">
        <f t="shared" si="1"/>
        <v>0.375</v>
      </c>
      <c r="I21" s="91"/>
    </row>
    <row r="22" spans="1:9" ht="14.25" customHeight="1" x14ac:dyDescent="0.15">
      <c r="A22" s="184"/>
      <c r="B22" s="93" t="s">
        <v>196</v>
      </c>
      <c r="C22" s="93">
        <v>1</v>
      </c>
      <c r="D22" s="93">
        <f>Room_01!$G$7</f>
        <v>75</v>
      </c>
      <c r="E22" s="93">
        <v>5</v>
      </c>
      <c r="F22" s="93">
        <v>0.5</v>
      </c>
      <c r="G22" s="93">
        <f t="shared" si="0"/>
        <v>187.5</v>
      </c>
      <c r="H22" s="96">
        <f t="shared" si="1"/>
        <v>0.1875</v>
      </c>
      <c r="I22" s="91"/>
    </row>
    <row r="23" spans="1:9" ht="14.25" customHeight="1" x14ac:dyDescent="0.15">
      <c r="A23" s="182" t="s">
        <v>168</v>
      </c>
      <c r="B23" s="93" t="s">
        <v>228</v>
      </c>
      <c r="C23" s="93">
        <v>5</v>
      </c>
      <c r="D23" s="93">
        <f>Room_01!$G$10</f>
        <v>75</v>
      </c>
      <c r="E23" s="93">
        <v>5</v>
      </c>
      <c r="F23" s="93">
        <v>0.5</v>
      </c>
      <c r="G23" s="93">
        <f t="shared" si="0"/>
        <v>937.5</v>
      </c>
      <c r="H23" s="96">
        <f t="shared" si="1"/>
        <v>0.9375</v>
      </c>
      <c r="I23" s="91"/>
    </row>
    <row r="24" spans="1:9" ht="14.25" customHeight="1" x14ac:dyDescent="0.15">
      <c r="A24" s="183"/>
      <c r="B24" s="93" t="s">
        <v>294</v>
      </c>
      <c r="C24" s="93">
        <v>60</v>
      </c>
      <c r="D24" s="93">
        <v>20</v>
      </c>
      <c r="E24" s="93">
        <v>5</v>
      </c>
      <c r="F24" s="93">
        <v>0.5</v>
      </c>
      <c r="G24" s="93">
        <f t="shared" si="0"/>
        <v>3000</v>
      </c>
      <c r="H24" s="96">
        <f t="shared" si="1"/>
        <v>3</v>
      </c>
      <c r="I24" s="91"/>
    </row>
    <row r="25" spans="1:9" ht="14.25" customHeight="1" x14ac:dyDescent="0.15">
      <c r="A25" s="183"/>
      <c r="B25" s="93" t="s">
        <v>296</v>
      </c>
      <c r="C25" s="93">
        <v>150</v>
      </c>
      <c r="D25" s="93">
        <v>1</v>
      </c>
      <c r="E25" s="93">
        <v>5</v>
      </c>
      <c r="F25" s="93">
        <v>0.5</v>
      </c>
      <c r="G25" s="93">
        <f t="shared" si="0"/>
        <v>375</v>
      </c>
      <c r="H25" s="96">
        <f t="shared" si="1"/>
        <v>0.375</v>
      </c>
      <c r="I25" s="91"/>
    </row>
    <row r="26" spans="1:9" ht="14.25" customHeight="1" x14ac:dyDescent="0.15">
      <c r="A26" s="183"/>
      <c r="B26" s="93" t="s">
        <v>229</v>
      </c>
      <c r="C26" s="93">
        <v>2</v>
      </c>
      <c r="D26" s="93">
        <f>Room_01!$G$10</f>
        <v>75</v>
      </c>
      <c r="E26" s="93">
        <v>5</v>
      </c>
      <c r="F26" s="93">
        <v>0.5</v>
      </c>
      <c r="G26" s="93">
        <f t="shared" si="0"/>
        <v>375</v>
      </c>
      <c r="H26" s="96">
        <f t="shared" si="1"/>
        <v>0.375</v>
      </c>
      <c r="I26" s="91"/>
    </row>
    <row r="27" spans="1:9" ht="14.25" customHeight="1" x14ac:dyDescent="0.15">
      <c r="A27" s="183"/>
      <c r="B27" s="93" t="s">
        <v>200</v>
      </c>
      <c r="C27" s="93">
        <v>5</v>
      </c>
      <c r="D27" s="93">
        <f>Room_01!$G$10</f>
        <v>75</v>
      </c>
      <c r="E27" s="93">
        <v>5</v>
      </c>
      <c r="F27" s="93">
        <v>0.5</v>
      </c>
      <c r="G27" s="93">
        <f t="shared" si="0"/>
        <v>937.5</v>
      </c>
      <c r="H27" s="96">
        <f t="shared" si="1"/>
        <v>0.9375</v>
      </c>
      <c r="I27" s="91"/>
    </row>
    <row r="28" spans="1:9" ht="14.25" customHeight="1" x14ac:dyDescent="0.15">
      <c r="A28" s="184"/>
      <c r="B28" s="93" t="s">
        <v>196</v>
      </c>
      <c r="C28" s="93">
        <v>1</v>
      </c>
      <c r="D28" s="93">
        <f>Room_01!$G$10</f>
        <v>75</v>
      </c>
      <c r="E28" s="93">
        <v>5</v>
      </c>
      <c r="F28" s="93">
        <v>0.5</v>
      </c>
      <c r="G28" s="93">
        <f t="shared" si="0"/>
        <v>187.5</v>
      </c>
      <c r="H28" s="96">
        <f t="shared" si="1"/>
        <v>0.1875</v>
      </c>
      <c r="I28" s="91"/>
    </row>
    <row r="29" spans="1:9" ht="14.25" customHeight="1" x14ac:dyDescent="0.15">
      <c r="A29" s="182" t="s">
        <v>168</v>
      </c>
      <c r="B29" s="93" t="s">
        <v>228</v>
      </c>
      <c r="C29" s="93">
        <v>5</v>
      </c>
      <c r="D29" s="93">
        <f>Room_01!$G$10</f>
        <v>75</v>
      </c>
      <c r="E29" s="93">
        <v>5</v>
      </c>
      <c r="F29" s="93">
        <v>0.5</v>
      </c>
      <c r="G29" s="93">
        <f t="shared" si="0"/>
        <v>937.5</v>
      </c>
      <c r="H29" s="96">
        <f t="shared" si="1"/>
        <v>0.9375</v>
      </c>
      <c r="I29" s="91"/>
    </row>
    <row r="30" spans="1:9" ht="14.25" customHeight="1" x14ac:dyDescent="0.15">
      <c r="A30" s="183"/>
      <c r="B30" s="93" t="s">
        <v>294</v>
      </c>
      <c r="C30" s="93">
        <v>60</v>
      </c>
      <c r="D30" s="93">
        <v>20</v>
      </c>
      <c r="E30" s="93">
        <v>5</v>
      </c>
      <c r="F30" s="93">
        <v>0.5</v>
      </c>
      <c r="G30" s="93">
        <f t="shared" si="0"/>
        <v>3000</v>
      </c>
      <c r="H30" s="96">
        <f t="shared" si="1"/>
        <v>3</v>
      </c>
      <c r="I30" s="91"/>
    </row>
    <row r="31" spans="1:9" ht="14.25" customHeight="1" x14ac:dyDescent="0.15">
      <c r="A31" s="183"/>
      <c r="B31" s="93" t="s">
        <v>296</v>
      </c>
      <c r="C31" s="93">
        <v>150</v>
      </c>
      <c r="D31" s="93">
        <v>1</v>
      </c>
      <c r="E31" s="93">
        <v>5</v>
      </c>
      <c r="F31" s="93">
        <v>0.5</v>
      </c>
      <c r="G31" s="93">
        <f t="shared" si="0"/>
        <v>375</v>
      </c>
      <c r="H31" s="96">
        <f t="shared" si="1"/>
        <v>0.375</v>
      </c>
      <c r="I31" s="91"/>
    </row>
    <row r="32" spans="1:9" ht="14.25" customHeight="1" x14ac:dyDescent="0.15">
      <c r="A32" s="183"/>
      <c r="B32" s="93" t="s">
        <v>229</v>
      </c>
      <c r="C32" s="93">
        <v>2</v>
      </c>
      <c r="D32" s="93">
        <v>75</v>
      </c>
      <c r="E32" s="93">
        <v>5</v>
      </c>
      <c r="F32" s="93">
        <v>0.5</v>
      </c>
      <c r="G32" s="93">
        <f t="shared" si="0"/>
        <v>375</v>
      </c>
      <c r="H32" s="96">
        <f t="shared" si="1"/>
        <v>0.375</v>
      </c>
      <c r="I32" s="91"/>
    </row>
    <row r="33" spans="1:9" ht="14.25" customHeight="1" x14ac:dyDescent="0.15">
      <c r="A33" s="183"/>
      <c r="B33" s="93" t="s">
        <v>200</v>
      </c>
      <c r="C33" s="93">
        <v>5</v>
      </c>
      <c r="D33" s="93">
        <f>Room_01!$G$10</f>
        <v>75</v>
      </c>
      <c r="E33" s="93">
        <v>5</v>
      </c>
      <c r="F33" s="93">
        <v>0.5</v>
      </c>
      <c r="G33" s="93">
        <f t="shared" si="0"/>
        <v>937.5</v>
      </c>
      <c r="H33" s="96">
        <f t="shared" si="1"/>
        <v>0.9375</v>
      </c>
      <c r="I33" s="91"/>
    </row>
    <row r="34" spans="1:9" ht="14.25" customHeight="1" x14ac:dyDescent="0.15">
      <c r="A34" s="184"/>
      <c r="B34" s="93" t="s">
        <v>196</v>
      </c>
      <c r="C34" s="93">
        <v>1</v>
      </c>
      <c r="D34" s="93">
        <f>Room_01!$G$10</f>
        <v>75</v>
      </c>
      <c r="E34" s="93">
        <v>5</v>
      </c>
      <c r="F34" s="93">
        <v>0.5</v>
      </c>
      <c r="G34" s="93">
        <f t="shared" si="0"/>
        <v>187.5</v>
      </c>
      <c r="H34" s="96">
        <f t="shared" si="1"/>
        <v>0.1875</v>
      </c>
      <c r="I34" s="91"/>
    </row>
    <row r="35" spans="1:9" ht="14.25" customHeight="1" x14ac:dyDescent="0.15">
      <c r="A35" s="182" t="s">
        <v>201</v>
      </c>
      <c r="B35" s="93" t="s">
        <v>228</v>
      </c>
      <c r="C35" s="93">
        <v>5</v>
      </c>
      <c r="D35" s="93">
        <f>Room_01!$G$14</f>
        <v>143.13881527918494</v>
      </c>
      <c r="E35" s="93">
        <v>3</v>
      </c>
      <c r="F35" s="93">
        <v>0.5</v>
      </c>
      <c r="G35" s="93">
        <f t="shared" si="0"/>
        <v>1073.541114593887</v>
      </c>
      <c r="H35" s="96">
        <f t="shared" si="1"/>
        <v>1.0735411145938869</v>
      </c>
      <c r="I35" s="91"/>
    </row>
    <row r="36" spans="1:9" ht="14.25" customHeight="1" x14ac:dyDescent="0.15">
      <c r="A36" s="183"/>
      <c r="B36" s="93" t="s">
        <v>297</v>
      </c>
      <c r="C36" s="93">
        <v>150</v>
      </c>
      <c r="D36" s="93">
        <v>1</v>
      </c>
      <c r="E36" s="93">
        <v>3</v>
      </c>
      <c r="F36" s="93">
        <v>0.5</v>
      </c>
      <c r="G36" s="93">
        <f t="shared" si="0"/>
        <v>225</v>
      </c>
      <c r="H36" s="96">
        <f t="shared" si="1"/>
        <v>0.22500000000000001</v>
      </c>
      <c r="I36" s="91"/>
    </row>
    <row r="37" spans="1:9" ht="14.25" customHeight="1" x14ac:dyDescent="0.15">
      <c r="A37" s="183"/>
      <c r="B37" s="93" t="s">
        <v>202</v>
      </c>
      <c r="C37" s="93">
        <v>1000</v>
      </c>
      <c r="D37" s="93">
        <v>1</v>
      </c>
      <c r="E37" s="93">
        <v>3</v>
      </c>
      <c r="F37" s="93">
        <v>0.5</v>
      </c>
      <c r="G37" s="93">
        <f t="shared" si="0"/>
        <v>1500</v>
      </c>
      <c r="H37" s="96">
        <f t="shared" si="1"/>
        <v>1.5</v>
      </c>
      <c r="I37" s="91"/>
    </row>
    <row r="38" spans="1:9" ht="14.25" customHeight="1" x14ac:dyDescent="0.15">
      <c r="A38" s="183"/>
      <c r="B38" s="93" t="s">
        <v>229</v>
      </c>
      <c r="C38" s="93">
        <v>2</v>
      </c>
      <c r="D38" s="93">
        <f>Room_01!$G$14</f>
        <v>143.13881527918494</v>
      </c>
      <c r="E38" s="93">
        <v>3</v>
      </c>
      <c r="F38" s="93">
        <v>0.5</v>
      </c>
      <c r="G38" s="93">
        <f t="shared" si="0"/>
        <v>429.41644583755482</v>
      </c>
      <c r="H38" s="96">
        <f t="shared" si="1"/>
        <v>0.42941644583755484</v>
      </c>
      <c r="I38" s="91"/>
    </row>
    <row r="39" spans="1:9" ht="14.25" customHeight="1" x14ac:dyDescent="0.15">
      <c r="A39" s="183"/>
      <c r="B39" s="93" t="s">
        <v>203</v>
      </c>
      <c r="C39" s="93">
        <v>5</v>
      </c>
      <c r="D39" s="93">
        <f>Room_01!$G$14</f>
        <v>143.13881527918494</v>
      </c>
      <c r="E39" s="93">
        <v>3</v>
      </c>
      <c r="F39" s="93">
        <v>0.5</v>
      </c>
      <c r="G39" s="93">
        <f t="shared" si="0"/>
        <v>1073.541114593887</v>
      </c>
      <c r="H39" s="96">
        <f t="shared" si="1"/>
        <v>1.0735411145938869</v>
      </c>
      <c r="I39" s="91"/>
    </row>
    <row r="40" spans="1:9" ht="14.25" customHeight="1" x14ac:dyDescent="0.15">
      <c r="A40" s="184"/>
      <c r="B40" s="93" t="s">
        <v>196</v>
      </c>
      <c r="C40" s="93">
        <v>1</v>
      </c>
      <c r="D40" s="93">
        <f>Room_01!$G$14</f>
        <v>143.13881527918494</v>
      </c>
      <c r="E40" s="93">
        <v>3</v>
      </c>
      <c r="F40" s="93">
        <v>0.5</v>
      </c>
      <c r="G40" s="93">
        <f t="shared" si="0"/>
        <v>214.70822291877741</v>
      </c>
      <c r="H40" s="96">
        <f t="shared" si="1"/>
        <v>0.21470822291877742</v>
      </c>
      <c r="I40" s="91"/>
    </row>
    <row r="41" spans="1:9" ht="14.25" customHeight="1" x14ac:dyDescent="0.15">
      <c r="A41" s="182" t="s">
        <v>169</v>
      </c>
      <c r="B41" s="93" t="s">
        <v>228</v>
      </c>
      <c r="C41" s="93">
        <v>5</v>
      </c>
      <c r="D41" s="93">
        <f>Room_01!$G$15</f>
        <v>63.355451847394171</v>
      </c>
      <c r="E41" s="93">
        <v>5</v>
      </c>
      <c r="F41" s="93">
        <v>0.5</v>
      </c>
      <c r="G41" s="93">
        <f t="shared" si="0"/>
        <v>791.94314809242712</v>
      </c>
      <c r="H41" s="96">
        <f t="shared" si="1"/>
        <v>0.79194314809242716</v>
      </c>
      <c r="I41" s="91"/>
    </row>
    <row r="42" spans="1:9" ht="14.25" customHeight="1" x14ac:dyDescent="0.15">
      <c r="A42" s="183"/>
      <c r="B42" s="93" t="s">
        <v>294</v>
      </c>
      <c r="C42" s="93">
        <v>60</v>
      </c>
      <c r="D42" s="93">
        <v>1</v>
      </c>
      <c r="E42" s="93">
        <v>5</v>
      </c>
      <c r="F42" s="93">
        <v>0.5</v>
      </c>
      <c r="G42" s="93">
        <f t="shared" si="0"/>
        <v>150</v>
      </c>
      <c r="H42" s="96">
        <f t="shared" si="1"/>
        <v>0.15</v>
      </c>
      <c r="I42" s="91"/>
    </row>
    <row r="43" spans="1:9" ht="14.25" customHeight="1" x14ac:dyDescent="0.15">
      <c r="A43" s="183"/>
      <c r="B43" s="93" t="s">
        <v>296</v>
      </c>
      <c r="C43" s="93">
        <v>150</v>
      </c>
      <c r="D43" s="93">
        <v>1</v>
      </c>
      <c r="E43" s="93">
        <v>5</v>
      </c>
      <c r="F43" s="93">
        <v>0.5</v>
      </c>
      <c r="G43" s="93">
        <f t="shared" si="0"/>
        <v>375</v>
      </c>
      <c r="H43" s="96">
        <f t="shared" si="1"/>
        <v>0.375</v>
      </c>
      <c r="I43" s="91"/>
    </row>
    <row r="44" spans="1:9" ht="14.25" customHeight="1" x14ac:dyDescent="0.15">
      <c r="A44" s="183"/>
      <c r="B44" s="97" t="s">
        <v>292</v>
      </c>
      <c r="C44" s="93">
        <v>2</v>
      </c>
      <c r="D44" s="93">
        <f>Room_01!$G$15</f>
        <v>63.355451847394171</v>
      </c>
      <c r="E44" s="93">
        <v>5</v>
      </c>
      <c r="F44" s="93">
        <v>0.5</v>
      </c>
      <c r="G44" s="93">
        <f t="shared" si="0"/>
        <v>316.77725923697085</v>
      </c>
      <c r="H44" s="96">
        <f t="shared" si="1"/>
        <v>0.31677725923697087</v>
      </c>
      <c r="I44" s="91"/>
    </row>
    <row r="45" spans="1:9" ht="14.25" customHeight="1" x14ac:dyDescent="0.15">
      <c r="A45" s="183"/>
      <c r="B45" s="93" t="s">
        <v>199</v>
      </c>
      <c r="C45" s="93">
        <v>2</v>
      </c>
      <c r="D45" s="93">
        <f>Room_01!$G$15</f>
        <v>63.355451847394171</v>
      </c>
      <c r="E45" s="93">
        <v>5</v>
      </c>
      <c r="F45" s="93">
        <v>0.5</v>
      </c>
      <c r="G45" s="93">
        <f t="shared" si="0"/>
        <v>316.77725923697085</v>
      </c>
      <c r="H45" s="96">
        <f t="shared" si="1"/>
        <v>0.31677725923697087</v>
      </c>
      <c r="I45" s="91"/>
    </row>
    <row r="46" spans="1:9" ht="14.25" customHeight="1" x14ac:dyDescent="0.15">
      <c r="A46" s="184"/>
      <c r="B46" s="93" t="s">
        <v>196</v>
      </c>
      <c r="C46" s="93">
        <v>1</v>
      </c>
      <c r="D46" s="93">
        <f>Room_01!$G$15</f>
        <v>63.355451847394171</v>
      </c>
      <c r="E46" s="93">
        <v>5</v>
      </c>
      <c r="F46" s="93">
        <v>0.5</v>
      </c>
      <c r="G46" s="93">
        <f t="shared" si="0"/>
        <v>158.38862961848542</v>
      </c>
      <c r="H46" s="96">
        <f t="shared" si="1"/>
        <v>0.15838862961848543</v>
      </c>
      <c r="I46" s="91"/>
    </row>
    <row r="47" spans="1:9" ht="14.25" customHeight="1" x14ac:dyDescent="0.15">
      <c r="A47" s="182" t="s">
        <v>169</v>
      </c>
      <c r="B47" s="93" t="s">
        <v>228</v>
      </c>
      <c r="C47" s="93">
        <v>5</v>
      </c>
      <c r="D47" s="93">
        <f>Room_01!$G$15</f>
        <v>63.355451847394171</v>
      </c>
      <c r="E47" s="93">
        <v>5</v>
      </c>
      <c r="F47" s="93">
        <v>0.5</v>
      </c>
      <c r="G47" s="93">
        <f t="shared" si="0"/>
        <v>791.94314809242712</v>
      </c>
      <c r="H47" s="96">
        <f t="shared" si="1"/>
        <v>0.79194314809242716</v>
      </c>
      <c r="I47" s="91"/>
    </row>
    <row r="48" spans="1:9" ht="14.25" customHeight="1" x14ac:dyDescent="0.15">
      <c r="A48" s="183"/>
      <c r="B48" s="93" t="s">
        <v>294</v>
      </c>
      <c r="C48" s="93">
        <v>60</v>
      </c>
      <c r="D48" s="93">
        <v>1</v>
      </c>
      <c r="E48" s="93">
        <v>5</v>
      </c>
      <c r="F48" s="93">
        <v>0.5</v>
      </c>
      <c r="G48" s="93">
        <f t="shared" si="0"/>
        <v>150</v>
      </c>
      <c r="H48" s="96">
        <f t="shared" si="1"/>
        <v>0.15</v>
      </c>
      <c r="I48" s="91"/>
    </row>
    <row r="49" spans="1:9" ht="14.25" customHeight="1" x14ac:dyDescent="0.15">
      <c r="A49" s="183"/>
      <c r="B49" s="93" t="s">
        <v>296</v>
      </c>
      <c r="C49" s="93">
        <v>150</v>
      </c>
      <c r="D49" s="93">
        <v>1</v>
      </c>
      <c r="E49" s="93">
        <v>5</v>
      </c>
      <c r="F49" s="93">
        <v>0.5</v>
      </c>
      <c r="G49" s="93">
        <f t="shared" si="0"/>
        <v>375</v>
      </c>
      <c r="H49" s="96">
        <f t="shared" si="1"/>
        <v>0.375</v>
      </c>
      <c r="I49" s="91"/>
    </row>
    <row r="50" spans="1:9" ht="14.25" customHeight="1" x14ac:dyDescent="0.15">
      <c r="A50" s="183"/>
      <c r="B50" s="93" t="s">
        <v>229</v>
      </c>
      <c r="C50" s="93">
        <v>2</v>
      </c>
      <c r="D50" s="102">
        <v>63.36</v>
      </c>
      <c r="E50" s="93">
        <v>5</v>
      </c>
      <c r="F50" s="93">
        <v>0.5</v>
      </c>
      <c r="G50" s="93">
        <f t="shared" si="0"/>
        <v>316.8</v>
      </c>
      <c r="H50" s="96">
        <f t="shared" si="1"/>
        <v>0.31680000000000003</v>
      </c>
      <c r="I50" s="91"/>
    </row>
    <row r="51" spans="1:9" ht="14.25" customHeight="1" x14ac:dyDescent="0.15">
      <c r="A51" s="183"/>
      <c r="B51" s="93" t="s">
        <v>199</v>
      </c>
      <c r="C51" s="93">
        <v>2</v>
      </c>
      <c r="D51" s="93">
        <f>Room_01!$G$15</f>
        <v>63.355451847394171</v>
      </c>
      <c r="E51" s="93">
        <v>5</v>
      </c>
      <c r="F51" s="93">
        <v>0.5</v>
      </c>
      <c r="G51" s="93">
        <f t="shared" si="0"/>
        <v>316.77725923697085</v>
      </c>
      <c r="H51" s="96">
        <f t="shared" si="1"/>
        <v>0.31677725923697087</v>
      </c>
      <c r="I51" s="91"/>
    </row>
    <row r="52" spans="1:9" ht="14.25" customHeight="1" x14ac:dyDescent="0.15">
      <c r="A52" s="184"/>
      <c r="B52" s="93" t="s">
        <v>196</v>
      </c>
      <c r="C52" s="93">
        <v>1</v>
      </c>
      <c r="D52" s="93">
        <f>Room_01!$G$15</f>
        <v>63.355451847394171</v>
      </c>
      <c r="E52" s="93">
        <v>5</v>
      </c>
      <c r="F52" s="93">
        <v>0.5</v>
      </c>
      <c r="G52" s="93">
        <f t="shared" si="0"/>
        <v>158.38862961848542</v>
      </c>
      <c r="H52" s="96">
        <f t="shared" si="1"/>
        <v>0.15838862961848543</v>
      </c>
      <c r="I52" s="91"/>
    </row>
    <row r="53" spans="1:9" ht="14.25" customHeight="1" x14ac:dyDescent="0.15">
      <c r="A53" s="182" t="s">
        <v>169</v>
      </c>
      <c r="B53" s="93" t="s">
        <v>228</v>
      </c>
      <c r="C53" s="93">
        <v>5</v>
      </c>
      <c r="D53" s="93">
        <f>Room_01!$G$15</f>
        <v>63.355451847394171</v>
      </c>
      <c r="E53" s="93">
        <v>5</v>
      </c>
      <c r="F53" s="93">
        <v>0.5</v>
      </c>
      <c r="G53" s="93">
        <f t="shared" si="0"/>
        <v>791.94314809242712</v>
      </c>
      <c r="H53" s="96">
        <f t="shared" si="1"/>
        <v>0.79194314809242716</v>
      </c>
      <c r="I53" s="91"/>
    </row>
    <row r="54" spans="1:9" ht="14.25" customHeight="1" x14ac:dyDescent="0.15">
      <c r="A54" s="183"/>
      <c r="B54" s="93" t="s">
        <v>294</v>
      </c>
      <c r="C54" s="93">
        <v>60</v>
      </c>
      <c r="D54" s="93">
        <v>1</v>
      </c>
      <c r="E54" s="93">
        <v>5</v>
      </c>
      <c r="F54" s="93">
        <v>0.5</v>
      </c>
      <c r="G54" s="93">
        <f t="shared" si="0"/>
        <v>150</v>
      </c>
      <c r="H54" s="96">
        <f t="shared" si="1"/>
        <v>0.15</v>
      </c>
      <c r="I54" s="91"/>
    </row>
    <row r="55" spans="1:9" ht="14.25" customHeight="1" x14ac:dyDescent="0.15">
      <c r="A55" s="183"/>
      <c r="B55" s="93" t="s">
        <v>296</v>
      </c>
      <c r="C55" s="93">
        <v>150</v>
      </c>
      <c r="D55" s="93">
        <v>1</v>
      </c>
      <c r="E55" s="93">
        <v>5</v>
      </c>
      <c r="F55" s="93">
        <v>0.5</v>
      </c>
      <c r="G55" s="93">
        <f t="shared" si="0"/>
        <v>375</v>
      </c>
      <c r="H55" s="96">
        <f t="shared" si="1"/>
        <v>0.375</v>
      </c>
      <c r="I55" s="91"/>
    </row>
    <row r="56" spans="1:9" ht="14.25" customHeight="1" x14ac:dyDescent="0.15">
      <c r="A56" s="183"/>
      <c r="B56" s="93" t="s">
        <v>229</v>
      </c>
      <c r="C56" s="93">
        <v>2</v>
      </c>
      <c r="D56" s="102">
        <v>63.36</v>
      </c>
      <c r="E56" s="93">
        <v>5</v>
      </c>
      <c r="F56" s="93">
        <v>0.5</v>
      </c>
      <c r="G56" s="93">
        <f t="shared" si="0"/>
        <v>316.8</v>
      </c>
      <c r="H56" s="96">
        <f t="shared" si="1"/>
        <v>0.31680000000000003</v>
      </c>
      <c r="I56" s="91"/>
    </row>
    <row r="57" spans="1:9" ht="14.25" customHeight="1" x14ac:dyDescent="0.15">
      <c r="A57" s="183"/>
      <c r="B57" s="93" t="s">
        <v>199</v>
      </c>
      <c r="C57" s="93">
        <v>2</v>
      </c>
      <c r="D57" s="93">
        <f>Room_01!$G$15</f>
        <v>63.355451847394171</v>
      </c>
      <c r="E57" s="93">
        <v>5</v>
      </c>
      <c r="F57" s="93">
        <v>0.5</v>
      </c>
      <c r="G57" s="93">
        <f t="shared" si="0"/>
        <v>316.77725923697085</v>
      </c>
      <c r="H57" s="96">
        <f t="shared" si="1"/>
        <v>0.31677725923697087</v>
      </c>
      <c r="I57" s="91"/>
    </row>
    <row r="58" spans="1:9" ht="14.25" customHeight="1" x14ac:dyDescent="0.15">
      <c r="A58" s="184"/>
      <c r="B58" s="93" t="s">
        <v>196</v>
      </c>
      <c r="C58" s="93">
        <v>1</v>
      </c>
      <c r="D58" s="93">
        <f>Room_01!$G$15</f>
        <v>63.355451847394171</v>
      </c>
      <c r="E58" s="93">
        <v>5</v>
      </c>
      <c r="F58" s="93">
        <v>0.5</v>
      </c>
      <c r="G58" s="93">
        <f t="shared" si="0"/>
        <v>158.38862961848542</v>
      </c>
      <c r="H58" s="96">
        <f t="shared" si="1"/>
        <v>0.15838862961848543</v>
      </c>
      <c r="I58" s="91"/>
    </row>
    <row r="59" spans="1:9" ht="14.25" customHeight="1" x14ac:dyDescent="0.15">
      <c r="A59" s="182" t="s">
        <v>169</v>
      </c>
      <c r="B59" s="93" t="s">
        <v>228</v>
      </c>
      <c r="C59" s="93">
        <v>5</v>
      </c>
      <c r="D59" s="93">
        <f>Room_01!$G$15</f>
        <v>63.355451847394171</v>
      </c>
      <c r="E59" s="93">
        <v>5</v>
      </c>
      <c r="F59" s="93">
        <v>0.5</v>
      </c>
      <c r="G59" s="93">
        <f t="shared" si="0"/>
        <v>791.94314809242712</v>
      </c>
      <c r="H59" s="96">
        <f t="shared" si="1"/>
        <v>0.79194314809242716</v>
      </c>
      <c r="I59" s="91"/>
    </row>
    <row r="60" spans="1:9" ht="14.25" customHeight="1" x14ac:dyDescent="0.15">
      <c r="A60" s="183"/>
      <c r="B60" s="93" t="s">
        <v>294</v>
      </c>
      <c r="C60" s="93">
        <v>60</v>
      </c>
      <c r="D60" s="93">
        <v>1</v>
      </c>
      <c r="E60" s="93">
        <v>5</v>
      </c>
      <c r="F60" s="93">
        <v>0.5</v>
      </c>
      <c r="G60" s="93">
        <f t="shared" si="0"/>
        <v>150</v>
      </c>
      <c r="H60" s="96">
        <f t="shared" si="1"/>
        <v>0.15</v>
      </c>
      <c r="I60" s="91"/>
    </row>
    <row r="61" spans="1:9" ht="14.25" customHeight="1" x14ac:dyDescent="0.15">
      <c r="A61" s="183"/>
      <c r="B61" s="93" t="s">
        <v>296</v>
      </c>
      <c r="C61" s="93">
        <v>150</v>
      </c>
      <c r="D61" s="93">
        <v>1</v>
      </c>
      <c r="E61" s="93">
        <v>5</v>
      </c>
      <c r="F61" s="93">
        <v>0.5</v>
      </c>
      <c r="G61" s="93">
        <f t="shared" si="0"/>
        <v>375</v>
      </c>
      <c r="H61" s="96">
        <f t="shared" si="1"/>
        <v>0.375</v>
      </c>
      <c r="I61" s="91"/>
    </row>
    <row r="62" spans="1:9" ht="14.25" customHeight="1" x14ac:dyDescent="0.15">
      <c r="A62" s="183"/>
      <c r="B62" s="93" t="s">
        <v>229</v>
      </c>
      <c r="C62" s="93">
        <v>2</v>
      </c>
      <c r="D62" s="102">
        <v>63.36</v>
      </c>
      <c r="E62" s="93">
        <v>5</v>
      </c>
      <c r="F62" s="93">
        <v>0.5</v>
      </c>
      <c r="G62" s="93">
        <f t="shared" si="0"/>
        <v>316.8</v>
      </c>
      <c r="H62" s="96">
        <f t="shared" si="1"/>
        <v>0.31680000000000003</v>
      </c>
      <c r="I62" s="91"/>
    </row>
    <row r="63" spans="1:9" ht="14.25" customHeight="1" x14ac:dyDescent="0.15">
      <c r="A63" s="183"/>
      <c r="B63" s="93" t="s">
        <v>199</v>
      </c>
      <c r="C63" s="93">
        <v>2</v>
      </c>
      <c r="D63" s="93">
        <f>Room_01!$G$15</f>
        <v>63.355451847394171</v>
      </c>
      <c r="E63" s="93">
        <v>5</v>
      </c>
      <c r="F63" s="93">
        <v>0.5</v>
      </c>
      <c r="G63" s="93">
        <f t="shared" si="0"/>
        <v>316.77725923697085</v>
      </c>
      <c r="H63" s="96">
        <f t="shared" si="1"/>
        <v>0.31677725923697087</v>
      </c>
      <c r="I63" s="91"/>
    </row>
    <row r="64" spans="1:9" ht="14.25" customHeight="1" x14ac:dyDescent="0.15">
      <c r="A64" s="184"/>
      <c r="B64" s="93" t="s">
        <v>196</v>
      </c>
      <c r="C64" s="93">
        <v>1</v>
      </c>
      <c r="D64" s="93">
        <f>Room_01!$G$15</f>
        <v>63.355451847394171</v>
      </c>
      <c r="E64" s="93">
        <v>5</v>
      </c>
      <c r="F64" s="93">
        <v>0.5</v>
      </c>
      <c r="G64" s="93">
        <f t="shared" si="0"/>
        <v>158.38862961848542</v>
      </c>
      <c r="H64" s="96">
        <f t="shared" si="1"/>
        <v>0.15838862961848543</v>
      </c>
      <c r="I64" s="91"/>
    </row>
    <row r="65" spans="1:9" ht="14.25" customHeight="1" x14ac:dyDescent="0.15">
      <c r="A65" s="182" t="s">
        <v>169</v>
      </c>
      <c r="B65" s="93" t="s">
        <v>228</v>
      </c>
      <c r="C65" s="93">
        <v>5</v>
      </c>
      <c r="D65" s="93">
        <f>Room_01!$G$15</f>
        <v>63.355451847394171</v>
      </c>
      <c r="E65" s="93">
        <v>5</v>
      </c>
      <c r="F65" s="93">
        <v>0.5</v>
      </c>
      <c r="G65" s="93">
        <f t="shared" si="0"/>
        <v>791.94314809242712</v>
      </c>
      <c r="H65" s="96">
        <f t="shared" si="1"/>
        <v>0.79194314809242716</v>
      </c>
      <c r="I65" s="91"/>
    </row>
    <row r="66" spans="1:9" ht="14.25" customHeight="1" x14ac:dyDescent="0.15">
      <c r="A66" s="183"/>
      <c r="B66" s="93" t="s">
        <v>294</v>
      </c>
      <c r="C66" s="93">
        <v>60</v>
      </c>
      <c r="D66" s="93">
        <v>1</v>
      </c>
      <c r="E66" s="93">
        <v>5</v>
      </c>
      <c r="F66" s="93">
        <v>0.5</v>
      </c>
      <c r="G66" s="93">
        <f t="shared" si="0"/>
        <v>150</v>
      </c>
      <c r="H66" s="96">
        <f t="shared" si="1"/>
        <v>0.15</v>
      </c>
      <c r="I66" s="91"/>
    </row>
    <row r="67" spans="1:9" ht="14.25" customHeight="1" x14ac:dyDescent="0.15">
      <c r="A67" s="183"/>
      <c r="B67" s="93" t="s">
        <v>296</v>
      </c>
      <c r="C67" s="93">
        <v>150</v>
      </c>
      <c r="D67" s="93">
        <v>1</v>
      </c>
      <c r="E67" s="93">
        <v>5</v>
      </c>
      <c r="F67" s="93">
        <v>0.5</v>
      </c>
      <c r="G67" s="93">
        <f t="shared" si="0"/>
        <v>375</v>
      </c>
      <c r="H67" s="96">
        <f t="shared" si="1"/>
        <v>0.375</v>
      </c>
      <c r="I67" s="91"/>
    </row>
    <row r="68" spans="1:9" ht="14.25" customHeight="1" x14ac:dyDescent="0.15">
      <c r="A68" s="183"/>
      <c r="B68" s="93" t="s">
        <v>229</v>
      </c>
      <c r="C68" s="93">
        <v>2</v>
      </c>
      <c r="D68" s="102">
        <v>63.36</v>
      </c>
      <c r="E68" s="93">
        <v>5</v>
      </c>
      <c r="F68" s="93">
        <v>0.5</v>
      </c>
      <c r="G68" s="93">
        <f t="shared" si="0"/>
        <v>316.8</v>
      </c>
      <c r="H68" s="96">
        <f t="shared" si="1"/>
        <v>0.31680000000000003</v>
      </c>
      <c r="I68" s="91"/>
    </row>
    <row r="69" spans="1:9" ht="14.25" customHeight="1" x14ac:dyDescent="0.15">
      <c r="A69" s="183"/>
      <c r="B69" s="93" t="s">
        <v>199</v>
      </c>
      <c r="C69" s="93">
        <v>2</v>
      </c>
      <c r="D69" s="93">
        <f>Room_01!$G$15</f>
        <v>63.355451847394171</v>
      </c>
      <c r="E69" s="93">
        <v>5</v>
      </c>
      <c r="F69" s="93">
        <v>0.5</v>
      </c>
      <c r="G69" s="93">
        <f t="shared" ref="G69:G89" si="2">C69*D69*E69*F69</f>
        <v>316.77725923697085</v>
      </c>
      <c r="H69" s="96">
        <f t="shared" si="1"/>
        <v>0.31677725923697087</v>
      </c>
      <c r="I69" s="91"/>
    </row>
    <row r="70" spans="1:9" ht="14.25" customHeight="1" x14ac:dyDescent="0.15">
      <c r="A70" s="184"/>
      <c r="B70" s="93" t="s">
        <v>196</v>
      </c>
      <c r="C70" s="93">
        <v>1</v>
      </c>
      <c r="D70" s="93">
        <f>Room_01!$G$15</f>
        <v>63.355451847394171</v>
      </c>
      <c r="E70" s="93">
        <v>5</v>
      </c>
      <c r="F70" s="93">
        <v>0.5</v>
      </c>
      <c r="G70" s="93">
        <f t="shared" si="2"/>
        <v>158.38862961848542</v>
      </c>
      <c r="H70" s="96">
        <f t="shared" ref="H70:H89" si="3">G70/1000</f>
        <v>0.15838862961848543</v>
      </c>
      <c r="I70" s="91"/>
    </row>
    <row r="71" spans="1:9" ht="14.25" customHeight="1" x14ac:dyDescent="0.15">
      <c r="A71" s="182" t="s">
        <v>169</v>
      </c>
      <c r="B71" s="93" t="s">
        <v>228</v>
      </c>
      <c r="C71" s="93">
        <v>5</v>
      </c>
      <c r="D71" s="93">
        <f>Room_01!$G$15</f>
        <v>63.355451847394171</v>
      </c>
      <c r="E71" s="93">
        <v>5</v>
      </c>
      <c r="F71" s="93">
        <v>0.5</v>
      </c>
      <c r="G71" s="93">
        <f t="shared" si="2"/>
        <v>791.94314809242712</v>
      </c>
      <c r="H71" s="96">
        <f t="shared" si="3"/>
        <v>0.79194314809242716</v>
      </c>
      <c r="I71" s="91"/>
    </row>
    <row r="72" spans="1:9" ht="14.25" customHeight="1" x14ac:dyDescent="0.15">
      <c r="A72" s="183"/>
      <c r="B72" s="93" t="s">
        <v>294</v>
      </c>
      <c r="C72" s="93">
        <v>60</v>
      </c>
      <c r="D72" s="93">
        <v>1</v>
      </c>
      <c r="E72" s="93">
        <v>5</v>
      </c>
      <c r="F72" s="93">
        <v>0.5</v>
      </c>
      <c r="G72" s="93">
        <f t="shared" si="2"/>
        <v>150</v>
      </c>
      <c r="H72" s="96">
        <f t="shared" si="3"/>
        <v>0.15</v>
      </c>
      <c r="I72" s="91"/>
    </row>
    <row r="73" spans="1:9" ht="14.25" customHeight="1" x14ac:dyDescent="0.15">
      <c r="A73" s="183"/>
      <c r="B73" s="93" t="s">
        <v>296</v>
      </c>
      <c r="C73" s="93">
        <v>150</v>
      </c>
      <c r="D73" s="93">
        <v>1</v>
      </c>
      <c r="E73" s="93">
        <v>5</v>
      </c>
      <c r="F73" s="93">
        <v>0.5</v>
      </c>
      <c r="G73" s="93">
        <f t="shared" si="2"/>
        <v>375</v>
      </c>
      <c r="H73" s="96">
        <f t="shared" si="3"/>
        <v>0.375</v>
      </c>
      <c r="I73" s="91"/>
    </row>
    <row r="74" spans="1:9" ht="14.25" customHeight="1" x14ac:dyDescent="0.15">
      <c r="A74" s="183"/>
      <c r="B74" s="93" t="s">
        <v>229</v>
      </c>
      <c r="C74" s="93">
        <v>2</v>
      </c>
      <c r="D74" s="102">
        <v>63.36</v>
      </c>
      <c r="E74" s="93">
        <v>5</v>
      </c>
      <c r="F74" s="93">
        <v>0.5</v>
      </c>
      <c r="G74" s="93">
        <f t="shared" si="2"/>
        <v>316.8</v>
      </c>
      <c r="H74" s="96">
        <f t="shared" si="3"/>
        <v>0.31680000000000003</v>
      </c>
      <c r="I74" s="91"/>
    </row>
    <row r="75" spans="1:9" ht="14.25" customHeight="1" x14ac:dyDescent="0.15">
      <c r="A75" s="183"/>
      <c r="B75" s="93" t="s">
        <v>199</v>
      </c>
      <c r="C75" s="93">
        <v>2</v>
      </c>
      <c r="D75" s="93">
        <f>Room_01!$G$15</f>
        <v>63.355451847394171</v>
      </c>
      <c r="E75" s="93">
        <v>5</v>
      </c>
      <c r="F75" s="93">
        <v>0.5</v>
      </c>
      <c r="G75" s="93">
        <f t="shared" si="2"/>
        <v>316.77725923697085</v>
      </c>
      <c r="H75" s="96">
        <f t="shared" si="3"/>
        <v>0.31677725923697087</v>
      </c>
      <c r="I75" s="91"/>
    </row>
    <row r="76" spans="1:9" ht="14.25" customHeight="1" x14ac:dyDescent="0.15">
      <c r="A76" s="184"/>
      <c r="B76" s="93" t="s">
        <v>196</v>
      </c>
      <c r="C76" s="93">
        <v>1</v>
      </c>
      <c r="D76" s="93">
        <f>Room_01!$G$15</f>
        <v>63.355451847394171</v>
      </c>
      <c r="E76" s="93">
        <v>5</v>
      </c>
      <c r="F76" s="93">
        <v>0.5</v>
      </c>
      <c r="G76" s="93">
        <f t="shared" si="2"/>
        <v>158.38862961848542</v>
      </c>
      <c r="H76" s="96">
        <f t="shared" si="3"/>
        <v>0.15838862961848543</v>
      </c>
      <c r="I76" s="91"/>
    </row>
    <row r="77" spans="1:9" ht="14.25" customHeight="1" x14ac:dyDescent="0.15">
      <c r="A77" s="182" t="s">
        <v>166</v>
      </c>
      <c r="B77" s="93" t="s">
        <v>228</v>
      </c>
      <c r="C77" s="93">
        <v>5</v>
      </c>
      <c r="D77" s="93">
        <f>Room_01!$G$22</f>
        <v>68</v>
      </c>
      <c r="E77" s="93">
        <v>2</v>
      </c>
      <c r="F77" s="93">
        <v>0.5</v>
      </c>
      <c r="G77" s="93">
        <f t="shared" si="2"/>
        <v>340</v>
      </c>
      <c r="H77" s="96">
        <f t="shared" si="3"/>
        <v>0.34</v>
      </c>
      <c r="I77" s="91"/>
    </row>
    <row r="78" spans="1:9" ht="14.25" customHeight="1" x14ac:dyDescent="0.15">
      <c r="A78" s="183"/>
      <c r="B78" s="93" t="s">
        <v>198</v>
      </c>
      <c r="C78" s="93">
        <v>1200</v>
      </c>
      <c r="D78" s="93">
        <v>1</v>
      </c>
      <c r="E78" s="93">
        <v>2</v>
      </c>
      <c r="F78" s="93">
        <v>0.5</v>
      </c>
      <c r="G78" s="93">
        <f t="shared" si="2"/>
        <v>1200</v>
      </c>
      <c r="H78" s="96">
        <f t="shared" si="3"/>
        <v>1.2</v>
      </c>
      <c r="I78" s="91"/>
    </row>
    <row r="79" spans="1:9" ht="14.25" customHeight="1" x14ac:dyDescent="0.15">
      <c r="A79" s="184"/>
      <c r="B79" s="93" t="s">
        <v>229</v>
      </c>
      <c r="C79" s="93">
        <v>2</v>
      </c>
      <c r="D79" s="93">
        <f>Room_01!$G$22</f>
        <v>68</v>
      </c>
      <c r="E79" s="93">
        <v>2</v>
      </c>
      <c r="F79" s="93">
        <v>0.5</v>
      </c>
      <c r="G79" s="93">
        <f t="shared" si="2"/>
        <v>136</v>
      </c>
      <c r="H79" s="96">
        <f t="shared" si="3"/>
        <v>0.13600000000000001</v>
      </c>
      <c r="I79" s="91"/>
    </row>
    <row r="80" spans="1:9" ht="14.25" customHeight="1" x14ac:dyDescent="0.15">
      <c r="A80" s="182" t="s">
        <v>165</v>
      </c>
      <c r="B80" s="97" t="s">
        <v>228</v>
      </c>
      <c r="C80" s="93">
        <v>5</v>
      </c>
      <c r="D80" s="93">
        <f>Room_01!G21</f>
        <v>331.875</v>
      </c>
      <c r="E80" s="93">
        <v>3</v>
      </c>
      <c r="F80" s="93">
        <v>0.5</v>
      </c>
      <c r="G80" s="93">
        <f t="shared" si="2"/>
        <v>2489.0625</v>
      </c>
      <c r="H80" s="96">
        <f t="shared" si="3"/>
        <v>2.4890625000000002</v>
      </c>
      <c r="I80" s="91"/>
    </row>
    <row r="81" spans="1:9" ht="14.25" customHeight="1" x14ac:dyDescent="0.15">
      <c r="A81" s="183"/>
      <c r="B81" s="97" t="s">
        <v>205</v>
      </c>
      <c r="C81" s="93">
        <v>1500</v>
      </c>
      <c r="D81" s="93">
        <v>1</v>
      </c>
      <c r="E81" s="93">
        <v>3</v>
      </c>
      <c r="F81" s="93">
        <v>0.5</v>
      </c>
      <c r="G81" s="93">
        <f t="shared" si="2"/>
        <v>2250</v>
      </c>
      <c r="H81" s="96">
        <f t="shared" si="3"/>
        <v>2.25</v>
      </c>
      <c r="I81" s="91"/>
    </row>
    <row r="82" spans="1:9" ht="14.25" customHeight="1" x14ac:dyDescent="0.15">
      <c r="A82" s="183"/>
      <c r="B82" s="97" t="s">
        <v>206</v>
      </c>
      <c r="C82" s="93">
        <v>300</v>
      </c>
      <c r="D82" s="93">
        <v>1</v>
      </c>
      <c r="E82" s="93">
        <v>3</v>
      </c>
      <c r="F82" s="93">
        <v>0.5</v>
      </c>
      <c r="G82" s="93">
        <f t="shared" si="2"/>
        <v>450</v>
      </c>
      <c r="H82" s="96">
        <f t="shared" si="3"/>
        <v>0.45</v>
      </c>
      <c r="I82" s="91"/>
    </row>
    <row r="83" spans="1:9" ht="14.25" customHeight="1" x14ac:dyDescent="0.15">
      <c r="A83" s="183"/>
      <c r="B83" s="97" t="s">
        <v>207</v>
      </c>
      <c r="C83" s="93">
        <v>1000</v>
      </c>
      <c r="D83" s="93">
        <v>1</v>
      </c>
      <c r="E83" s="93">
        <v>3</v>
      </c>
      <c r="F83" s="93">
        <v>0.5</v>
      </c>
      <c r="G83" s="93">
        <f t="shared" si="2"/>
        <v>1500</v>
      </c>
      <c r="H83" s="96">
        <f t="shared" si="3"/>
        <v>1.5</v>
      </c>
      <c r="I83" s="91"/>
    </row>
    <row r="84" spans="1:9" ht="14.25" customHeight="1" x14ac:dyDescent="0.15">
      <c r="A84" s="183"/>
      <c r="B84" s="97" t="s">
        <v>208</v>
      </c>
      <c r="C84" s="93">
        <v>1500</v>
      </c>
      <c r="D84" s="93">
        <v>1</v>
      </c>
      <c r="E84" s="93">
        <v>3</v>
      </c>
      <c r="F84" s="93">
        <v>0.5</v>
      </c>
      <c r="G84" s="93">
        <f t="shared" si="2"/>
        <v>2250</v>
      </c>
      <c r="H84" s="96">
        <f t="shared" si="3"/>
        <v>2.25</v>
      </c>
      <c r="I84" s="91"/>
    </row>
    <row r="85" spans="1:9" ht="14.25" customHeight="1" x14ac:dyDescent="0.15">
      <c r="A85" s="183"/>
      <c r="B85" s="93" t="s">
        <v>229</v>
      </c>
      <c r="C85" s="93">
        <v>2</v>
      </c>
      <c r="D85" s="93">
        <f>D80</f>
        <v>331.875</v>
      </c>
      <c r="E85" s="93">
        <v>3</v>
      </c>
      <c r="F85" s="93">
        <v>0.5</v>
      </c>
      <c r="G85" s="93">
        <f t="shared" si="2"/>
        <v>995.625</v>
      </c>
      <c r="H85" s="96">
        <f t="shared" si="3"/>
        <v>0.99562499999999998</v>
      </c>
      <c r="I85" s="91"/>
    </row>
    <row r="86" spans="1:9" ht="14.25" customHeight="1" x14ac:dyDescent="0.15">
      <c r="A86" s="183"/>
      <c r="B86" s="93" t="s">
        <v>209</v>
      </c>
      <c r="C86" s="93">
        <v>100</v>
      </c>
      <c r="D86" s="93">
        <v>1</v>
      </c>
      <c r="E86" s="93">
        <v>3</v>
      </c>
      <c r="F86" s="93">
        <v>0.5</v>
      </c>
      <c r="G86" s="93">
        <f t="shared" si="2"/>
        <v>150</v>
      </c>
      <c r="H86" s="96">
        <f t="shared" si="3"/>
        <v>0.15</v>
      </c>
      <c r="I86" s="91"/>
    </row>
    <row r="87" spans="1:9" ht="14.25" customHeight="1" x14ac:dyDescent="0.15">
      <c r="A87" s="184"/>
      <c r="B87" s="97" t="s">
        <v>210</v>
      </c>
      <c r="C87" s="93">
        <v>5</v>
      </c>
      <c r="D87" s="93">
        <v>1</v>
      </c>
      <c r="E87" s="93">
        <v>3</v>
      </c>
      <c r="F87" s="93">
        <v>0.5</v>
      </c>
      <c r="G87" s="93">
        <f t="shared" si="2"/>
        <v>7.5</v>
      </c>
      <c r="H87" s="96">
        <f t="shared" si="3"/>
        <v>7.4999999999999997E-3</v>
      </c>
      <c r="I87" s="91"/>
    </row>
    <row r="88" spans="1:9" ht="14.25" customHeight="1" x14ac:dyDescent="0.2">
      <c r="A88" s="182" t="s">
        <v>204</v>
      </c>
      <c r="B88" s="93" t="s">
        <v>228</v>
      </c>
      <c r="C88" s="95">
        <v>5</v>
      </c>
      <c r="D88" s="95">
        <f>SUM(Room_01!G23:G25)</f>
        <v>228.18583470577036</v>
      </c>
      <c r="E88" s="93">
        <v>8</v>
      </c>
      <c r="F88" s="93">
        <v>0.5</v>
      </c>
      <c r="G88" s="93">
        <f t="shared" si="2"/>
        <v>4563.7166941154073</v>
      </c>
      <c r="H88" s="96">
        <f t="shared" si="3"/>
        <v>4.5637166941154073</v>
      </c>
      <c r="I88" s="91"/>
    </row>
    <row r="89" spans="1:9" ht="14.25" customHeight="1" x14ac:dyDescent="0.2">
      <c r="A89" s="184"/>
      <c r="B89" s="93" t="s">
        <v>197</v>
      </c>
      <c r="C89" s="95">
        <v>100</v>
      </c>
      <c r="D89" s="95">
        <v>1</v>
      </c>
      <c r="E89" s="93">
        <v>24</v>
      </c>
      <c r="F89" s="93">
        <v>0.5</v>
      </c>
      <c r="G89" s="93">
        <f t="shared" si="2"/>
        <v>1200</v>
      </c>
      <c r="H89" s="96">
        <f t="shared" si="3"/>
        <v>1.2</v>
      </c>
      <c r="I89" s="91"/>
    </row>
    <row r="90" spans="1:9" ht="13.5" customHeight="1" thickBot="1" x14ac:dyDescent="0.2">
      <c r="A90" s="98" t="s">
        <v>145</v>
      </c>
      <c r="B90" s="99"/>
      <c r="C90" s="99"/>
      <c r="D90" s="99"/>
      <c r="E90" s="99"/>
      <c r="F90" s="99"/>
      <c r="G90" s="99">
        <f>SUM(G5:G89)</f>
        <v>53526.542572983795</v>
      </c>
      <c r="H90" s="100">
        <f>SUM(H5:H89)</f>
        <v>53.526542572983807</v>
      </c>
      <c r="I90" s="91" t="s">
        <v>60</v>
      </c>
    </row>
    <row r="91" spans="1:9" ht="14.25" customHeight="1" x14ac:dyDescent="0.15">
      <c r="A91" s="101"/>
      <c r="B91" s="101"/>
      <c r="C91" s="101"/>
      <c r="D91" s="101"/>
      <c r="E91" s="101"/>
      <c r="F91" s="101"/>
      <c r="G91" s="101"/>
      <c r="H91" s="101"/>
      <c r="I91" s="85"/>
    </row>
    <row r="92" spans="1:9" ht="13.75" customHeight="1" x14ac:dyDescent="0.15">
      <c r="A92" s="85"/>
      <c r="B92" s="85"/>
      <c r="C92" s="85" t="s">
        <v>141</v>
      </c>
      <c r="D92" s="85">
        <v>200</v>
      </c>
      <c r="E92" s="85" t="s">
        <v>151</v>
      </c>
      <c r="F92" s="85"/>
      <c r="G92" s="85"/>
      <c r="H92" s="85">
        <f>D92*H90</f>
        <v>10705.308514596762</v>
      </c>
      <c r="I92" s="85" t="s">
        <v>111</v>
      </c>
    </row>
  </sheetData>
  <mergeCells count="15">
    <mergeCell ref="A35:A40"/>
    <mergeCell ref="A5:A10"/>
    <mergeCell ref="A11:A16"/>
    <mergeCell ref="A17:A22"/>
    <mergeCell ref="A23:A28"/>
    <mergeCell ref="A29:A34"/>
    <mergeCell ref="A77:A79"/>
    <mergeCell ref="A80:A87"/>
    <mergeCell ref="A88:A89"/>
    <mergeCell ref="A41:A46"/>
    <mergeCell ref="A47:A52"/>
    <mergeCell ref="A53:A58"/>
    <mergeCell ref="A59:A64"/>
    <mergeCell ref="A65:A70"/>
    <mergeCell ref="A71:A76"/>
  </mergeCells>
  <phoneticPr fontId="6" type="noConversion"/>
  <pageMargins left="0.7" right="0.7" top="0.75" bottom="0.75" header="0.3" footer="0.3"/>
  <pageSetup orientation="portrait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Uvals</vt:lpstr>
      <vt:lpstr>Room_01</vt:lpstr>
      <vt:lpstr>Ht Loss_house1</vt:lpstr>
      <vt:lpstr>Ht Loss_house2 </vt:lpstr>
      <vt:lpstr>Htg_hot_water</vt:lpstr>
      <vt:lpstr>Th_energy1</vt:lpstr>
      <vt:lpstr>Th_energy2</vt:lpstr>
      <vt:lpstr>Electricity Load1</vt:lpstr>
      <vt:lpstr>Electricity Load2</vt:lpstr>
      <vt:lpstr>Primary_Energy1</vt:lpstr>
      <vt:lpstr>Primary_Energy2</vt:lpstr>
      <vt:lpstr>Tmax_final2</vt:lpstr>
      <vt:lpstr>Tmax_final1</vt:lpstr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Jinyan Yang</cp:lastModifiedBy>
  <dcterms:created xsi:type="dcterms:W3CDTF">2025-04-18T12:14:25Z</dcterms:created>
  <dcterms:modified xsi:type="dcterms:W3CDTF">2025-04-26T10:10:16Z</dcterms:modified>
</cp:coreProperties>
</file>