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at Jalaketu\OneDrive\เดสก์ท็อป\My Study\Homework\second year\Prob Stat for EE\project\"/>
    </mc:Choice>
  </mc:AlternateContent>
  <xr:revisionPtr revIDLastSave="0" documentId="13_ncr:1_{09191EBC-D901-4051-B3B4-20CC60EF8238}" xr6:coauthVersionLast="47" xr6:coauthVersionMax="47" xr10:uidLastSave="{00000000-0000-0000-0000-000000000000}"/>
  <bookViews>
    <workbookView xWindow="-108" yWindow="-108" windowWidth="23256" windowHeight="12576" activeTab="1" xr2:uid="{D57C31B7-9F05-4C75-8868-D1EA06B6DAB4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9" i="1" l="1"/>
  <c r="S71" i="1"/>
  <c r="F79" i="1"/>
  <c r="E79" i="1"/>
  <c r="D79" i="1"/>
  <c r="C79" i="1"/>
  <c r="B79" i="1"/>
  <c r="R78" i="1"/>
  <c r="Q78" i="1"/>
  <c r="P78" i="1"/>
  <c r="O78" i="1"/>
  <c r="N78" i="1"/>
  <c r="R77" i="1"/>
  <c r="Q77" i="1"/>
  <c r="P77" i="1"/>
  <c r="O77" i="1"/>
  <c r="N77" i="1"/>
  <c r="R76" i="1"/>
  <c r="Q76" i="1"/>
  <c r="P76" i="1"/>
  <c r="O76" i="1"/>
  <c r="N76" i="1"/>
  <c r="R75" i="1"/>
  <c r="Q75" i="1"/>
  <c r="P75" i="1"/>
  <c r="O75" i="1"/>
  <c r="N75" i="1"/>
  <c r="R74" i="1"/>
  <c r="Q74" i="1"/>
  <c r="P74" i="1"/>
  <c r="O74" i="1"/>
  <c r="N74" i="1"/>
  <c r="R73" i="1"/>
  <c r="Q73" i="1"/>
  <c r="P73" i="1"/>
  <c r="O73" i="1"/>
  <c r="N73" i="1"/>
  <c r="R72" i="1"/>
  <c r="Q72" i="1"/>
  <c r="P72" i="1"/>
  <c r="O72" i="1"/>
  <c r="N72" i="1"/>
  <c r="R71" i="1"/>
  <c r="Q71" i="1"/>
  <c r="P71" i="1"/>
  <c r="O71" i="1"/>
  <c r="N71" i="1"/>
  <c r="R70" i="1"/>
  <c r="Q70" i="1"/>
  <c r="P70" i="1"/>
  <c r="O70" i="1"/>
  <c r="N70" i="1"/>
  <c r="R69" i="1"/>
  <c r="Q69" i="1"/>
  <c r="P69" i="1"/>
  <c r="O69" i="1"/>
  <c r="N69" i="1"/>
  <c r="R68" i="1"/>
  <c r="Q68" i="1"/>
  <c r="P68" i="1"/>
  <c r="O68" i="1"/>
  <c r="N68" i="1"/>
  <c r="R67" i="1"/>
  <c r="Q67" i="1"/>
  <c r="P67" i="1"/>
  <c r="O67" i="1"/>
  <c r="N67" i="1"/>
  <c r="R66" i="1"/>
  <c r="Q66" i="1"/>
  <c r="P66" i="1"/>
  <c r="O66" i="1"/>
  <c r="N66" i="1"/>
  <c r="R65" i="1"/>
  <c r="Q65" i="1"/>
  <c r="P65" i="1"/>
  <c r="O65" i="1"/>
  <c r="N65" i="1"/>
  <c r="R64" i="1"/>
  <c r="Q64" i="1"/>
  <c r="P64" i="1"/>
  <c r="O64" i="1"/>
  <c r="N64" i="1"/>
  <c r="R63" i="1"/>
  <c r="Q63" i="1"/>
  <c r="P63" i="1"/>
  <c r="O63" i="1"/>
  <c r="N63" i="1"/>
  <c r="R62" i="1"/>
  <c r="Q62" i="1"/>
  <c r="P62" i="1"/>
  <c r="O62" i="1"/>
  <c r="N62" i="1"/>
  <c r="R61" i="1"/>
  <c r="Q61" i="1"/>
  <c r="P61" i="1"/>
  <c r="O61" i="1"/>
  <c r="N61" i="1"/>
  <c r="R60" i="1"/>
  <c r="Q60" i="1"/>
  <c r="P60" i="1"/>
  <c r="O60" i="1"/>
  <c r="N60" i="1"/>
  <c r="R59" i="1"/>
  <c r="Q59" i="1"/>
  <c r="P59" i="1"/>
  <c r="O59" i="1"/>
  <c r="N59" i="1"/>
  <c r="R58" i="1"/>
  <c r="Q58" i="1"/>
  <c r="P58" i="1"/>
  <c r="O58" i="1"/>
  <c r="N58" i="1"/>
  <c r="R57" i="1"/>
  <c r="Q57" i="1"/>
  <c r="P57" i="1"/>
  <c r="O57" i="1"/>
  <c r="N57" i="1"/>
  <c r="R56" i="1"/>
  <c r="Q56" i="1"/>
  <c r="P56" i="1"/>
  <c r="O56" i="1"/>
  <c r="N56" i="1"/>
  <c r="R55" i="1"/>
  <c r="Q55" i="1"/>
  <c r="P55" i="1"/>
  <c r="O55" i="1"/>
  <c r="N55" i="1"/>
  <c r="R54" i="1"/>
  <c r="Q54" i="1"/>
  <c r="P54" i="1"/>
  <c r="O54" i="1"/>
  <c r="N54" i="1"/>
  <c r="R53" i="1"/>
  <c r="Q53" i="1"/>
  <c r="P53" i="1"/>
  <c r="O53" i="1"/>
  <c r="N53" i="1"/>
  <c r="R52" i="1"/>
  <c r="Q52" i="1"/>
  <c r="P52" i="1"/>
  <c r="O52" i="1"/>
  <c r="N52" i="1"/>
  <c r="R51" i="1"/>
  <c r="Q51" i="1"/>
  <c r="P51" i="1"/>
  <c r="O51" i="1"/>
  <c r="N51" i="1"/>
  <c r="R50" i="1"/>
  <c r="Q50" i="1"/>
  <c r="P50" i="1"/>
  <c r="O50" i="1"/>
  <c r="N50" i="1"/>
  <c r="R49" i="1"/>
  <c r="Q49" i="1"/>
  <c r="P49" i="1"/>
  <c r="O49" i="1"/>
  <c r="N49" i="1"/>
  <c r="R48" i="1"/>
  <c r="Q48" i="1"/>
  <c r="P48" i="1"/>
  <c r="O48" i="1"/>
  <c r="N48" i="1"/>
  <c r="R47" i="1"/>
  <c r="Q47" i="1"/>
  <c r="P47" i="1"/>
  <c r="O47" i="1"/>
  <c r="N47" i="1"/>
  <c r="R46" i="1"/>
  <c r="Q46" i="1"/>
  <c r="P46" i="1"/>
  <c r="O46" i="1"/>
  <c r="N46" i="1"/>
  <c r="R45" i="1"/>
  <c r="Q45" i="1"/>
  <c r="P45" i="1"/>
  <c r="O45" i="1"/>
  <c r="N45" i="1"/>
  <c r="R44" i="1"/>
  <c r="Q44" i="1"/>
  <c r="P44" i="1"/>
  <c r="O44" i="1"/>
  <c r="N44" i="1"/>
  <c r="R43" i="1"/>
  <c r="Q43" i="1"/>
  <c r="P43" i="1"/>
  <c r="O43" i="1"/>
  <c r="N43" i="1"/>
  <c r="R42" i="1"/>
  <c r="Q42" i="1"/>
  <c r="P42" i="1"/>
  <c r="O42" i="1"/>
  <c r="N42" i="1"/>
  <c r="R41" i="1"/>
  <c r="Q41" i="1"/>
  <c r="P41" i="1"/>
  <c r="O41" i="1"/>
  <c r="N41" i="1"/>
  <c r="R40" i="1"/>
  <c r="Q40" i="1"/>
  <c r="P40" i="1"/>
  <c r="O40" i="1"/>
  <c r="N40" i="1"/>
  <c r="R39" i="1"/>
  <c r="Q39" i="1"/>
  <c r="P39" i="1"/>
  <c r="O39" i="1"/>
  <c r="N39" i="1"/>
  <c r="R38" i="1"/>
  <c r="Q38" i="1"/>
  <c r="P38" i="1"/>
  <c r="O38" i="1"/>
  <c r="N38" i="1"/>
  <c r="R37" i="1"/>
  <c r="Q37" i="1"/>
  <c r="P37" i="1"/>
  <c r="O37" i="1"/>
  <c r="N37" i="1"/>
  <c r="R36" i="1"/>
  <c r="Q36" i="1"/>
  <c r="P36" i="1"/>
  <c r="O36" i="1"/>
  <c r="N36" i="1"/>
  <c r="R35" i="1"/>
  <c r="Q35" i="1"/>
  <c r="P35" i="1"/>
  <c r="O35" i="1"/>
  <c r="N35" i="1"/>
  <c r="R34" i="1"/>
  <c r="Q34" i="1"/>
  <c r="P34" i="1"/>
  <c r="O34" i="1"/>
  <c r="N34" i="1"/>
  <c r="R33" i="1"/>
  <c r="Q33" i="1"/>
  <c r="P33" i="1"/>
  <c r="O33" i="1"/>
  <c r="N33" i="1"/>
  <c r="R32" i="1"/>
  <c r="Q32" i="1"/>
  <c r="P32" i="1"/>
  <c r="O32" i="1"/>
  <c r="N32" i="1"/>
  <c r="R31" i="1"/>
  <c r="Q31" i="1"/>
  <c r="P31" i="1"/>
  <c r="O31" i="1"/>
  <c r="N31" i="1"/>
  <c r="R30" i="1"/>
  <c r="Q30" i="1"/>
  <c r="P30" i="1"/>
  <c r="O30" i="1"/>
  <c r="N30" i="1"/>
  <c r="R29" i="1"/>
  <c r="Q29" i="1"/>
  <c r="P29" i="1"/>
  <c r="O29" i="1"/>
  <c r="N29" i="1"/>
  <c r="R28" i="1"/>
  <c r="Q28" i="1"/>
  <c r="P28" i="1"/>
  <c r="O28" i="1"/>
  <c r="N28" i="1"/>
  <c r="R27" i="1"/>
  <c r="Q27" i="1"/>
  <c r="P27" i="1"/>
  <c r="O27" i="1"/>
  <c r="N27" i="1"/>
  <c r="R26" i="1"/>
  <c r="Q26" i="1"/>
  <c r="P26" i="1"/>
  <c r="R24" i="1"/>
  <c r="Q24" i="1"/>
  <c r="P24" i="1"/>
  <c r="R23" i="1"/>
  <c r="Q23" i="1"/>
  <c r="P23" i="1"/>
  <c r="R22" i="1"/>
  <c r="Q22" i="1"/>
  <c r="P22" i="1"/>
  <c r="R21" i="1"/>
  <c r="Q21" i="1"/>
  <c r="P21" i="1"/>
  <c r="R20" i="1"/>
  <c r="P20" i="1"/>
  <c r="R19" i="1"/>
  <c r="Q19" i="1"/>
  <c r="P19" i="1"/>
  <c r="R18" i="1"/>
  <c r="Q18" i="1"/>
  <c r="P18" i="1"/>
  <c r="R17" i="1"/>
  <c r="Q17" i="1"/>
  <c r="P17" i="1"/>
  <c r="R16" i="1"/>
  <c r="Q16" i="1"/>
  <c r="P16" i="1"/>
  <c r="R15" i="1"/>
  <c r="Q15" i="1"/>
  <c r="P15" i="1"/>
  <c r="Q14" i="1"/>
  <c r="P14" i="1"/>
  <c r="N14" i="1"/>
  <c r="R13" i="1"/>
  <c r="Q13" i="1"/>
  <c r="P13" i="1"/>
  <c r="R12" i="1"/>
  <c r="Q12" i="1"/>
  <c r="P12" i="1"/>
  <c r="R11" i="1"/>
  <c r="Q11" i="1"/>
  <c r="P11" i="1"/>
  <c r="R10" i="1"/>
  <c r="Q10" i="1"/>
  <c r="P10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Q3" i="1"/>
  <c r="Q81" i="1" s="1"/>
  <c r="P3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G78" i="1"/>
  <c r="S78" i="1" s="1"/>
  <c r="G77" i="1"/>
  <c r="G76" i="1"/>
  <c r="G75" i="1"/>
  <c r="G74" i="1"/>
  <c r="G73" i="1"/>
  <c r="G72" i="1"/>
  <c r="G71" i="1"/>
  <c r="G70" i="1"/>
  <c r="G69" i="1"/>
  <c r="S69" i="1" s="1"/>
  <c r="G68" i="1"/>
  <c r="S68" i="1" s="1"/>
  <c r="G67" i="1"/>
  <c r="S67" i="1" s="1"/>
  <c r="G66" i="1"/>
  <c r="S66" i="1" s="1"/>
  <c r="G65" i="1"/>
  <c r="G64" i="1"/>
  <c r="G63" i="1"/>
  <c r="G62" i="1"/>
  <c r="G61" i="1"/>
  <c r="G60" i="1"/>
  <c r="G59" i="1"/>
  <c r="G58" i="1"/>
  <c r="G57" i="1"/>
  <c r="S57" i="1" s="1"/>
  <c r="G56" i="1"/>
  <c r="S56" i="1" s="1"/>
  <c r="G55" i="1"/>
  <c r="S55" i="1" s="1"/>
  <c r="G54" i="1"/>
  <c r="S54" i="1" s="1"/>
  <c r="G53" i="1"/>
  <c r="G52" i="1"/>
  <c r="G51" i="1"/>
  <c r="S51" i="1" s="1"/>
  <c r="G50" i="1"/>
  <c r="G49" i="1"/>
  <c r="G48" i="1"/>
  <c r="G47" i="1"/>
  <c r="G46" i="1"/>
  <c r="G45" i="1"/>
  <c r="S45" i="1" s="1"/>
  <c r="G44" i="1"/>
  <c r="S44" i="1" s="1"/>
  <c r="G43" i="1"/>
  <c r="S43" i="1" s="1"/>
  <c r="G42" i="1"/>
  <c r="S42" i="1" s="1"/>
  <c r="G41" i="1"/>
  <c r="G40" i="1"/>
  <c r="G39" i="1"/>
  <c r="S39" i="1" s="1"/>
  <c r="G38" i="1"/>
  <c r="G37" i="1"/>
  <c r="G36" i="1"/>
  <c r="G35" i="1"/>
  <c r="G34" i="1"/>
  <c r="G33" i="1"/>
  <c r="S33" i="1" s="1"/>
  <c r="G32" i="1"/>
  <c r="S32" i="1" s="1"/>
  <c r="G31" i="1"/>
  <c r="S31" i="1" s="1"/>
  <c r="G30" i="1"/>
  <c r="S30" i="1" s="1"/>
  <c r="G29" i="1"/>
  <c r="G28" i="1"/>
  <c r="G27" i="1"/>
  <c r="S27" i="1" s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L25" i="1"/>
  <c r="R25" i="1" s="1"/>
  <c r="K25" i="1"/>
  <c r="Q25" i="1" s="1"/>
  <c r="J25" i="1"/>
  <c r="P25" i="1" s="1"/>
  <c r="L14" i="1"/>
  <c r="R14" i="1" s="1"/>
  <c r="L3" i="1"/>
  <c r="R3" i="1" s="1"/>
  <c r="R81" i="1" s="1"/>
  <c r="L9" i="1"/>
  <c r="R9" i="1" s="1"/>
  <c r="K9" i="1"/>
  <c r="Q9" i="1" s="1"/>
  <c r="J9" i="1"/>
  <c r="J79" i="1" s="1"/>
  <c r="I9" i="1"/>
  <c r="O9" i="1" s="1"/>
  <c r="H26" i="1"/>
  <c r="N26" i="1" s="1"/>
  <c r="H25" i="1"/>
  <c r="N25" i="1" s="1"/>
  <c r="H24" i="1"/>
  <c r="N24" i="1" s="1"/>
  <c r="H23" i="1"/>
  <c r="N23" i="1" s="1"/>
  <c r="H22" i="1"/>
  <c r="N22" i="1" s="1"/>
  <c r="H21" i="1"/>
  <c r="N21" i="1" s="1"/>
  <c r="H20" i="1"/>
  <c r="H19" i="1"/>
  <c r="H18" i="1"/>
  <c r="N18" i="1" s="1"/>
  <c r="H17" i="1"/>
  <c r="N17" i="1" s="1"/>
  <c r="H16" i="1"/>
  <c r="N16" i="1" s="1"/>
  <c r="H15" i="1"/>
  <c r="N15" i="1" s="1"/>
  <c r="H14" i="1"/>
  <c r="H13" i="1"/>
  <c r="H12" i="1"/>
  <c r="N12" i="1" s="1"/>
  <c r="H11" i="1"/>
  <c r="N11" i="1" s="1"/>
  <c r="H10" i="1"/>
  <c r="N10" i="1" s="1"/>
  <c r="H9" i="1"/>
  <c r="H8" i="1"/>
  <c r="H7" i="1"/>
  <c r="H6" i="1"/>
  <c r="M6" i="1" s="1"/>
  <c r="H5" i="1"/>
  <c r="H4" i="1"/>
  <c r="N4" i="1" s="1"/>
  <c r="H3" i="1"/>
  <c r="N3" i="1" s="1"/>
  <c r="I3" i="1"/>
  <c r="I4" i="1"/>
  <c r="O4" i="1" s="1"/>
  <c r="I5" i="1"/>
  <c r="O5" i="1" s="1"/>
  <c r="I6" i="1"/>
  <c r="O6" i="1" s="1"/>
  <c r="I7" i="1"/>
  <c r="O7" i="1" s="1"/>
  <c r="I8" i="1"/>
  <c r="O8" i="1" s="1"/>
  <c r="I10" i="1"/>
  <c r="O10" i="1" s="1"/>
  <c r="I11" i="1"/>
  <c r="O11" i="1" s="1"/>
  <c r="I12" i="1"/>
  <c r="O12" i="1" s="1"/>
  <c r="I13" i="1"/>
  <c r="O13" i="1" s="1"/>
  <c r="I14" i="1"/>
  <c r="O14" i="1" s="1"/>
  <c r="I15" i="1"/>
  <c r="O15" i="1" s="1"/>
  <c r="I16" i="1"/>
  <c r="O16" i="1" s="1"/>
  <c r="I17" i="1"/>
  <c r="O17" i="1" s="1"/>
  <c r="I18" i="1"/>
  <c r="O18" i="1" s="1"/>
  <c r="I19" i="1"/>
  <c r="O19" i="1" s="1"/>
  <c r="I20" i="1"/>
  <c r="O20" i="1" s="1"/>
  <c r="I21" i="1"/>
  <c r="O21" i="1" s="1"/>
  <c r="I22" i="1"/>
  <c r="O22" i="1" s="1"/>
  <c r="I23" i="1"/>
  <c r="O23" i="1" s="1"/>
  <c r="I24" i="1"/>
  <c r="O24" i="1" s="1"/>
  <c r="I25" i="1"/>
  <c r="O25" i="1" s="1"/>
  <c r="I26" i="1"/>
  <c r="O26" i="1" s="1"/>
  <c r="K20" i="1"/>
  <c r="Q20" i="1" s="1"/>
  <c r="M21" i="1" l="1"/>
  <c r="S28" i="1"/>
  <c r="S64" i="1"/>
  <c r="M13" i="1"/>
  <c r="S40" i="1"/>
  <c r="S52" i="1"/>
  <c r="S76" i="1"/>
  <c r="S29" i="1"/>
  <c r="S41" i="1"/>
  <c r="S53" i="1"/>
  <c r="S65" i="1"/>
  <c r="S77" i="1"/>
  <c r="S21" i="1"/>
  <c r="S38" i="1"/>
  <c r="S50" i="1"/>
  <c r="S62" i="1"/>
  <c r="S74" i="1"/>
  <c r="G79" i="1"/>
  <c r="S63" i="1"/>
  <c r="S75" i="1"/>
  <c r="I79" i="1"/>
  <c r="M5" i="1"/>
  <c r="S5" i="1" s="1"/>
  <c r="S6" i="1"/>
  <c r="M7" i="1"/>
  <c r="S7" i="1" s="1"/>
  <c r="M19" i="1"/>
  <c r="S19" i="1" s="1"/>
  <c r="S34" i="1"/>
  <c r="S46" i="1"/>
  <c r="S58" i="1"/>
  <c r="S70" i="1"/>
  <c r="M8" i="1"/>
  <c r="S8" i="1" s="1"/>
  <c r="M20" i="1"/>
  <c r="S20" i="1" s="1"/>
  <c r="S35" i="1"/>
  <c r="S47" i="1"/>
  <c r="S59" i="1"/>
  <c r="N6" i="1"/>
  <c r="S36" i="1"/>
  <c r="S60" i="1"/>
  <c r="S72" i="1"/>
  <c r="M18" i="1"/>
  <c r="S18" i="1" s="1"/>
  <c r="M9" i="1"/>
  <c r="S9" i="1" s="1"/>
  <c r="S48" i="1"/>
  <c r="M10" i="1"/>
  <c r="S10" i="1" s="1"/>
  <c r="S13" i="1"/>
  <c r="S37" i="1"/>
  <c r="S49" i="1"/>
  <c r="S61" i="1"/>
  <c r="S73" i="1"/>
  <c r="Q79" i="1"/>
  <c r="Q82" i="1" s="1"/>
  <c r="R79" i="1"/>
  <c r="R82" i="1" s="1"/>
  <c r="M14" i="1"/>
  <c r="S14" i="1" s="1"/>
  <c r="M26" i="1"/>
  <c r="S26" i="1" s="1"/>
  <c r="N5" i="1"/>
  <c r="N7" i="1"/>
  <c r="N9" i="1"/>
  <c r="N13" i="1"/>
  <c r="N19" i="1"/>
  <c r="K79" i="1"/>
  <c r="M11" i="1"/>
  <c r="S11" i="1" s="1"/>
  <c r="M3" i="1"/>
  <c r="M15" i="1"/>
  <c r="S15" i="1" s="1"/>
  <c r="O3" i="1"/>
  <c r="L79" i="1"/>
  <c r="M22" i="1"/>
  <c r="S22" i="1" s="1"/>
  <c r="N8" i="1"/>
  <c r="M4" i="1"/>
  <c r="S4" i="1" s="1"/>
  <c r="M16" i="1"/>
  <c r="S16" i="1" s="1"/>
  <c r="P9" i="1"/>
  <c r="P79" i="1" s="1"/>
  <c r="P82" i="1" s="1"/>
  <c r="M17" i="1"/>
  <c r="S17" i="1" s="1"/>
  <c r="N20" i="1"/>
  <c r="M23" i="1"/>
  <c r="S23" i="1" s="1"/>
  <c r="M12" i="1"/>
  <c r="S12" i="1" s="1"/>
  <c r="M24" i="1"/>
  <c r="S24" i="1" s="1"/>
  <c r="H79" i="1"/>
  <c r="M25" i="1"/>
  <c r="S25" i="1" s="1"/>
  <c r="N81" i="1" l="1"/>
  <c r="O79" i="1"/>
  <c r="O82" i="1" s="1"/>
  <c r="O81" i="1"/>
  <c r="P81" i="1"/>
  <c r="N79" i="1"/>
  <c r="N82" i="1" s="1"/>
  <c r="S3" i="1"/>
  <c r="M79" i="1"/>
  <c r="S82" i="1" l="1"/>
  <c r="S81" i="1"/>
</calcChain>
</file>

<file path=xl/sharedStrings.xml><?xml version="1.0" encoding="utf-8"?>
<sst xmlns="http://schemas.openxmlformats.org/spreadsheetml/2006/main" count="119" uniqueCount="102">
  <si>
    <t>name_country</t>
  </si>
  <si>
    <t>q2_2020</t>
  </si>
  <si>
    <t>q3_2020</t>
  </si>
  <si>
    <t>q4_2020</t>
  </si>
  <si>
    <t>q1_2021</t>
  </si>
  <si>
    <t>q2_2021</t>
  </si>
  <si>
    <t>เงินกู้  0059_T1_Gross External Debt Position</t>
  </si>
  <si>
    <t>ผู้ติดเชื้อ total_cases Nf-Ni+1 column E</t>
  </si>
  <si>
    <t>Argentina</t>
  </si>
  <si>
    <t>Armenia</t>
  </si>
  <si>
    <t>Australia</t>
  </si>
  <si>
    <t>Austria</t>
  </si>
  <si>
    <t>Belarus</t>
  </si>
  <si>
    <t>Belgium</t>
  </si>
  <si>
    <t>Brazil</t>
  </si>
  <si>
    <t>Bulgaria</t>
  </si>
  <si>
    <t>Canada</t>
  </si>
  <si>
    <t>Chile</t>
  </si>
  <si>
    <t>China</t>
  </si>
  <si>
    <t>Colombia</t>
  </si>
  <si>
    <t>Costa Rica</t>
  </si>
  <si>
    <t>Croatia</t>
  </si>
  <si>
    <t>Cyprus</t>
  </si>
  <si>
    <t>Czech Republic</t>
  </si>
  <si>
    <t>Denmark</t>
  </si>
  <si>
    <t>Ecuador</t>
  </si>
  <si>
    <t>Egypt, Arab Rep.</t>
  </si>
  <si>
    <t>El Salvador</t>
  </si>
  <si>
    <t>Estonia</t>
  </si>
  <si>
    <t>Finland</t>
  </si>
  <si>
    <t>France</t>
  </si>
  <si>
    <t>Georgia</t>
  </si>
  <si>
    <t>2020Q2-1</t>
  </si>
  <si>
    <t>2020Q3-2</t>
  </si>
  <si>
    <t>2020Q4-3</t>
  </si>
  <si>
    <t>2021Q1-2020Q4</t>
  </si>
  <si>
    <t>2021Q2-2021Q1</t>
  </si>
  <si>
    <t>Germany</t>
  </si>
  <si>
    <t>Greece</t>
  </si>
  <si>
    <t>Hong Kong SAR, China</t>
  </si>
  <si>
    <t>Hungary</t>
  </si>
  <si>
    <t>Iceland</t>
  </si>
  <si>
    <t>India</t>
  </si>
  <si>
    <t>Indonesia</t>
  </si>
  <si>
    <t>Israel</t>
  </si>
  <si>
    <t>Italy</t>
  </si>
  <si>
    <t>Japan</t>
  </si>
  <si>
    <t>Jordan</t>
  </si>
  <si>
    <t>Kazakhstan</t>
  </si>
  <si>
    <t>Korea, Rep.</t>
  </si>
  <si>
    <t>Kyrgyz Republic</t>
  </si>
  <si>
    <t>Latvia</t>
  </si>
  <si>
    <t>Lithuania</t>
  </si>
  <si>
    <t>Luxembourg</t>
  </si>
  <si>
    <t>Malaysia</t>
  </si>
  <si>
    <t>Malta</t>
  </si>
  <si>
    <t>Mauritius</t>
  </si>
  <si>
    <t>Mexico</t>
  </si>
  <si>
    <t>Moldova</t>
  </si>
  <si>
    <t>Mongolia</t>
  </si>
  <si>
    <t>Morocco</t>
  </si>
  <si>
    <t>Netherlands</t>
  </si>
  <si>
    <t>New Zealand</t>
  </si>
  <si>
    <t>North Macedonia</t>
  </si>
  <si>
    <t>Norway</t>
  </si>
  <si>
    <t>Peru</t>
  </si>
  <si>
    <t>Philippines</t>
  </si>
  <si>
    <t>Poland</t>
  </si>
  <si>
    <t>Portugal</t>
  </si>
  <si>
    <t>Romania</t>
  </si>
  <si>
    <t>Russian Federation</t>
  </si>
  <si>
    <t>Saudi Arabia</t>
  </si>
  <si>
    <t>Seychelles</t>
  </si>
  <si>
    <t>Singapore</t>
  </si>
  <si>
    <t>Slovak Republic</t>
  </si>
  <si>
    <t>Slovenia</t>
  </si>
  <si>
    <t>South Africa</t>
  </si>
  <si>
    <t>Spain</t>
  </si>
  <si>
    <t>Sri Lanka</t>
  </si>
  <si>
    <t>Sweden</t>
  </si>
  <si>
    <t>Switzerland</t>
  </si>
  <si>
    <t>Thailand</t>
  </si>
  <si>
    <t>Tunisia</t>
  </si>
  <si>
    <t>Turkey</t>
  </si>
  <si>
    <t>Ukraine</t>
  </si>
  <si>
    <t>United Kingdom</t>
  </si>
  <si>
    <t>United States</t>
  </si>
  <si>
    <t>Uruguay</t>
  </si>
  <si>
    <t>Uzbekistan</t>
  </si>
  <si>
    <t>debt per covid</t>
  </si>
  <si>
    <t>sum</t>
  </si>
  <si>
    <t>average</t>
  </si>
  <si>
    <t>SD</t>
  </si>
  <si>
    <t>X</t>
  </si>
  <si>
    <t>Q3_2020</t>
  </si>
  <si>
    <t>Q4_2020</t>
  </si>
  <si>
    <t>Q1_2021</t>
  </si>
  <si>
    <t>Q2_2021</t>
  </si>
  <si>
    <t>Avg</t>
  </si>
  <si>
    <t>Q2_2020</t>
  </si>
  <si>
    <r>
      <t xml:space="preserve">upper </t>
    </r>
    <r>
      <rPr>
        <sz val="11"/>
        <color theme="1"/>
        <rFont val="Calibri"/>
        <family val="2"/>
      </rPr>
      <t>µ</t>
    </r>
  </si>
  <si>
    <t>lower 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</si>
</sst>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0" fillId="0" borderId="1" xfId="0" applyBorder="1"/>
    <xf numFmtId="10" fontId="0" fillId="0" borderId="0" xfId="0" applyNumberFormat="1"/>
    <xf numFmtId="0" fontId="0" fillId="4" borderId="0" xfId="0" applyFill="1"/>
    <xf numFmtId="9" fontId="0" fillId="4" borderId="0" xfId="0" applyNumberFormat="1" applyFill="1"/>
    <xf numFmtId="0" fontId="0" fillId="0" borderId="5" xfId="0" applyBorder="1"/>
    <xf numFmtId="0" fontId="0" fillId="0" borderId="1" xfId="0" applyFill="1" applyBorder="1"/>
    <xf numFmtId="0" fontId="0" fillId="0" borderId="6" xfId="0" applyBorder="1"/>
    <xf numFmtId="0" fontId="0" fillId="0" borderId="7" xfId="0" applyBorder="1"/>
    <xf numFmtId="0" fontId="2" fillId="0" borderId="7" xfId="0" applyNumberFormat="1" applyFont="1" applyBorder="1"/>
    <xf numFmtId="0" fontId="1" fillId="0" borderId="7" xfId="0" applyNumberFormat="1" applyFont="1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2" fillId="0" borderId="0" xfId="0" applyNumberFormat="1" applyFont="1" applyBorder="1"/>
    <xf numFmtId="0" fontId="0" fillId="0" borderId="4" xfId="0" applyBorder="1"/>
    <xf numFmtId="0" fontId="2" fillId="3" borderId="0" xfId="0" applyNumberFormat="1" applyFont="1" applyFill="1" applyBorder="1" applyAlignment="1">
      <alignment horizontal="right" vertical="center" wrapText="1" indent="1"/>
    </xf>
    <xf numFmtId="0" fontId="2" fillId="2" borderId="0" xfId="0" applyNumberFormat="1" applyFont="1" applyFill="1" applyBorder="1" applyAlignment="1">
      <alignment horizontal="right" vertical="center" wrapText="1" indent="1"/>
    </xf>
    <xf numFmtId="0" fontId="1" fillId="0" borderId="0" xfId="0" applyFont="1" applyBorder="1"/>
    <xf numFmtId="0" fontId="2" fillId="0" borderId="0" xfId="0" applyFont="1" applyBorder="1"/>
    <xf numFmtId="0" fontId="2" fillId="2" borderId="0" xfId="0" applyFont="1" applyFill="1" applyBorder="1" applyAlignment="1">
      <alignment horizontal="right" vertical="center" wrapText="1" indent="1"/>
    </xf>
    <xf numFmtId="0" fontId="2" fillId="3" borderId="0" xfId="0" applyFont="1" applyFill="1" applyBorder="1" applyAlignment="1">
      <alignment horizontal="right" vertical="center" wrapText="1" inden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852-4F8A-8812-C18ABB85A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945088"/>
        <c:axId val="1641980832"/>
      </c:barChart>
      <c:catAx>
        <c:axId val="163894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80832"/>
        <c:crosses val="autoZero"/>
        <c:auto val="1"/>
        <c:lblAlgn val="ctr"/>
        <c:lblOffset val="100"/>
        <c:noMultiLvlLbl val="0"/>
      </c:catAx>
      <c:valAx>
        <c:axId val="16419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4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DDFCD7-94C4-4337-9D1F-577EAFAE921E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C8E4F-EB6A-4EFF-8BC9-A28A1D9CBB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459D-C3EB-4D87-813D-B4D6BEA6E429}">
  <dimension ref="A1:S102"/>
  <sheetViews>
    <sheetView tabSelected="1" topLeftCell="E56" zoomScaleNormal="100" workbookViewId="0">
      <selection activeCell="S71" sqref="S71"/>
    </sheetView>
  </sheetViews>
  <sheetFormatPr defaultRowHeight="14.4"/>
  <cols>
    <col min="1" max="1" width="13" customWidth="1"/>
    <col min="2" max="2" width="11.33203125" customWidth="1"/>
    <col min="3" max="3" width="15.6640625" customWidth="1"/>
    <col min="4" max="4" width="14.88671875" customWidth="1"/>
    <col min="5" max="5" width="14.33203125" customWidth="1"/>
    <col min="6" max="6" width="14.5546875" customWidth="1"/>
    <col min="9" max="9" width="9.44140625" bestFit="1" customWidth="1"/>
    <col min="10" max="10" width="10.6640625" bestFit="1" customWidth="1"/>
    <col min="11" max="11" width="12.33203125" customWidth="1"/>
    <col min="12" max="12" width="13" customWidth="1"/>
    <col min="14" max="19" width="16.33203125" customWidth="1"/>
  </cols>
  <sheetData>
    <row r="1" spans="1:19">
      <c r="A1" s="29" t="s">
        <v>0</v>
      </c>
      <c r="B1" s="28" t="s">
        <v>6</v>
      </c>
      <c r="C1" s="28"/>
      <c r="D1" s="28"/>
      <c r="E1" s="28"/>
      <c r="F1" s="28"/>
      <c r="G1" s="28"/>
      <c r="H1" s="30" t="s">
        <v>7</v>
      </c>
      <c r="I1" s="31"/>
      <c r="J1" s="31"/>
      <c r="K1" s="31"/>
      <c r="L1" s="31"/>
      <c r="M1" s="31"/>
      <c r="N1" s="27" t="s">
        <v>89</v>
      </c>
      <c r="O1" s="27"/>
      <c r="P1" s="27"/>
      <c r="Q1" s="27"/>
      <c r="R1" s="27"/>
      <c r="S1" s="27"/>
    </row>
    <row r="2" spans="1:19">
      <c r="A2" s="29"/>
      <c r="B2" s="3" t="s">
        <v>32</v>
      </c>
      <c r="C2" s="3" t="s">
        <v>33</v>
      </c>
      <c r="D2" s="3" t="s">
        <v>34</v>
      </c>
      <c r="E2" s="3" t="s">
        <v>35</v>
      </c>
      <c r="F2" s="3" t="s">
        <v>36</v>
      </c>
      <c r="G2" s="8" t="s">
        <v>90</v>
      </c>
      <c r="H2" s="7" t="s">
        <v>1</v>
      </c>
      <c r="I2" s="3" t="s">
        <v>2</v>
      </c>
      <c r="J2" s="3" t="s">
        <v>3</v>
      </c>
      <c r="K2" s="3" t="s">
        <v>4</v>
      </c>
      <c r="L2" s="3" t="s">
        <v>5</v>
      </c>
      <c r="M2" s="8" t="s">
        <v>90</v>
      </c>
      <c r="N2" s="7" t="s">
        <v>1</v>
      </c>
      <c r="O2" s="3" t="s">
        <v>2</v>
      </c>
      <c r="P2" s="3" t="s">
        <v>3</v>
      </c>
      <c r="Q2" s="3" t="s">
        <v>4</v>
      </c>
      <c r="R2" s="3" t="s">
        <v>5</v>
      </c>
      <c r="S2" s="8" t="s">
        <v>90</v>
      </c>
    </row>
    <row r="3" spans="1:19">
      <c r="A3" s="2" t="s">
        <v>8</v>
      </c>
      <c r="B3" s="9">
        <v>-3558</v>
      </c>
      <c r="C3" s="10">
        <v>-2355</v>
      </c>
      <c r="D3" s="10">
        <v>2682</v>
      </c>
      <c r="E3" s="10">
        <v>-1961</v>
      </c>
      <c r="F3" s="10">
        <v>-324</v>
      </c>
      <c r="G3" s="13">
        <f>SUM(B3:F3)</f>
        <v>-5516</v>
      </c>
      <c r="H3" s="10">
        <f>64530-1054</f>
        <v>63476</v>
      </c>
      <c r="I3" s="10">
        <f>751001-67197</f>
        <v>683804</v>
      </c>
      <c r="J3" s="11">
        <v>860512</v>
      </c>
      <c r="K3" s="11">
        <v>719227</v>
      </c>
      <c r="L3" s="12">
        <f>2.11*1000000</f>
        <v>2110000</v>
      </c>
      <c r="M3" s="13">
        <f>SUM(H3:L3)</f>
        <v>4437019</v>
      </c>
      <c r="N3" s="10">
        <f>B3/H3</f>
        <v>-5.6052681328376076E-2</v>
      </c>
      <c r="O3" s="10">
        <f t="shared" ref="O3:O65" si="0">C3/I3</f>
        <v>-3.4439693245432901E-3</v>
      </c>
      <c r="P3" s="10">
        <f t="shared" ref="P3:P65" si="1">D3/J3</f>
        <v>3.1167490982112974E-3</v>
      </c>
      <c r="Q3" s="10">
        <f t="shared" ref="Q3:Q65" si="2">E3/K3</f>
        <v>-2.7265383529817429E-3</v>
      </c>
      <c r="R3" s="10">
        <f t="shared" ref="R3:R65" si="3">F3/L3</f>
        <v>-1.5355450236966825E-4</v>
      </c>
      <c r="S3" s="13">
        <f t="shared" ref="S3:S65" si="4">G3/M3</f>
        <v>-1.2431770069048611E-3</v>
      </c>
    </row>
    <row r="4" spans="1:19">
      <c r="A4" s="1" t="s">
        <v>9</v>
      </c>
      <c r="B4" s="14">
        <v>524</v>
      </c>
      <c r="C4" s="15">
        <v>87</v>
      </c>
      <c r="D4" s="15">
        <v>267</v>
      </c>
      <c r="E4" s="15">
        <v>237</v>
      </c>
      <c r="F4" s="15">
        <v>907</v>
      </c>
      <c r="G4" s="17">
        <f t="shared" ref="G4:G66" si="5">SUM(B4:F4)</f>
        <v>2022</v>
      </c>
      <c r="H4" s="15">
        <f>25542-571</f>
        <v>24971</v>
      </c>
      <c r="I4" s="15">
        <f>50359-26065</f>
        <v>24294</v>
      </c>
      <c r="J4" s="16">
        <v>108559</v>
      </c>
      <c r="K4" s="16">
        <v>32901</v>
      </c>
      <c r="L4" s="16">
        <v>31359</v>
      </c>
      <c r="M4" s="17">
        <f t="shared" ref="M4:M66" si="6">SUM(H4:L4)</f>
        <v>222084</v>
      </c>
      <c r="N4" s="15">
        <f t="shared" ref="N4:N66" si="7">B4/H4</f>
        <v>2.0984341836530376E-2</v>
      </c>
      <c r="O4" s="15">
        <f t="shared" si="0"/>
        <v>3.5811311434922203E-3</v>
      </c>
      <c r="P4" s="15">
        <f t="shared" si="1"/>
        <v>2.459492073434722E-3</v>
      </c>
      <c r="Q4" s="15">
        <f t="shared" si="2"/>
        <v>7.2034284672198414E-3</v>
      </c>
      <c r="R4" s="15">
        <f t="shared" si="3"/>
        <v>2.8923116170796261E-2</v>
      </c>
      <c r="S4" s="17">
        <f t="shared" si="4"/>
        <v>9.1046631004484783E-3</v>
      </c>
    </row>
    <row r="5" spans="1:19">
      <c r="A5" s="1" t="s">
        <v>10</v>
      </c>
      <c r="B5" s="14">
        <v>48935</v>
      </c>
      <c r="C5" s="15">
        <v>59696</v>
      </c>
      <c r="D5" s="15">
        <v>107813</v>
      </c>
      <c r="E5" s="15">
        <v>-46636</v>
      </c>
      <c r="F5" s="15">
        <v>7078</v>
      </c>
      <c r="G5" s="17">
        <f t="shared" si="5"/>
        <v>176886</v>
      </c>
      <c r="H5" s="15">
        <f>7920-4862</f>
        <v>3058</v>
      </c>
      <c r="I5" s="15">
        <f>27096-8001</f>
        <v>19095</v>
      </c>
      <c r="J5" s="16">
        <v>1316</v>
      </c>
      <c r="K5" s="16">
        <v>862</v>
      </c>
      <c r="L5" s="16">
        <v>1310</v>
      </c>
      <c r="M5" s="17">
        <f t="shared" si="6"/>
        <v>25641</v>
      </c>
      <c r="N5" s="15">
        <f t="shared" si="7"/>
        <v>16.002289077828646</v>
      </c>
      <c r="O5" s="15">
        <f t="shared" si="0"/>
        <v>3.1262634197433883</v>
      </c>
      <c r="P5" s="15">
        <f t="shared" si="1"/>
        <v>81.924772036474167</v>
      </c>
      <c r="Q5" s="15">
        <f t="shared" si="2"/>
        <v>-54.102088167053367</v>
      </c>
      <c r="R5" s="15">
        <f t="shared" si="3"/>
        <v>5.4030534351145034</v>
      </c>
      <c r="S5" s="17">
        <f t="shared" si="4"/>
        <v>6.8985608985608984</v>
      </c>
    </row>
    <row r="6" spans="1:19">
      <c r="A6" s="1" t="s">
        <v>11</v>
      </c>
      <c r="B6" s="14">
        <v>36744</v>
      </c>
      <c r="C6" s="15">
        <v>30343</v>
      </c>
      <c r="D6" s="15">
        <v>22076</v>
      </c>
      <c r="E6" s="15">
        <v>-30555</v>
      </c>
      <c r="F6" s="15">
        <v>4426</v>
      </c>
      <c r="G6" s="17">
        <f t="shared" si="5"/>
        <v>63034</v>
      </c>
      <c r="H6" s="15">
        <f>17766-10711</f>
        <v>7055</v>
      </c>
      <c r="I6" s="15">
        <f>44813-17873</f>
        <v>26940</v>
      </c>
      <c r="J6" s="16">
        <v>315129</v>
      </c>
      <c r="K6" s="16">
        <v>183318</v>
      </c>
      <c r="L6" s="16">
        <v>100820</v>
      </c>
      <c r="M6" s="17">
        <f t="shared" si="6"/>
        <v>633262</v>
      </c>
      <c r="N6" s="15">
        <f t="shared" si="7"/>
        <v>5.2082211197732109</v>
      </c>
      <c r="O6" s="15">
        <f t="shared" si="0"/>
        <v>1.1263177431328879</v>
      </c>
      <c r="P6" s="15">
        <f t="shared" si="1"/>
        <v>7.005385096262165E-2</v>
      </c>
      <c r="Q6" s="15">
        <f t="shared" si="2"/>
        <v>-0.16667757667004876</v>
      </c>
      <c r="R6" s="15">
        <f t="shared" si="3"/>
        <v>4.390001983733386E-2</v>
      </c>
      <c r="S6" s="17">
        <f t="shared" si="4"/>
        <v>9.9538579608440106E-2</v>
      </c>
    </row>
    <row r="7" spans="1:19">
      <c r="A7" s="1" t="s">
        <v>12</v>
      </c>
      <c r="B7" s="14">
        <v>1647</v>
      </c>
      <c r="C7" s="15">
        <v>-555</v>
      </c>
      <c r="D7" s="15">
        <v>1487</v>
      </c>
      <c r="E7" s="15">
        <v>-993</v>
      </c>
      <c r="F7" s="15">
        <v>1220</v>
      </c>
      <c r="G7" s="17">
        <f t="shared" si="5"/>
        <v>2806</v>
      </c>
      <c r="H7" s="15">
        <f>62118-163</f>
        <v>61955</v>
      </c>
      <c r="I7" s="15">
        <f>78631-62424</f>
        <v>16207</v>
      </c>
      <c r="J7" s="16">
        <v>115265</v>
      </c>
      <c r="K7" s="16">
        <v>125584</v>
      </c>
      <c r="L7" s="16">
        <v>94146</v>
      </c>
      <c r="M7" s="17">
        <f t="shared" si="6"/>
        <v>413157</v>
      </c>
      <c r="N7" s="15">
        <f t="shared" si="7"/>
        <v>2.6583810830441451E-2</v>
      </c>
      <c r="O7" s="15">
        <f t="shared" si="0"/>
        <v>-3.4244462269389771E-2</v>
      </c>
      <c r="P7" s="15">
        <f t="shared" si="1"/>
        <v>1.2900707066325423E-2</v>
      </c>
      <c r="Q7" s="15">
        <f t="shared" si="2"/>
        <v>-7.9070582239775776E-3</v>
      </c>
      <c r="R7" s="15">
        <f t="shared" si="3"/>
        <v>1.2958596222887855E-2</v>
      </c>
      <c r="S7" s="17">
        <f t="shared" si="4"/>
        <v>6.7916070646267639E-3</v>
      </c>
    </row>
    <row r="8" spans="1:19">
      <c r="A8" s="1" t="s">
        <v>13</v>
      </c>
      <c r="B8" s="14">
        <v>31601</v>
      </c>
      <c r="C8" s="15">
        <v>34874</v>
      </c>
      <c r="D8" s="15">
        <v>33271</v>
      </c>
      <c r="E8" s="15">
        <v>-59491</v>
      </c>
      <c r="F8" s="15">
        <v>38053</v>
      </c>
      <c r="G8" s="17">
        <f t="shared" si="5"/>
        <v>78308</v>
      </c>
      <c r="H8" s="15">
        <f>61427-13964</f>
        <v>47463</v>
      </c>
      <c r="I8" s="15">
        <f>118452-61509</f>
        <v>56943</v>
      </c>
      <c r="J8" s="16">
        <v>525437</v>
      </c>
      <c r="K8" s="16">
        <v>234164</v>
      </c>
      <c r="L8" s="16">
        <v>197211</v>
      </c>
      <c r="M8" s="17">
        <f t="shared" si="6"/>
        <v>1061218</v>
      </c>
      <c r="N8" s="15">
        <f t="shared" si="7"/>
        <v>0.66580283589322209</v>
      </c>
      <c r="O8" s="15">
        <f t="shared" si="0"/>
        <v>0.61243699840191068</v>
      </c>
      <c r="P8" s="15">
        <f t="shared" si="1"/>
        <v>6.3320626449983541E-2</v>
      </c>
      <c r="Q8" s="15">
        <f t="shared" si="2"/>
        <v>-0.25405698570232826</v>
      </c>
      <c r="R8" s="15">
        <f t="shared" si="3"/>
        <v>0.19295576818737292</v>
      </c>
      <c r="S8" s="17">
        <f t="shared" si="4"/>
        <v>7.3790682027632407E-2</v>
      </c>
    </row>
    <row r="9" spans="1:19">
      <c r="A9" s="1" t="s">
        <v>14</v>
      </c>
      <c r="B9" s="14">
        <v>-20405</v>
      </c>
      <c r="C9" s="15">
        <v>2145</v>
      </c>
      <c r="D9" s="15">
        <v>17747</v>
      </c>
      <c r="E9" s="15">
        <v>-8558</v>
      </c>
      <c r="F9" s="15">
        <v>18848</v>
      </c>
      <c r="G9" s="17">
        <f t="shared" si="5"/>
        <v>9777</v>
      </c>
      <c r="H9" s="15">
        <f>1400000-6836</f>
        <v>1393164</v>
      </c>
      <c r="I9" s="15">
        <f>3.36*1000000</f>
        <v>3360000</v>
      </c>
      <c r="J9" s="16">
        <f>2.83*1000000</f>
        <v>2830000</v>
      </c>
      <c r="K9" s="16">
        <f>5.05*1000000</f>
        <v>5050000</v>
      </c>
      <c r="L9" s="16">
        <f>5.72*1000000</f>
        <v>5720000</v>
      </c>
      <c r="M9" s="17">
        <f t="shared" si="6"/>
        <v>18353164</v>
      </c>
      <c r="N9" s="15">
        <f t="shared" si="7"/>
        <v>-1.4646516849416149E-2</v>
      </c>
      <c r="O9" s="15">
        <f t="shared" si="0"/>
        <v>6.3839285714285712E-4</v>
      </c>
      <c r="P9" s="15">
        <f t="shared" si="1"/>
        <v>6.271024734982332E-3</v>
      </c>
      <c r="Q9" s="15">
        <f t="shared" si="2"/>
        <v>-1.6946534653465347E-3</v>
      </c>
      <c r="R9" s="15">
        <f t="shared" si="3"/>
        <v>3.2951048951048952E-3</v>
      </c>
      <c r="S9" s="17">
        <f t="shared" si="4"/>
        <v>5.3271468614349E-4</v>
      </c>
    </row>
    <row r="10" spans="1:19">
      <c r="A10" s="1" t="s">
        <v>15</v>
      </c>
      <c r="B10" s="14">
        <v>824</v>
      </c>
      <c r="C10" s="15">
        <v>6165</v>
      </c>
      <c r="D10" s="15">
        <v>2120</v>
      </c>
      <c r="E10" s="15">
        <v>-3038</v>
      </c>
      <c r="F10" s="15">
        <v>1450</v>
      </c>
      <c r="G10" s="17">
        <f t="shared" si="5"/>
        <v>7521</v>
      </c>
      <c r="H10" s="15">
        <f>4989-422</f>
        <v>4567</v>
      </c>
      <c r="I10" s="15">
        <f>20833-5154</f>
        <v>15679</v>
      </c>
      <c r="J10" s="16">
        <v>181433</v>
      </c>
      <c r="K10" s="16">
        <v>140093</v>
      </c>
      <c r="L10" s="16">
        <v>75502</v>
      </c>
      <c r="M10" s="17">
        <f t="shared" si="6"/>
        <v>417274</v>
      </c>
      <c r="N10" s="15">
        <f t="shared" si="7"/>
        <v>0.18042478651193344</v>
      </c>
      <c r="O10" s="15">
        <f t="shared" si="0"/>
        <v>0.39320109700873779</v>
      </c>
      <c r="P10" s="15">
        <f t="shared" si="1"/>
        <v>1.1684754151670314E-2</v>
      </c>
      <c r="Q10" s="15">
        <f t="shared" si="2"/>
        <v>-2.1685594569321807E-2</v>
      </c>
      <c r="R10" s="15">
        <f t="shared" si="3"/>
        <v>1.9204789277105241E-2</v>
      </c>
      <c r="S10" s="17">
        <f t="shared" si="4"/>
        <v>1.802412803098204E-2</v>
      </c>
    </row>
    <row r="11" spans="1:19">
      <c r="A11" s="1" t="s">
        <v>16</v>
      </c>
      <c r="B11" s="14">
        <v>102602</v>
      </c>
      <c r="C11" s="15">
        <v>46546</v>
      </c>
      <c r="D11" s="15">
        <v>182275</v>
      </c>
      <c r="E11" s="15">
        <v>-38917</v>
      </c>
      <c r="F11" s="15">
        <v>69909</v>
      </c>
      <c r="G11" s="17">
        <f t="shared" si="5"/>
        <v>362415</v>
      </c>
      <c r="H11" s="15">
        <f>106029-10527</f>
        <v>95502</v>
      </c>
      <c r="I11" s="15">
        <f>162736-106227</f>
        <v>56509</v>
      </c>
      <c r="J11" s="16">
        <v>422846</v>
      </c>
      <c r="K11" s="16">
        <v>398344</v>
      </c>
      <c r="L11" s="16">
        <v>427921</v>
      </c>
      <c r="M11" s="17">
        <f t="shared" si="6"/>
        <v>1401122</v>
      </c>
      <c r="N11" s="15">
        <f t="shared" si="7"/>
        <v>1.0743439927959624</v>
      </c>
      <c r="O11" s="15">
        <f t="shared" si="0"/>
        <v>0.82369180130598663</v>
      </c>
      <c r="P11" s="15">
        <f t="shared" si="1"/>
        <v>0.43106710244391577</v>
      </c>
      <c r="Q11" s="15">
        <f t="shared" si="2"/>
        <v>-9.7696965436908798E-2</v>
      </c>
      <c r="R11" s="15">
        <f t="shared" si="3"/>
        <v>0.16336893959399049</v>
      </c>
      <c r="S11" s="17">
        <f t="shared" si="4"/>
        <v>0.25866055918042824</v>
      </c>
    </row>
    <row r="12" spans="1:19">
      <c r="A12" s="1" t="s">
        <v>17</v>
      </c>
      <c r="B12" s="14">
        <v>10321</v>
      </c>
      <c r="C12" s="15">
        <v>1268</v>
      </c>
      <c r="D12" s="15">
        <v>1587</v>
      </c>
      <c r="E12" s="15">
        <v>529</v>
      </c>
      <c r="F12" s="15">
        <v>3773</v>
      </c>
      <c r="G12" s="17">
        <f t="shared" si="5"/>
        <v>17478</v>
      </c>
      <c r="H12" s="15">
        <f>279393-3137</f>
        <v>276256</v>
      </c>
      <c r="I12" s="15">
        <f>462991-282043</f>
        <v>180948</v>
      </c>
      <c r="J12" s="16">
        <v>144223</v>
      </c>
      <c r="K12" s="16">
        <v>382974</v>
      </c>
      <c r="L12" s="16">
        <v>552496</v>
      </c>
      <c r="M12" s="17">
        <f t="shared" si="6"/>
        <v>1536897</v>
      </c>
      <c r="N12" s="15">
        <f t="shared" si="7"/>
        <v>3.7360274527974052E-2</v>
      </c>
      <c r="O12" s="15">
        <f t="shared" si="0"/>
        <v>7.0075380772376596E-3</v>
      </c>
      <c r="P12" s="15">
        <f t="shared" si="1"/>
        <v>1.1003792737635467E-2</v>
      </c>
      <c r="Q12" s="15">
        <f t="shared" si="2"/>
        <v>1.3812948137471473E-3</v>
      </c>
      <c r="R12" s="15">
        <f t="shared" si="3"/>
        <v>6.8290087168051891E-3</v>
      </c>
      <c r="S12" s="17">
        <f t="shared" si="4"/>
        <v>1.1372265024917089E-2</v>
      </c>
    </row>
    <row r="13" spans="1:19">
      <c r="A13" s="1" t="s">
        <v>18</v>
      </c>
      <c r="B13" s="14">
        <v>37815</v>
      </c>
      <c r="C13" s="15">
        <v>162602</v>
      </c>
      <c r="D13" s="15">
        <v>92487</v>
      </c>
      <c r="E13" s="15">
        <v>125831</v>
      </c>
      <c r="F13" s="15">
        <v>153185</v>
      </c>
      <c r="G13" s="17">
        <f t="shared" si="5"/>
        <v>571920</v>
      </c>
      <c r="H13" s="15">
        <f>83580-81596</f>
        <v>1984</v>
      </c>
      <c r="I13" s="15">
        <f>85458-83583</f>
        <v>1875</v>
      </c>
      <c r="J13" s="16">
        <v>1647</v>
      </c>
      <c r="K13" s="16">
        <v>3130</v>
      </c>
      <c r="L13" s="16">
        <v>1572</v>
      </c>
      <c r="M13" s="17">
        <f t="shared" si="6"/>
        <v>10208</v>
      </c>
      <c r="N13" s="15">
        <f t="shared" si="7"/>
        <v>19.059979838709676</v>
      </c>
      <c r="O13" s="15">
        <f t="shared" si="0"/>
        <v>86.721066666666673</v>
      </c>
      <c r="P13" s="15">
        <f t="shared" si="1"/>
        <v>56.154826958105645</v>
      </c>
      <c r="Q13" s="15">
        <f t="shared" si="2"/>
        <v>40.201597444089458</v>
      </c>
      <c r="R13" s="15">
        <f t="shared" si="3"/>
        <v>97.445928753180667</v>
      </c>
      <c r="S13" s="17">
        <f t="shared" si="4"/>
        <v>56.026645768025077</v>
      </c>
    </row>
    <row r="14" spans="1:19">
      <c r="A14" s="1" t="s">
        <v>19</v>
      </c>
      <c r="B14" s="14">
        <v>6300</v>
      </c>
      <c r="C14" s="15">
        <v>890</v>
      </c>
      <c r="D14" s="15">
        <v>6769</v>
      </c>
      <c r="E14" s="15">
        <v>-992</v>
      </c>
      <c r="F14" s="15">
        <v>3982</v>
      </c>
      <c r="G14" s="17">
        <f t="shared" si="5"/>
        <v>16949</v>
      </c>
      <c r="H14" s="15">
        <f>97846-1065</f>
        <v>96781</v>
      </c>
      <c r="I14" s="15">
        <f>829679-102009</f>
        <v>727670</v>
      </c>
      <c r="J14" s="16">
        <v>807436</v>
      </c>
      <c r="K14" s="16">
        <v>751497</v>
      </c>
      <c r="L14" s="16">
        <f>1.82*1000000</f>
        <v>1820000</v>
      </c>
      <c r="M14" s="17">
        <f t="shared" si="6"/>
        <v>4203384</v>
      </c>
      <c r="N14" s="15">
        <f t="shared" si="7"/>
        <v>6.5095421622012581E-2</v>
      </c>
      <c r="O14" s="15">
        <f t="shared" si="0"/>
        <v>1.2230818915167591E-3</v>
      </c>
      <c r="P14" s="15">
        <f t="shared" si="1"/>
        <v>8.3833269757603076E-3</v>
      </c>
      <c r="Q14" s="15">
        <f t="shared" si="2"/>
        <v>-1.3200318830281425E-3</v>
      </c>
      <c r="R14" s="15">
        <f t="shared" si="3"/>
        <v>2.187912087912088E-3</v>
      </c>
      <c r="S14" s="17">
        <f t="shared" si="4"/>
        <v>4.0322273672831225E-3</v>
      </c>
    </row>
    <row r="15" spans="1:19">
      <c r="A15" s="1" t="s">
        <v>20</v>
      </c>
      <c r="B15" s="14">
        <v>808</v>
      </c>
      <c r="C15" s="15">
        <v>391</v>
      </c>
      <c r="D15" s="15">
        <v>668</v>
      </c>
      <c r="E15" s="15">
        <v>-31823</v>
      </c>
      <c r="F15" s="15">
        <v>0</v>
      </c>
      <c r="G15" s="17">
        <f t="shared" si="5"/>
        <v>-29956</v>
      </c>
      <c r="H15" s="15">
        <f>3459-375</f>
        <v>3084</v>
      </c>
      <c r="I15" s="15">
        <f>75760-3753</f>
        <v>72007</v>
      </c>
      <c r="J15" s="16">
        <v>92493</v>
      </c>
      <c r="K15" s="16">
        <v>47443</v>
      </c>
      <c r="L15" s="18">
        <v>151174</v>
      </c>
      <c r="M15" s="17">
        <f t="shared" si="6"/>
        <v>366201</v>
      </c>
      <c r="N15" s="15">
        <f t="shared" si="7"/>
        <v>0.26199740596627757</v>
      </c>
      <c r="O15" s="15">
        <f t="shared" si="0"/>
        <v>5.430027636202036E-3</v>
      </c>
      <c r="P15" s="15">
        <f t="shared" si="1"/>
        <v>7.2221681640772814E-3</v>
      </c>
      <c r="Q15" s="15">
        <f t="shared" si="2"/>
        <v>-0.67076281010897287</v>
      </c>
      <c r="R15" s="15">
        <f t="shared" si="3"/>
        <v>0</v>
      </c>
      <c r="S15" s="17">
        <f t="shared" si="4"/>
        <v>-8.1802070447650338E-2</v>
      </c>
    </row>
    <row r="16" spans="1:19">
      <c r="A16" s="1" t="s">
        <v>21</v>
      </c>
      <c r="B16" s="14">
        <v>2216</v>
      </c>
      <c r="C16" s="15">
        <v>1718</v>
      </c>
      <c r="D16" s="15">
        <v>1135</v>
      </c>
      <c r="E16" s="15">
        <v>1869</v>
      </c>
      <c r="F16" s="15">
        <v>1471</v>
      </c>
      <c r="G16" s="17">
        <f t="shared" si="5"/>
        <v>8409</v>
      </c>
      <c r="H16" s="15">
        <f>2777-963</f>
        <v>1814</v>
      </c>
      <c r="I16" s="15">
        <f>16593-2831</f>
        <v>13762</v>
      </c>
      <c r="J16" s="16">
        <v>194010</v>
      </c>
      <c r="K16" s="16">
        <v>59625</v>
      </c>
      <c r="L16" s="18">
        <v>85818</v>
      </c>
      <c r="M16" s="17">
        <f t="shared" si="6"/>
        <v>355029</v>
      </c>
      <c r="N16" s="15">
        <f t="shared" si="7"/>
        <v>1.2216097023153252</v>
      </c>
      <c r="O16" s="15">
        <f t="shared" si="0"/>
        <v>0.12483650632175555</v>
      </c>
      <c r="P16" s="15">
        <f t="shared" si="1"/>
        <v>5.8502139064996652E-3</v>
      </c>
      <c r="Q16" s="15">
        <f t="shared" si="2"/>
        <v>3.1345911949685536E-2</v>
      </c>
      <c r="R16" s="15">
        <f t="shared" si="3"/>
        <v>1.714092614602997E-2</v>
      </c>
      <c r="S16" s="17">
        <f t="shared" si="4"/>
        <v>2.3685389080891982E-2</v>
      </c>
    </row>
    <row r="17" spans="1:19">
      <c r="A17" s="1" t="s">
        <v>22</v>
      </c>
      <c r="B17" s="14">
        <v>5046</v>
      </c>
      <c r="C17" s="15">
        <v>8321</v>
      </c>
      <c r="D17" s="15">
        <v>9481</v>
      </c>
      <c r="E17" s="15">
        <v>-7981</v>
      </c>
      <c r="F17" s="15">
        <v>3992</v>
      </c>
      <c r="G17" s="17">
        <f t="shared" si="5"/>
        <v>18859</v>
      </c>
      <c r="H17" s="15">
        <f>996-262</f>
        <v>734</v>
      </c>
      <c r="I17" s="15">
        <f>1743-998</f>
        <v>745</v>
      </c>
      <c r="J17" s="16">
        <v>20591</v>
      </c>
      <c r="K17" s="16">
        <v>22997</v>
      </c>
      <c r="L17" s="16">
        <v>29719</v>
      </c>
      <c r="M17" s="17">
        <f t="shared" si="6"/>
        <v>74786</v>
      </c>
      <c r="N17" s="15">
        <f t="shared" si="7"/>
        <v>6.8746594005449593</v>
      </c>
      <c r="O17" s="15">
        <f t="shared" si="0"/>
        <v>11.169127516778524</v>
      </c>
      <c r="P17" s="15">
        <f t="shared" si="1"/>
        <v>0.4604438832499636</v>
      </c>
      <c r="Q17" s="15">
        <f t="shared" si="2"/>
        <v>-0.34704526677392705</v>
      </c>
      <c r="R17" s="15">
        <f t="shared" si="3"/>
        <v>0.13432484269322656</v>
      </c>
      <c r="S17" s="17">
        <f t="shared" si="4"/>
        <v>0.25217286657930627</v>
      </c>
    </row>
    <row r="18" spans="1:19" ht="28.8">
      <c r="A18" s="1" t="s">
        <v>23</v>
      </c>
      <c r="B18" s="14">
        <v>3705</v>
      </c>
      <c r="C18" s="15">
        <v>4734</v>
      </c>
      <c r="D18" s="15">
        <v>13238</v>
      </c>
      <c r="E18" s="15">
        <v>-9294</v>
      </c>
      <c r="F18" s="15">
        <v>3334</v>
      </c>
      <c r="G18" s="17">
        <f t="shared" si="5"/>
        <v>15717</v>
      </c>
      <c r="H18" s="15">
        <f>11954-3508</f>
        <v>8446</v>
      </c>
      <c r="I18" s="15">
        <f>70763-12046</f>
        <v>58717</v>
      </c>
      <c r="J18" s="16">
        <v>644406</v>
      </c>
      <c r="K18" s="16">
        <v>800310</v>
      </c>
      <c r="L18" s="19">
        <v>127670</v>
      </c>
      <c r="M18" s="17">
        <f t="shared" si="6"/>
        <v>1639549</v>
      </c>
      <c r="N18" s="15">
        <f t="shared" si="7"/>
        <v>0.43866919251716791</v>
      </c>
      <c r="O18" s="15">
        <f t="shared" si="0"/>
        <v>8.0624010082258973E-2</v>
      </c>
      <c r="P18" s="15">
        <f t="shared" si="1"/>
        <v>2.0542949631133168E-2</v>
      </c>
      <c r="Q18" s="15">
        <f t="shared" si="2"/>
        <v>-1.1612999962514525E-2</v>
      </c>
      <c r="R18" s="15">
        <f t="shared" si="3"/>
        <v>2.6114200673611657E-2</v>
      </c>
      <c r="S18" s="17">
        <f t="shared" si="4"/>
        <v>9.5861727828811458E-3</v>
      </c>
    </row>
    <row r="19" spans="1:19">
      <c r="A19" s="1" t="s">
        <v>24</v>
      </c>
      <c r="B19" s="14">
        <v>46191</v>
      </c>
      <c r="C19" s="15">
        <v>27372</v>
      </c>
      <c r="D19" s="15">
        <v>23872</v>
      </c>
      <c r="E19" s="15">
        <v>-24408</v>
      </c>
      <c r="F19" s="15">
        <v>17329</v>
      </c>
      <c r="G19" s="17">
        <f t="shared" si="5"/>
        <v>90356</v>
      </c>
      <c r="H19" s="15">
        <f>12968-3290</f>
        <v>9678</v>
      </c>
      <c r="I19" s="15">
        <f>28479-12994</f>
        <v>15485</v>
      </c>
      <c r="J19" s="16">
        <v>135234</v>
      </c>
      <c r="K19" s="19">
        <v>64728</v>
      </c>
      <c r="L19" s="19">
        <v>62546</v>
      </c>
      <c r="M19" s="17">
        <f t="shared" si="6"/>
        <v>287671</v>
      </c>
      <c r="N19" s="15">
        <f t="shared" si="7"/>
        <v>4.772783632982021</v>
      </c>
      <c r="O19" s="15">
        <f t="shared" si="0"/>
        <v>1.7676461091378755</v>
      </c>
      <c r="P19" s="15">
        <f t="shared" si="1"/>
        <v>0.17652365529378705</v>
      </c>
      <c r="Q19" s="15">
        <f t="shared" si="2"/>
        <v>-0.37708565072302558</v>
      </c>
      <c r="R19" s="15">
        <f t="shared" si="3"/>
        <v>0.27706008377833913</v>
      </c>
      <c r="S19" s="17">
        <f t="shared" si="4"/>
        <v>0.31409492093398361</v>
      </c>
    </row>
    <row r="20" spans="1:19">
      <c r="A20" s="1" t="s">
        <v>25</v>
      </c>
      <c r="B20" s="14">
        <v>139</v>
      </c>
      <c r="C20" s="15">
        <v>-357</v>
      </c>
      <c r="D20" s="15">
        <v>4767</v>
      </c>
      <c r="E20" s="15">
        <v>-282</v>
      </c>
      <c r="F20" s="15">
        <v>-842</v>
      </c>
      <c r="G20" s="17">
        <f t="shared" si="5"/>
        <v>3425</v>
      </c>
      <c r="H20" s="15">
        <f>56432-2748</f>
        <v>53684</v>
      </c>
      <c r="I20" s="15">
        <f>137047-58257</f>
        <v>78790</v>
      </c>
      <c r="J20" s="16">
        <v>73928</v>
      </c>
      <c r="K20" s="19">
        <f>115377</f>
        <v>115377</v>
      </c>
      <c r="L20" s="19">
        <v>128116</v>
      </c>
      <c r="M20" s="17">
        <f t="shared" si="6"/>
        <v>449895</v>
      </c>
      <c r="N20" s="15">
        <f t="shared" si="7"/>
        <v>2.5892258401013337E-3</v>
      </c>
      <c r="O20" s="15">
        <f t="shared" si="0"/>
        <v>-4.5310318568346237E-3</v>
      </c>
      <c r="P20" s="15">
        <f t="shared" si="1"/>
        <v>6.4481657829239258E-2</v>
      </c>
      <c r="Q20" s="15">
        <f t="shared" si="2"/>
        <v>-2.4441613146467668E-3</v>
      </c>
      <c r="R20" s="15">
        <f t="shared" si="3"/>
        <v>-6.5721689718692437E-3</v>
      </c>
      <c r="S20" s="17">
        <f t="shared" si="4"/>
        <v>7.6128874515164653E-3</v>
      </c>
    </row>
    <row r="21" spans="1:19" ht="28.8">
      <c r="A21" s="1" t="s">
        <v>26</v>
      </c>
      <c r="B21" s="14">
        <v>12198</v>
      </c>
      <c r="C21" s="15">
        <v>1848</v>
      </c>
      <c r="D21" s="15">
        <v>3858</v>
      </c>
      <c r="E21" s="15">
        <v>5645</v>
      </c>
      <c r="F21" s="15">
        <v>3019</v>
      </c>
      <c r="G21" s="17">
        <f t="shared" si="5"/>
        <v>26568</v>
      </c>
      <c r="H21" s="15">
        <f>68311-779</f>
        <v>67532</v>
      </c>
      <c r="I21" s="15">
        <f>103198-69814</f>
        <v>33384</v>
      </c>
      <c r="J21" s="16">
        <v>34745</v>
      </c>
      <c r="K21" s="16">
        <v>62660</v>
      </c>
      <c r="L21" s="16">
        <v>78439</v>
      </c>
      <c r="M21" s="17">
        <f t="shared" si="6"/>
        <v>276760</v>
      </c>
      <c r="N21" s="15">
        <f t="shared" si="7"/>
        <v>0.18062548125333175</v>
      </c>
      <c r="O21" s="15">
        <f t="shared" si="0"/>
        <v>5.5355859094176854E-2</v>
      </c>
      <c r="P21" s="15">
        <f t="shared" si="1"/>
        <v>0.11103755936105915</v>
      </c>
      <c r="Q21" s="15">
        <f t="shared" si="2"/>
        <v>9.0089371209703159E-2</v>
      </c>
      <c r="R21" s="15">
        <f t="shared" si="3"/>
        <v>3.848850699269496E-2</v>
      </c>
      <c r="S21" s="17">
        <f t="shared" si="4"/>
        <v>9.5996531290648932E-2</v>
      </c>
    </row>
    <row r="22" spans="1:19">
      <c r="A22" s="1" t="s">
        <v>27</v>
      </c>
      <c r="B22" s="14">
        <v>603</v>
      </c>
      <c r="C22" s="15">
        <v>457</v>
      </c>
      <c r="D22" s="15">
        <v>-119</v>
      </c>
      <c r="E22" s="15">
        <v>-332</v>
      </c>
      <c r="F22" s="15">
        <v>434</v>
      </c>
      <c r="G22" s="17">
        <f t="shared" si="5"/>
        <v>1043</v>
      </c>
      <c r="H22" s="15">
        <f>6438-32</f>
        <v>6406</v>
      </c>
      <c r="I22" s="15">
        <f>29077-6736</f>
        <v>22341</v>
      </c>
      <c r="J22" s="16">
        <v>17067</v>
      </c>
      <c r="K22" s="16">
        <v>18211</v>
      </c>
      <c r="L22" s="19">
        <v>13891</v>
      </c>
      <c r="M22" s="17">
        <f t="shared" si="6"/>
        <v>77916</v>
      </c>
      <c r="N22" s="15">
        <f t="shared" si="7"/>
        <v>9.4130502653762105E-2</v>
      </c>
      <c r="O22" s="15">
        <f t="shared" si="0"/>
        <v>2.0455664473389732E-2</v>
      </c>
      <c r="P22" s="15">
        <f t="shared" si="1"/>
        <v>-6.9725200679674228E-3</v>
      </c>
      <c r="Q22" s="15">
        <f t="shared" si="2"/>
        <v>-1.8230739662841139E-2</v>
      </c>
      <c r="R22" s="15">
        <f t="shared" si="3"/>
        <v>3.1243251025844073E-2</v>
      </c>
      <c r="S22" s="17">
        <f t="shared" si="4"/>
        <v>1.3386210791108372E-2</v>
      </c>
    </row>
    <row r="23" spans="1:19">
      <c r="A23" s="1" t="s">
        <v>28</v>
      </c>
      <c r="B23" s="14">
        <v>3651</v>
      </c>
      <c r="C23" s="15">
        <v>1567</v>
      </c>
      <c r="D23" s="15">
        <v>1472</v>
      </c>
      <c r="E23" s="15">
        <v>442</v>
      </c>
      <c r="F23" s="15">
        <v>754</v>
      </c>
      <c r="G23" s="17">
        <f t="shared" si="5"/>
        <v>7886</v>
      </c>
      <c r="H23" s="15">
        <f>1989-779</f>
        <v>1210</v>
      </c>
      <c r="I23" s="15">
        <f>3371-1989</f>
        <v>1382</v>
      </c>
      <c r="J23" s="16">
        <v>24540</v>
      </c>
      <c r="K23" s="16">
        <v>78018</v>
      </c>
      <c r="L23" s="18">
        <v>23811</v>
      </c>
      <c r="M23" s="17">
        <f t="shared" si="6"/>
        <v>128961</v>
      </c>
      <c r="N23" s="15">
        <f t="shared" si="7"/>
        <v>3.0173553719008264</v>
      </c>
      <c r="O23" s="15">
        <f t="shared" si="0"/>
        <v>1.133863965267728</v>
      </c>
      <c r="P23" s="15">
        <f t="shared" si="1"/>
        <v>5.9983700081499593E-2</v>
      </c>
      <c r="Q23" s="15">
        <f t="shared" si="2"/>
        <v>5.6653592760644977E-3</v>
      </c>
      <c r="R23" s="15">
        <f t="shared" si="3"/>
        <v>3.1666036705724245E-2</v>
      </c>
      <c r="S23" s="17">
        <f t="shared" si="4"/>
        <v>6.115027023673824E-2</v>
      </c>
    </row>
    <row r="24" spans="1:19">
      <c r="A24" s="1" t="s">
        <v>29</v>
      </c>
      <c r="B24" s="14">
        <v>10628</v>
      </c>
      <c r="C24" s="15">
        <v>16034</v>
      </c>
      <c r="D24" s="15">
        <v>-12250</v>
      </c>
      <c r="E24" s="15">
        <v>38083</v>
      </c>
      <c r="F24" s="15">
        <v>6549</v>
      </c>
      <c r="G24" s="17">
        <f t="shared" si="5"/>
        <v>59044</v>
      </c>
      <c r="H24" s="15">
        <f>7214-1446</f>
        <v>5768</v>
      </c>
      <c r="I24" s="15">
        <f>9992-7236</f>
        <v>2756</v>
      </c>
      <c r="J24" s="16">
        <v>26004</v>
      </c>
      <c r="K24" s="16">
        <v>41049</v>
      </c>
      <c r="L24" s="16">
        <v>17636</v>
      </c>
      <c r="M24" s="17">
        <f t="shared" si="6"/>
        <v>93213</v>
      </c>
      <c r="N24" s="15">
        <f t="shared" si="7"/>
        <v>1.8425797503467407</v>
      </c>
      <c r="O24" s="15">
        <f t="shared" si="0"/>
        <v>5.8178519593613931</v>
      </c>
      <c r="P24" s="15">
        <f t="shared" si="1"/>
        <v>-0.4710813720966005</v>
      </c>
      <c r="Q24" s="15">
        <f t="shared" si="2"/>
        <v>0.92774489025311213</v>
      </c>
      <c r="R24" s="15">
        <f t="shared" si="3"/>
        <v>0.37134270809707415</v>
      </c>
      <c r="S24" s="17">
        <f t="shared" si="4"/>
        <v>0.63343095920096981</v>
      </c>
    </row>
    <row r="25" spans="1:19">
      <c r="A25" s="1" t="s">
        <v>30</v>
      </c>
      <c r="B25" s="14">
        <v>28573</v>
      </c>
      <c r="C25" s="15">
        <v>337815</v>
      </c>
      <c r="D25" s="15">
        <v>277648</v>
      </c>
      <c r="E25" s="15">
        <v>-16167</v>
      </c>
      <c r="F25" s="15">
        <v>132970</v>
      </c>
      <c r="G25" s="17">
        <f t="shared" si="5"/>
        <v>760839</v>
      </c>
      <c r="H25" s="15">
        <f>204244-57125</f>
        <v>147119</v>
      </c>
      <c r="I25" s="15">
        <f>605893-205234</f>
        <v>400659</v>
      </c>
      <c r="J25" s="16">
        <f>2.06*1000000</f>
        <v>2060000</v>
      </c>
      <c r="K25" s="16">
        <f>2.01*1000000</f>
        <v>2009999.9999999998</v>
      </c>
      <c r="L25" s="19">
        <f>1.08*1000000</f>
        <v>1080000</v>
      </c>
      <c r="M25" s="17">
        <f t="shared" si="6"/>
        <v>5697778</v>
      </c>
      <c r="N25" s="15">
        <f t="shared" si="7"/>
        <v>0.19421692643370334</v>
      </c>
      <c r="O25" s="15">
        <f t="shared" si="0"/>
        <v>0.84314841298959964</v>
      </c>
      <c r="P25" s="15">
        <f t="shared" si="1"/>
        <v>0.13478058252427186</v>
      </c>
      <c r="Q25" s="15">
        <f t="shared" si="2"/>
        <v>-8.0432835820895537E-3</v>
      </c>
      <c r="R25" s="15">
        <f t="shared" si="3"/>
        <v>0.12312037037037037</v>
      </c>
      <c r="S25" s="17">
        <f t="shared" si="4"/>
        <v>0.13353258059545317</v>
      </c>
    </row>
    <row r="26" spans="1:19">
      <c r="A26" s="1" t="s">
        <v>31</v>
      </c>
      <c r="B26" s="14">
        <v>554</v>
      </c>
      <c r="C26" s="15">
        <v>1068</v>
      </c>
      <c r="D26" s="15">
        <v>658</v>
      </c>
      <c r="E26" s="15">
        <v>13</v>
      </c>
      <c r="F26" s="15">
        <v>10</v>
      </c>
      <c r="G26" s="17">
        <f t="shared" si="5"/>
        <v>2303</v>
      </c>
      <c r="H26" s="15">
        <f>928-117</f>
        <v>811</v>
      </c>
      <c r="I26" s="15">
        <f>6192-931</f>
        <v>5261</v>
      </c>
      <c r="J26" s="16">
        <v>220780</v>
      </c>
      <c r="K26" s="16">
        <v>53351</v>
      </c>
      <c r="L26" s="18">
        <v>83818</v>
      </c>
      <c r="M26" s="17">
        <f t="shared" si="6"/>
        <v>364021</v>
      </c>
      <c r="N26" s="15">
        <f t="shared" si="7"/>
        <v>0.68310727496917389</v>
      </c>
      <c r="O26" s="15">
        <f t="shared" si="0"/>
        <v>0.20300323132484319</v>
      </c>
      <c r="P26" s="15">
        <f t="shared" si="1"/>
        <v>2.9803424223208623E-3</v>
      </c>
      <c r="Q26" s="15">
        <f t="shared" si="2"/>
        <v>2.4366928454949298E-4</v>
      </c>
      <c r="R26" s="15">
        <f t="shared" si="3"/>
        <v>1.1930611563148727E-4</v>
      </c>
      <c r="S26" s="17">
        <f t="shared" si="4"/>
        <v>6.3265580831875085E-3</v>
      </c>
    </row>
    <row r="27" spans="1:19">
      <c r="A27" s="3" t="s">
        <v>37</v>
      </c>
      <c r="B27" s="14">
        <v>321645</v>
      </c>
      <c r="C27" s="15">
        <v>436638</v>
      </c>
      <c r="D27" s="15">
        <v>261916</v>
      </c>
      <c r="E27" s="15">
        <v>-72396</v>
      </c>
      <c r="F27" s="15">
        <v>160238</v>
      </c>
      <c r="G27" s="17">
        <f t="shared" si="5"/>
        <v>1108041</v>
      </c>
      <c r="H27" s="15">
        <v>123610</v>
      </c>
      <c r="I27" s="15">
        <v>97495</v>
      </c>
      <c r="J27" s="20">
        <v>1467607</v>
      </c>
      <c r="K27" s="20">
        <v>1083124</v>
      </c>
      <c r="L27" s="20">
        <v>892561</v>
      </c>
      <c r="M27" s="17">
        <f t="shared" si="6"/>
        <v>3664397</v>
      </c>
      <c r="N27" s="15">
        <f t="shared" si="7"/>
        <v>2.6020952997330311</v>
      </c>
      <c r="O27" s="15">
        <f t="shared" si="0"/>
        <v>4.4785681316990615</v>
      </c>
      <c r="P27" s="15">
        <f t="shared" si="1"/>
        <v>0.17846467071906852</v>
      </c>
      <c r="Q27" s="15">
        <f t="shared" si="2"/>
        <v>-6.683999246623655E-2</v>
      </c>
      <c r="R27" s="15">
        <f t="shared" si="3"/>
        <v>0.1795261052185789</v>
      </c>
      <c r="S27" s="17">
        <f t="shared" si="4"/>
        <v>0.30238017332728961</v>
      </c>
    </row>
    <row r="28" spans="1:19">
      <c r="A28" s="3" t="s">
        <v>38</v>
      </c>
      <c r="B28" s="14">
        <v>28582</v>
      </c>
      <c r="C28" s="15">
        <v>39399</v>
      </c>
      <c r="D28" s="15">
        <v>35595</v>
      </c>
      <c r="E28" s="15">
        <v>-19089</v>
      </c>
      <c r="F28" s="15">
        <v>37915</v>
      </c>
      <c r="G28" s="17">
        <f t="shared" si="5"/>
        <v>122402</v>
      </c>
      <c r="H28" s="15">
        <v>2253</v>
      </c>
      <c r="I28" s="15">
        <v>15066</v>
      </c>
      <c r="J28" s="21">
        <v>120375</v>
      </c>
      <c r="K28" s="21">
        <v>124839</v>
      </c>
      <c r="L28" s="22">
        <v>158767</v>
      </c>
      <c r="M28" s="17">
        <f t="shared" si="6"/>
        <v>421300</v>
      </c>
      <c r="N28" s="15">
        <f t="shared" si="7"/>
        <v>12.686196182867288</v>
      </c>
      <c r="O28" s="15">
        <f t="shared" si="0"/>
        <v>2.615093588211868</v>
      </c>
      <c r="P28" s="15">
        <f t="shared" si="1"/>
        <v>0.29570093457943925</v>
      </c>
      <c r="Q28" s="15">
        <f t="shared" si="2"/>
        <v>-0.15290894672337971</v>
      </c>
      <c r="R28" s="15">
        <f t="shared" si="3"/>
        <v>0.23880907241429264</v>
      </c>
      <c r="S28" s="17">
        <f t="shared" si="4"/>
        <v>0.29053406123902209</v>
      </c>
    </row>
    <row r="29" spans="1:19">
      <c r="A29" s="3" t="s">
        <v>39</v>
      </c>
      <c r="B29" s="14">
        <v>-10972</v>
      </c>
      <c r="C29" s="15">
        <v>41633</v>
      </c>
      <c r="D29" s="15">
        <v>65015</v>
      </c>
      <c r="E29" s="15">
        <v>-6942</v>
      </c>
      <c r="F29" s="15">
        <v>56311</v>
      </c>
      <c r="G29" s="17">
        <f t="shared" si="5"/>
        <v>145045</v>
      </c>
      <c r="H29" s="15">
        <v>491</v>
      </c>
      <c r="I29" s="15">
        <v>3882</v>
      </c>
      <c r="J29" s="21">
        <v>3759</v>
      </c>
      <c r="K29" s="21">
        <v>2621</v>
      </c>
      <c r="L29" s="23">
        <v>456</v>
      </c>
      <c r="M29" s="17">
        <f t="shared" si="6"/>
        <v>11209</v>
      </c>
      <c r="N29" s="15">
        <f t="shared" si="7"/>
        <v>-22.346232179226071</v>
      </c>
      <c r="O29" s="15">
        <f t="shared" si="0"/>
        <v>10.72462648119526</v>
      </c>
      <c r="P29" s="15">
        <f t="shared" si="1"/>
        <v>17.295823357275872</v>
      </c>
      <c r="Q29" s="15">
        <f t="shared" si="2"/>
        <v>-2.6486074017550552</v>
      </c>
      <c r="R29" s="15">
        <f t="shared" si="3"/>
        <v>123.4890350877193</v>
      </c>
      <c r="S29" s="17">
        <f t="shared" si="4"/>
        <v>12.9400481755732</v>
      </c>
    </row>
    <row r="30" spans="1:19">
      <c r="A30" s="3" t="s">
        <v>40</v>
      </c>
      <c r="B30" s="14">
        <v>75111</v>
      </c>
      <c r="C30" s="15">
        <v>10390</v>
      </c>
      <c r="D30" s="15">
        <v>12329</v>
      </c>
      <c r="E30" s="15">
        <v>4256</v>
      </c>
      <c r="F30" s="15">
        <v>7595</v>
      </c>
      <c r="G30" s="17">
        <f t="shared" si="5"/>
        <v>109681</v>
      </c>
      <c r="H30" s="15">
        <v>3663</v>
      </c>
      <c r="I30" s="15">
        <v>22306</v>
      </c>
      <c r="J30" s="15">
        <v>296053</v>
      </c>
      <c r="K30" s="15">
        <v>329919</v>
      </c>
      <c r="L30" s="15">
        <v>155695</v>
      </c>
      <c r="M30" s="17">
        <f t="shared" si="6"/>
        <v>807636</v>
      </c>
      <c r="N30" s="15">
        <f t="shared" si="7"/>
        <v>20.505323505323506</v>
      </c>
      <c r="O30" s="15">
        <f t="shared" si="0"/>
        <v>0.46579395678292834</v>
      </c>
      <c r="P30" s="15">
        <f t="shared" si="1"/>
        <v>4.1644570397867953E-2</v>
      </c>
      <c r="Q30" s="15">
        <f t="shared" si="2"/>
        <v>1.2900136094010955E-2</v>
      </c>
      <c r="R30" s="15">
        <f t="shared" si="3"/>
        <v>4.8781271074857899E-2</v>
      </c>
      <c r="S30" s="17">
        <f t="shared" si="4"/>
        <v>0.13580499135749274</v>
      </c>
    </row>
    <row r="31" spans="1:19">
      <c r="A31" s="3" t="s">
        <v>41</v>
      </c>
      <c r="B31" s="14">
        <v>718</v>
      </c>
      <c r="C31" s="15">
        <v>30</v>
      </c>
      <c r="D31" s="15">
        <v>159</v>
      </c>
      <c r="E31" s="15">
        <v>659</v>
      </c>
      <c r="F31" s="15">
        <v>296</v>
      </c>
      <c r="G31" s="17">
        <f t="shared" si="5"/>
        <v>1862</v>
      </c>
      <c r="H31" s="15">
        <v>689</v>
      </c>
      <c r="I31" s="15">
        <v>904</v>
      </c>
      <c r="J31" s="15">
        <v>3026</v>
      </c>
      <c r="K31" s="15">
        <v>451</v>
      </c>
      <c r="L31" s="15">
        <v>444</v>
      </c>
      <c r="M31" s="17">
        <f t="shared" si="6"/>
        <v>5514</v>
      </c>
      <c r="N31" s="15">
        <f t="shared" si="7"/>
        <v>1.042089985486212</v>
      </c>
      <c r="O31" s="15">
        <f t="shared" si="0"/>
        <v>3.3185840707964605E-2</v>
      </c>
      <c r="P31" s="15">
        <f t="shared" si="1"/>
        <v>5.2544613350958363E-2</v>
      </c>
      <c r="Q31" s="15">
        <f t="shared" si="2"/>
        <v>1.4611973392461197</v>
      </c>
      <c r="R31" s="15">
        <f t="shared" si="3"/>
        <v>0.66666666666666663</v>
      </c>
      <c r="S31" s="17">
        <f t="shared" si="4"/>
        <v>0.33768589046064562</v>
      </c>
    </row>
    <row r="32" spans="1:19">
      <c r="A32" s="3" t="s">
        <v>42</v>
      </c>
      <c r="B32" s="14">
        <v>-2941</v>
      </c>
      <c r="C32" s="15">
        <v>1696</v>
      </c>
      <c r="D32" s="15">
        <v>7004</v>
      </c>
      <c r="E32" s="15">
        <v>5738</v>
      </c>
      <c r="F32" s="15">
        <v>1619</v>
      </c>
      <c r="G32" s="17">
        <f t="shared" si="5"/>
        <v>13116</v>
      </c>
      <c r="H32" s="15">
        <v>584084</v>
      </c>
      <c r="I32" s="15">
        <v>5727103</v>
      </c>
      <c r="J32" s="15">
        <v>3974125</v>
      </c>
      <c r="K32" s="15">
        <v>1934956</v>
      </c>
      <c r="L32" s="15">
        <v>18189969</v>
      </c>
      <c r="M32" s="17">
        <f t="shared" si="6"/>
        <v>30410237</v>
      </c>
      <c r="N32" s="15">
        <f t="shared" si="7"/>
        <v>-5.0352346580286398E-3</v>
      </c>
      <c r="O32" s="15">
        <f t="shared" si="0"/>
        <v>2.9613576008673145E-4</v>
      </c>
      <c r="P32" s="15">
        <f t="shared" si="1"/>
        <v>1.7624005284182054E-3</v>
      </c>
      <c r="Q32" s="15">
        <f t="shared" si="2"/>
        <v>2.9654421082443219E-3</v>
      </c>
      <c r="R32" s="15">
        <f t="shared" si="3"/>
        <v>8.9005099458938053E-5</v>
      </c>
      <c r="S32" s="17">
        <f t="shared" si="4"/>
        <v>4.3130213026619952E-4</v>
      </c>
    </row>
    <row r="33" spans="1:19">
      <c r="A33" s="3" t="s">
        <v>43</v>
      </c>
      <c r="B33" s="14">
        <v>19480</v>
      </c>
      <c r="C33" s="15">
        <v>41321</v>
      </c>
      <c r="D33" s="15">
        <v>8651</v>
      </c>
      <c r="E33" s="15">
        <v>-2136</v>
      </c>
      <c r="F33" s="15">
        <v>842</v>
      </c>
      <c r="G33" s="17">
        <f t="shared" si="5"/>
        <v>68158</v>
      </c>
      <c r="H33" s="15">
        <v>54857</v>
      </c>
      <c r="I33" s="15">
        <v>230623</v>
      </c>
      <c r="J33" s="15">
        <v>456190</v>
      </c>
      <c r="K33" s="15">
        <v>768514</v>
      </c>
      <c r="L33" s="15">
        <v>666560</v>
      </c>
      <c r="M33" s="17">
        <f t="shared" si="6"/>
        <v>2176744</v>
      </c>
      <c r="N33" s="15">
        <f t="shared" si="7"/>
        <v>0.35510509141950891</v>
      </c>
      <c r="O33" s="15">
        <f t="shared" si="0"/>
        <v>0.17917120148467411</v>
      </c>
      <c r="P33" s="15">
        <f t="shared" si="1"/>
        <v>1.8963589732348362E-2</v>
      </c>
      <c r="Q33" s="15">
        <f t="shared" si="2"/>
        <v>-2.7793898354486709E-3</v>
      </c>
      <c r="R33" s="15">
        <f t="shared" si="3"/>
        <v>1.2632021123379742E-3</v>
      </c>
      <c r="S33" s="17">
        <f t="shared" si="4"/>
        <v>3.1311904385632854E-2</v>
      </c>
    </row>
    <row r="34" spans="1:19">
      <c r="A34" s="3" t="s">
        <v>44</v>
      </c>
      <c r="B34" s="14">
        <v>9101</v>
      </c>
      <c r="C34" s="15">
        <v>7781</v>
      </c>
      <c r="D34" s="15">
        <v>8207</v>
      </c>
      <c r="E34" s="15">
        <v>10155</v>
      </c>
      <c r="F34" s="15">
        <v>7550</v>
      </c>
      <c r="G34" s="17">
        <f t="shared" si="5"/>
        <v>42794</v>
      </c>
      <c r="H34" s="15">
        <v>19721</v>
      </c>
      <c r="I34" s="15">
        <v>221973</v>
      </c>
      <c r="J34" s="15">
        <v>175851</v>
      </c>
      <c r="K34" s="15">
        <v>409843</v>
      </c>
      <c r="L34" s="15">
        <v>8672</v>
      </c>
      <c r="M34" s="17">
        <f t="shared" si="6"/>
        <v>836060</v>
      </c>
      <c r="N34" s="15">
        <f t="shared" si="7"/>
        <v>0.461487754170681</v>
      </c>
      <c r="O34" s="15">
        <f t="shared" si="0"/>
        <v>3.5053812851112524E-2</v>
      </c>
      <c r="P34" s="15">
        <f t="shared" si="1"/>
        <v>4.6670192378775212E-2</v>
      </c>
      <c r="Q34" s="15">
        <f t="shared" si="2"/>
        <v>2.477778075994954E-2</v>
      </c>
      <c r="R34" s="15">
        <f t="shared" si="3"/>
        <v>0.87061808118081185</v>
      </c>
      <c r="S34" s="17">
        <f t="shared" si="4"/>
        <v>5.1185321627634381E-2</v>
      </c>
    </row>
    <row r="35" spans="1:19">
      <c r="A35" s="3" t="s">
        <v>45</v>
      </c>
      <c r="B35" s="14">
        <v>96111</v>
      </c>
      <c r="C35" s="15">
        <v>135079</v>
      </c>
      <c r="D35" s="15">
        <v>154303</v>
      </c>
      <c r="E35" s="15">
        <v>-102087</v>
      </c>
      <c r="F35" s="15">
        <v>66488</v>
      </c>
      <c r="G35" s="17">
        <f t="shared" si="5"/>
        <v>349894</v>
      </c>
      <c r="H35" s="15">
        <v>134786</v>
      </c>
      <c r="I35" s="15">
        <v>74283</v>
      </c>
      <c r="J35" s="15">
        <v>1792305</v>
      </c>
      <c r="K35" s="15">
        <v>1477733</v>
      </c>
      <c r="L35" s="15">
        <v>675010</v>
      </c>
      <c r="M35" s="17">
        <f t="shared" si="6"/>
        <v>4154117</v>
      </c>
      <c r="N35" s="15">
        <f t="shared" si="7"/>
        <v>0.71306367130117376</v>
      </c>
      <c r="O35" s="15">
        <f t="shared" si="0"/>
        <v>1.818437596758343</v>
      </c>
      <c r="P35" s="15">
        <f t="shared" si="1"/>
        <v>8.6091931897751772E-2</v>
      </c>
      <c r="Q35" s="15">
        <f t="shared" si="2"/>
        <v>-6.9083521854083244E-2</v>
      </c>
      <c r="R35" s="15">
        <f t="shared" si="3"/>
        <v>9.8499281492126042E-2</v>
      </c>
      <c r="S35" s="17">
        <f t="shared" si="4"/>
        <v>8.4228248746965967E-2</v>
      </c>
    </row>
    <row r="36" spans="1:19">
      <c r="A36" s="3" t="s">
        <v>46</v>
      </c>
      <c r="B36" s="14">
        <v>-65513</v>
      </c>
      <c r="C36" s="15">
        <v>108552</v>
      </c>
      <c r="D36" s="15">
        <v>42138</v>
      </c>
      <c r="E36" s="15">
        <v>-133938</v>
      </c>
      <c r="F36" s="15">
        <v>-89978</v>
      </c>
      <c r="G36" s="17">
        <f t="shared" si="5"/>
        <v>-138739</v>
      </c>
      <c r="H36" s="15">
        <v>16360</v>
      </c>
      <c r="I36" s="15">
        <v>64976</v>
      </c>
      <c r="J36" s="15">
        <v>152220</v>
      </c>
      <c r="K36" s="15">
        <v>238830</v>
      </c>
      <c r="L36" s="15">
        <v>325664</v>
      </c>
      <c r="M36" s="17">
        <f t="shared" si="6"/>
        <v>798050</v>
      </c>
      <c r="N36" s="15">
        <f t="shared" si="7"/>
        <v>-4.0044621026894864</v>
      </c>
      <c r="O36" s="15">
        <f t="shared" si="0"/>
        <v>1.6706476237379955</v>
      </c>
      <c r="P36" s="15">
        <f t="shared" si="1"/>
        <v>0.2768230193141506</v>
      </c>
      <c r="Q36" s="15">
        <f t="shared" si="2"/>
        <v>-0.56080894360005029</v>
      </c>
      <c r="R36" s="15">
        <f t="shared" si="3"/>
        <v>-0.27629090105139037</v>
      </c>
      <c r="S36" s="17">
        <f t="shared" si="4"/>
        <v>-0.1738475032892676</v>
      </c>
    </row>
    <row r="37" spans="1:19">
      <c r="A37" s="3" t="s">
        <v>47</v>
      </c>
      <c r="B37" s="14">
        <v>564</v>
      </c>
      <c r="C37" s="15">
        <v>2964</v>
      </c>
      <c r="D37" s="15">
        <v>110</v>
      </c>
      <c r="E37" s="15">
        <v>-450</v>
      </c>
      <c r="F37" s="15">
        <v>796</v>
      </c>
      <c r="G37" s="17">
        <f t="shared" si="5"/>
        <v>3984</v>
      </c>
      <c r="H37" s="15">
        <v>858</v>
      </c>
      <c r="I37" s="15">
        <v>10693</v>
      </c>
      <c r="J37" s="15">
        <v>282669</v>
      </c>
      <c r="K37" s="15">
        <v>317083</v>
      </c>
      <c r="L37" s="15">
        <v>139827</v>
      </c>
      <c r="M37" s="17">
        <f t="shared" si="6"/>
        <v>751130</v>
      </c>
      <c r="N37" s="15">
        <f t="shared" si="7"/>
        <v>0.65734265734265729</v>
      </c>
      <c r="O37" s="15">
        <f t="shared" si="0"/>
        <v>0.27719068549518378</v>
      </c>
      <c r="P37" s="15">
        <f t="shared" si="1"/>
        <v>3.891477310918424E-4</v>
      </c>
      <c r="Q37" s="15">
        <f t="shared" si="2"/>
        <v>-1.4191867744407615E-3</v>
      </c>
      <c r="R37" s="15">
        <f t="shared" si="3"/>
        <v>5.6927488968511091E-3</v>
      </c>
      <c r="S37" s="17">
        <f t="shared" si="4"/>
        <v>5.304008627001984E-3</v>
      </c>
    </row>
    <row r="38" spans="1:19">
      <c r="A38" s="3" t="s">
        <v>48</v>
      </c>
      <c r="B38" s="14">
        <v>5180</v>
      </c>
      <c r="C38" s="15">
        <v>1747</v>
      </c>
      <c r="D38" s="15">
        <v>2413</v>
      </c>
      <c r="E38" s="15">
        <v>-10</v>
      </c>
      <c r="F38" s="15">
        <v>2607</v>
      </c>
      <c r="G38" s="17">
        <f t="shared" si="5"/>
        <v>11937</v>
      </c>
      <c r="H38" s="15">
        <v>21965</v>
      </c>
      <c r="I38" s="15">
        <v>118399</v>
      </c>
      <c r="J38" s="15">
        <v>60489</v>
      </c>
      <c r="K38" s="15">
        <v>96276</v>
      </c>
      <c r="L38" s="15">
        <v>185214</v>
      </c>
      <c r="M38" s="17">
        <f t="shared" si="6"/>
        <v>482343</v>
      </c>
      <c r="N38" s="15">
        <f t="shared" si="7"/>
        <v>0.23582972911450034</v>
      </c>
      <c r="O38" s="15">
        <f t="shared" si="0"/>
        <v>1.4755192189123219E-2</v>
      </c>
      <c r="P38" s="15">
        <f t="shared" si="1"/>
        <v>3.9891550529848399E-2</v>
      </c>
      <c r="Q38" s="15">
        <f t="shared" si="2"/>
        <v>-1.03868046034318E-4</v>
      </c>
      <c r="R38" s="15">
        <f t="shared" si="3"/>
        <v>1.4075609835109656E-2</v>
      </c>
      <c r="S38" s="17">
        <f t="shared" si="4"/>
        <v>2.4747949073584564E-2</v>
      </c>
    </row>
    <row r="39" spans="1:19">
      <c r="A39" s="3" t="s">
        <v>49</v>
      </c>
      <c r="B39" s="14">
        <v>17480</v>
      </c>
      <c r="C39" s="15">
        <v>7595</v>
      </c>
      <c r="D39" s="15">
        <v>30596</v>
      </c>
      <c r="E39" s="15">
        <v>20980</v>
      </c>
      <c r="F39" s="15">
        <v>38270</v>
      </c>
      <c r="G39" s="17">
        <f t="shared" si="5"/>
        <v>114921</v>
      </c>
      <c r="H39" s="15">
        <v>3064</v>
      </c>
      <c r="I39" s="15">
        <v>11039</v>
      </c>
      <c r="J39" s="15">
        <v>37880</v>
      </c>
      <c r="K39" s="15">
        <v>41870</v>
      </c>
      <c r="L39" s="15">
        <v>54084</v>
      </c>
      <c r="M39" s="17">
        <f t="shared" si="6"/>
        <v>147937</v>
      </c>
      <c r="N39" s="15">
        <f t="shared" si="7"/>
        <v>5.7049608355091381</v>
      </c>
      <c r="O39" s="15">
        <f t="shared" si="0"/>
        <v>0.68801521876981608</v>
      </c>
      <c r="P39" s="15">
        <f t="shared" si="1"/>
        <v>0.80770855332629354</v>
      </c>
      <c r="Q39" s="15">
        <f t="shared" si="2"/>
        <v>0.50107475519465006</v>
      </c>
      <c r="R39" s="15">
        <f t="shared" si="3"/>
        <v>0.70760298794467869</v>
      </c>
      <c r="S39" s="17">
        <f t="shared" si="4"/>
        <v>0.77682391828954211</v>
      </c>
    </row>
    <row r="40" spans="1:19">
      <c r="A40" s="3" t="s">
        <v>50</v>
      </c>
      <c r="B40" s="14">
        <v>343</v>
      </c>
      <c r="C40" s="15">
        <v>88</v>
      </c>
      <c r="D40" s="15">
        <v>34</v>
      </c>
      <c r="E40" s="15">
        <v>-40</v>
      </c>
      <c r="F40" s="15">
        <v>47</v>
      </c>
      <c r="G40" s="17">
        <f t="shared" si="5"/>
        <v>472</v>
      </c>
      <c r="H40" s="15">
        <v>5399</v>
      </c>
      <c r="I40" s="15">
        <v>41163</v>
      </c>
      <c r="J40" s="15">
        <v>34365</v>
      </c>
      <c r="K40" s="15">
        <v>7504</v>
      </c>
      <c r="L40" s="15">
        <v>36465</v>
      </c>
      <c r="M40" s="17">
        <f t="shared" si="6"/>
        <v>124896</v>
      </c>
      <c r="N40" s="15">
        <f t="shared" si="7"/>
        <v>6.3530283385812181E-2</v>
      </c>
      <c r="O40" s="15">
        <f t="shared" si="0"/>
        <v>2.1378422369603771E-3</v>
      </c>
      <c r="P40" s="15">
        <f t="shared" si="1"/>
        <v>9.8937872835734033E-4</v>
      </c>
      <c r="Q40" s="15">
        <f t="shared" si="2"/>
        <v>-5.3304904051172707E-3</v>
      </c>
      <c r="R40" s="15">
        <f t="shared" si="3"/>
        <v>1.2889071712601124E-3</v>
      </c>
      <c r="S40" s="17">
        <f t="shared" si="4"/>
        <v>3.7791442480143481E-3</v>
      </c>
    </row>
    <row r="41" spans="1:19">
      <c r="A41" s="3" t="s">
        <v>51</v>
      </c>
      <c r="B41" s="14">
        <v>2742</v>
      </c>
      <c r="C41" s="15">
        <v>2519</v>
      </c>
      <c r="D41" s="15">
        <v>1441</v>
      </c>
      <c r="E41" s="15">
        <v>-2512</v>
      </c>
      <c r="F41" s="15">
        <v>476</v>
      </c>
      <c r="G41" s="17">
        <f t="shared" si="5"/>
        <v>4666</v>
      </c>
      <c r="H41" s="15">
        <v>720</v>
      </c>
      <c r="I41" s="15">
        <v>706</v>
      </c>
      <c r="J41" s="15">
        <v>39080</v>
      </c>
      <c r="K41" s="15">
        <v>61459</v>
      </c>
      <c r="L41" s="15">
        <v>35066</v>
      </c>
      <c r="M41" s="17">
        <f t="shared" si="6"/>
        <v>137031</v>
      </c>
      <c r="N41" s="15">
        <f t="shared" si="7"/>
        <v>3.8083333333333331</v>
      </c>
      <c r="O41" s="15">
        <f t="shared" si="0"/>
        <v>3.5679886685552407</v>
      </c>
      <c r="P41" s="15">
        <f t="shared" si="1"/>
        <v>3.6873080859774823E-2</v>
      </c>
      <c r="Q41" s="15">
        <f t="shared" si="2"/>
        <v>-4.0872776973266731E-2</v>
      </c>
      <c r="R41" s="15">
        <f t="shared" si="3"/>
        <v>1.3574402555181657E-2</v>
      </c>
      <c r="S41" s="17">
        <f t="shared" si="4"/>
        <v>3.4050689260094434E-2</v>
      </c>
    </row>
    <row r="42" spans="1:19">
      <c r="A42" s="3" t="s">
        <v>52</v>
      </c>
      <c r="B42" s="14">
        <v>4549</v>
      </c>
      <c r="C42" s="15">
        <v>4044</v>
      </c>
      <c r="D42" s="15">
        <v>2053</v>
      </c>
      <c r="E42" s="15">
        <v>-2634</v>
      </c>
      <c r="F42" s="15">
        <v>2699</v>
      </c>
      <c r="G42" s="17">
        <f t="shared" si="5"/>
        <v>10711</v>
      </c>
      <c r="H42" s="15">
        <v>1344</v>
      </c>
      <c r="I42" s="15">
        <v>2876</v>
      </c>
      <c r="J42" s="15">
        <v>137267</v>
      </c>
      <c r="K42" s="15">
        <v>74164</v>
      </c>
      <c r="L42" s="15">
        <v>62650</v>
      </c>
      <c r="M42" s="17">
        <f t="shared" si="6"/>
        <v>278301</v>
      </c>
      <c r="N42" s="15">
        <f t="shared" si="7"/>
        <v>3.3846726190476191</v>
      </c>
      <c r="O42" s="15">
        <f t="shared" si="0"/>
        <v>1.4061196105702365</v>
      </c>
      <c r="P42" s="15">
        <f t="shared" si="1"/>
        <v>1.4956253141687368E-2</v>
      </c>
      <c r="Q42" s="15">
        <f t="shared" si="2"/>
        <v>-3.5515883717167358E-2</v>
      </c>
      <c r="R42" s="15">
        <f t="shared" si="3"/>
        <v>4.3080606544293694E-2</v>
      </c>
      <c r="S42" s="17">
        <f t="shared" si="4"/>
        <v>3.8487105687726599E-2</v>
      </c>
    </row>
    <row r="43" spans="1:19">
      <c r="A43" s="3" t="s">
        <v>53</v>
      </c>
      <c r="B43" s="14">
        <v>-13876</v>
      </c>
      <c r="C43" s="15">
        <v>-78361</v>
      </c>
      <c r="D43" s="15">
        <v>117973</v>
      </c>
      <c r="E43" s="15">
        <v>-81784</v>
      </c>
      <c r="F43" s="15">
        <v>54687</v>
      </c>
      <c r="G43" s="17">
        <f t="shared" si="5"/>
        <v>-1361</v>
      </c>
      <c r="H43" s="15">
        <v>2121</v>
      </c>
      <c r="I43" s="15">
        <v>4210</v>
      </c>
      <c r="J43" s="15">
        <v>37906</v>
      </c>
      <c r="K43" s="15">
        <v>15227</v>
      </c>
      <c r="L43" s="15">
        <v>9145</v>
      </c>
      <c r="M43" s="17">
        <f t="shared" si="6"/>
        <v>68609</v>
      </c>
      <c r="N43" s="15">
        <f t="shared" si="7"/>
        <v>-6.5421970768505426</v>
      </c>
      <c r="O43" s="15">
        <f t="shared" si="0"/>
        <v>-18.613064133016628</v>
      </c>
      <c r="P43" s="15">
        <f t="shared" si="1"/>
        <v>3.1122513586239644</v>
      </c>
      <c r="Q43" s="15">
        <f t="shared" si="2"/>
        <v>-5.3709857489984891</v>
      </c>
      <c r="R43" s="15">
        <f t="shared" si="3"/>
        <v>5.9799890650628758</v>
      </c>
      <c r="S43" s="17">
        <f t="shared" si="4"/>
        <v>-1.983704761765949E-2</v>
      </c>
    </row>
    <row r="44" spans="1:19">
      <c r="A44" s="3" t="s">
        <v>54</v>
      </c>
      <c r="B44" s="14">
        <v>6839</v>
      </c>
      <c r="C44" s="15">
        <v>-3696</v>
      </c>
      <c r="D44" s="15">
        <v>8794</v>
      </c>
      <c r="E44" s="15">
        <v>11217</v>
      </c>
      <c r="F44" s="15">
        <v>-4285</v>
      </c>
      <c r="G44" s="17">
        <f t="shared" si="5"/>
        <v>18869</v>
      </c>
      <c r="H44" s="15">
        <v>5873</v>
      </c>
      <c r="I44" s="15">
        <v>2585</v>
      </c>
      <c r="J44" s="15">
        <v>101786</v>
      </c>
      <c r="K44" s="15">
        <v>232490</v>
      </c>
      <c r="L44" s="15">
        <v>406479</v>
      </c>
      <c r="M44" s="17">
        <f t="shared" si="6"/>
        <v>749213</v>
      </c>
      <c r="N44" s="15">
        <f t="shared" si="7"/>
        <v>1.164481525625745</v>
      </c>
      <c r="O44" s="15">
        <f t="shared" si="0"/>
        <v>-1.4297872340425533</v>
      </c>
      <c r="P44" s="15">
        <f t="shared" si="1"/>
        <v>8.6396950464700445E-2</v>
      </c>
      <c r="Q44" s="15">
        <f t="shared" si="2"/>
        <v>4.8247236440277001E-2</v>
      </c>
      <c r="R44" s="15">
        <f t="shared" si="3"/>
        <v>-1.0541750004305265E-2</v>
      </c>
      <c r="S44" s="17">
        <f t="shared" si="4"/>
        <v>2.5185094225540668E-2</v>
      </c>
    </row>
    <row r="45" spans="1:19">
      <c r="A45" s="3" t="s">
        <v>55</v>
      </c>
      <c r="B45" s="14">
        <v>2903</v>
      </c>
      <c r="C45" s="15">
        <v>4932</v>
      </c>
      <c r="D45" s="15">
        <v>4360</v>
      </c>
      <c r="E45" s="15">
        <v>-3469</v>
      </c>
      <c r="F45" s="15">
        <v>3471</v>
      </c>
      <c r="G45" s="17">
        <f t="shared" si="5"/>
        <v>12197</v>
      </c>
      <c r="H45" s="15">
        <v>501</v>
      </c>
      <c r="I45" s="15">
        <v>2388</v>
      </c>
      <c r="J45" s="15">
        <v>9716</v>
      </c>
      <c r="K45" s="15">
        <v>16259</v>
      </c>
      <c r="L45" s="15">
        <v>1590</v>
      </c>
      <c r="M45" s="17">
        <f t="shared" si="6"/>
        <v>30454</v>
      </c>
      <c r="N45" s="15">
        <f t="shared" si="7"/>
        <v>5.7944111776447107</v>
      </c>
      <c r="O45" s="15">
        <f t="shared" si="0"/>
        <v>2.0653266331658293</v>
      </c>
      <c r="P45" s="15">
        <f t="shared" si="1"/>
        <v>0.44874433923425278</v>
      </c>
      <c r="Q45" s="15">
        <f t="shared" si="2"/>
        <v>-0.21335875515099328</v>
      </c>
      <c r="R45" s="15">
        <f t="shared" si="3"/>
        <v>2.1830188679245284</v>
      </c>
      <c r="S45" s="17">
        <f t="shared" si="4"/>
        <v>0.4005056806987588</v>
      </c>
    </row>
    <row r="46" spans="1:19">
      <c r="A46" s="3" t="s">
        <v>56</v>
      </c>
      <c r="B46" s="14">
        <v>1405</v>
      </c>
      <c r="C46" s="15">
        <v>1263</v>
      </c>
      <c r="D46" s="15">
        <v>393</v>
      </c>
      <c r="E46" s="15">
        <v>1219</v>
      </c>
      <c r="F46" s="15">
        <v>900</v>
      </c>
      <c r="G46" s="17">
        <f t="shared" si="5"/>
        <v>5180</v>
      </c>
      <c r="H46" s="15">
        <v>198</v>
      </c>
      <c r="I46" s="15">
        <v>40</v>
      </c>
      <c r="J46" s="15">
        <v>146</v>
      </c>
      <c r="K46" s="15">
        <v>501</v>
      </c>
      <c r="L46" s="15">
        <v>870</v>
      </c>
      <c r="M46" s="17">
        <f t="shared" si="6"/>
        <v>1755</v>
      </c>
      <c r="N46" s="15">
        <f t="shared" si="7"/>
        <v>7.095959595959596</v>
      </c>
      <c r="O46" s="15">
        <f t="shared" si="0"/>
        <v>31.574999999999999</v>
      </c>
      <c r="P46" s="15">
        <f t="shared" si="1"/>
        <v>2.6917808219178081</v>
      </c>
      <c r="Q46" s="15">
        <f t="shared" si="2"/>
        <v>2.4331337325349303</v>
      </c>
      <c r="R46" s="15">
        <f t="shared" si="3"/>
        <v>1.0344827586206897</v>
      </c>
      <c r="S46" s="17">
        <f t="shared" si="4"/>
        <v>2.9515669515669516</v>
      </c>
    </row>
    <row r="47" spans="1:19">
      <c r="A47" s="3" t="s">
        <v>57</v>
      </c>
      <c r="B47" s="14">
        <v>5261</v>
      </c>
      <c r="C47" s="15">
        <v>5453</v>
      </c>
      <c r="D47" s="15">
        <v>10776</v>
      </c>
      <c r="E47" s="15">
        <v>-4607</v>
      </c>
      <c r="F47" s="15">
        <v>1111</v>
      </c>
      <c r="G47" s="17">
        <f t="shared" si="5"/>
        <v>17994</v>
      </c>
      <c r="H47" s="15">
        <v>224874</v>
      </c>
      <c r="I47" s="15">
        <v>517127</v>
      </c>
      <c r="J47" s="15">
        <v>682878</v>
      </c>
      <c r="K47" s="15">
        <v>812793</v>
      </c>
      <c r="L47" s="15">
        <v>280382</v>
      </c>
      <c r="M47" s="17">
        <f t="shared" si="6"/>
        <v>2518054</v>
      </c>
      <c r="N47" s="15">
        <f t="shared" si="7"/>
        <v>2.3395323603440148E-2</v>
      </c>
      <c r="O47" s="15">
        <f t="shared" si="0"/>
        <v>1.0544798473102352E-2</v>
      </c>
      <c r="P47" s="15">
        <f t="shared" si="1"/>
        <v>1.5780271146529835E-2</v>
      </c>
      <c r="Q47" s="15">
        <f t="shared" si="2"/>
        <v>-5.6681098385443773E-3</v>
      </c>
      <c r="R47" s="15">
        <f t="shared" si="3"/>
        <v>3.9624512272542463E-3</v>
      </c>
      <c r="S47" s="17">
        <f t="shared" si="4"/>
        <v>7.1459944862183261E-3</v>
      </c>
    </row>
    <row r="48" spans="1:19">
      <c r="A48" s="3" t="s">
        <v>58</v>
      </c>
      <c r="B48" s="14">
        <v>392</v>
      </c>
      <c r="C48" s="15">
        <v>267</v>
      </c>
      <c r="D48" s="15">
        <v>381</v>
      </c>
      <c r="E48" s="15">
        <v>-103</v>
      </c>
      <c r="F48" s="15">
        <v>170</v>
      </c>
      <c r="G48" s="17">
        <f t="shared" si="5"/>
        <v>1107</v>
      </c>
      <c r="H48" s="15">
        <v>16260</v>
      </c>
      <c r="I48" s="15">
        <v>36429</v>
      </c>
      <c r="J48" s="15">
        <v>91776</v>
      </c>
      <c r="K48" s="15">
        <v>85423</v>
      </c>
      <c r="L48" s="15">
        <v>26493</v>
      </c>
      <c r="M48" s="17">
        <f t="shared" si="6"/>
        <v>256381</v>
      </c>
      <c r="N48" s="15">
        <f t="shared" si="7"/>
        <v>2.4108241082410824E-2</v>
      </c>
      <c r="O48" s="15">
        <f t="shared" si="0"/>
        <v>7.3293255373466197E-3</v>
      </c>
      <c r="P48" s="15">
        <f t="shared" si="1"/>
        <v>4.1514121338912134E-3</v>
      </c>
      <c r="Q48" s="15">
        <f t="shared" si="2"/>
        <v>-1.2057642555283706E-3</v>
      </c>
      <c r="R48" s="15">
        <f t="shared" si="3"/>
        <v>6.4167893405805308E-3</v>
      </c>
      <c r="S48" s="17">
        <f t="shared" si="4"/>
        <v>4.3177926601425222E-3</v>
      </c>
    </row>
    <row r="49" spans="1:19">
      <c r="A49" s="3" t="s">
        <v>59</v>
      </c>
      <c r="B49" s="14">
        <v>395</v>
      </c>
      <c r="C49" s="15">
        <v>590</v>
      </c>
      <c r="D49" s="15">
        <v>916</v>
      </c>
      <c r="E49" s="15">
        <v>125</v>
      </c>
      <c r="F49" s="15">
        <v>471</v>
      </c>
      <c r="G49" s="17">
        <f t="shared" si="5"/>
        <v>2497</v>
      </c>
      <c r="H49" s="15">
        <v>208</v>
      </c>
      <c r="I49" s="15">
        <v>93</v>
      </c>
      <c r="J49" s="15">
        <v>907</v>
      </c>
      <c r="K49" s="15">
        <v>7621</v>
      </c>
      <c r="L49" s="15">
        <v>106637</v>
      </c>
      <c r="M49" s="17">
        <f t="shared" si="6"/>
        <v>115466</v>
      </c>
      <c r="N49" s="15">
        <f t="shared" si="7"/>
        <v>1.8990384615384615</v>
      </c>
      <c r="O49" s="15">
        <f t="shared" si="0"/>
        <v>6.344086021505376</v>
      </c>
      <c r="P49" s="15">
        <f t="shared" si="1"/>
        <v>1.0099228224917309</v>
      </c>
      <c r="Q49" s="15">
        <f t="shared" si="2"/>
        <v>1.6402046975462537E-2</v>
      </c>
      <c r="R49" s="15">
        <f t="shared" si="3"/>
        <v>4.4168534373622663E-3</v>
      </c>
      <c r="S49" s="17">
        <f t="shared" si="4"/>
        <v>2.1625413541648625E-2</v>
      </c>
    </row>
    <row r="50" spans="1:19">
      <c r="A50" s="3" t="s">
        <v>60</v>
      </c>
      <c r="B50" s="14">
        <v>5090</v>
      </c>
      <c r="C50" s="15">
        <v>3472</v>
      </c>
      <c r="D50" s="15">
        <v>3788</v>
      </c>
      <c r="E50" s="15">
        <v>-1780</v>
      </c>
      <c r="F50" s="15">
        <v>1001</v>
      </c>
      <c r="G50" s="17">
        <f t="shared" si="5"/>
        <v>11571</v>
      </c>
      <c r="H50" s="15">
        <v>11916</v>
      </c>
      <c r="I50" s="15">
        <v>111120</v>
      </c>
      <c r="J50" s="15">
        <v>315540</v>
      </c>
      <c r="K50" s="15">
        <v>56904</v>
      </c>
      <c r="L50" s="15">
        <v>35264</v>
      </c>
      <c r="M50" s="17">
        <f t="shared" si="6"/>
        <v>530744</v>
      </c>
      <c r="N50" s="15">
        <f t="shared" si="7"/>
        <v>0.42715676401477004</v>
      </c>
      <c r="O50" s="15">
        <f t="shared" si="0"/>
        <v>3.1245500359971201E-2</v>
      </c>
      <c r="P50" s="15">
        <f t="shared" si="1"/>
        <v>1.2004817138873042E-2</v>
      </c>
      <c r="Q50" s="15">
        <f t="shared" si="2"/>
        <v>-3.1280753549838322E-2</v>
      </c>
      <c r="R50" s="15">
        <f t="shared" si="3"/>
        <v>2.8385889292196008E-2</v>
      </c>
      <c r="S50" s="17">
        <f t="shared" si="4"/>
        <v>2.1801471142396334E-2</v>
      </c>
    </row>
    <row r="51" spans="1:19">
      <c r="A51" s="3" t="s">
        <v>61</v>
      </c>
      <c r="B51" s="14">
        <v>77252</v>
      </c>
      <c r="C51" s="15">
        <v>144426</v>
      </c>
      <c r="D51" s="15">
        <v>-30381</v>
      </c>
      <c r="E51" s="15">
        <v>-171890</v>
      </c>
      <c r="F51" s="15">
        <v>43473</v>
      </c>
      <c r="G51" s="17">
        <f t="shared" si="5"/>
        <v>62880</v>
      </c>
      <c r="H51" s="15">
        <v>36788</v>
      </c>
      <c r="I51" s="15">
        <v>75444</v>
      </c>
      <c r="J51" s="15">
        <v>679100</v>
      </c>
      <c r="K51" s="15">
        <v>476191</v>
      </c>
      <c r="L51" s="15">
        <v>411621</v>
      </c>
      <c r="M51" s="17">
        <f t="shared" si="6"/>
        <v>1679144</v>
      </c>
      <c r="N51" s="15">
        <f t="shared" si="7"/>
        <v>2.0999238882244211</v>
      </c>
      <c r="O51" s="15">
        <f t="shared" si="0"/>
        <v>1.9143470653729919</v>
      </c>
      <c r="P51" s="15">
        <f t="shared" si="1"/>
        <v>-4.4737152113090858E-2</v>
      </c>
      <c r="Q51" s="15">
        <f t="shared" si="2"/>
        <v>-0.36096860293453675</v>
      </c>
      <c r="R51" s="15">
        <f t="shared" si="3"/>
        <v>0.10561414505090848</v>
      </c>
      <c r="S51" s="17">
        <f t="shared" si="4"/>
        <v>3.7447651898824638E-2</v>
      </c>
    </row>
    <row r="52" spans="1:19">
      <c r="A52" s="3" t="s">
        <v>62</v>
      </c>
      <c r="B52" s="14">
        <v>7225</v>
      </c>
      <c r="C52" s="15">
        <v>402</v>
      </c>
      <c r="D52" s="15">
        <v>18885</v>
      </c>
      <c r="E52" s="15">
        <v>-8116</v>
      </c>
      <c r="F52" s="15">
        <v>2110</v>
      </c>
      <c r="G52" s="17">
        <f t="shared" si="5"/>
        <v>20506</v>
      </c>
      <c r="H52" s="15">
        <v>821</v>
      </c>
      <c r="I52" s="15">
        <v>319</v>
      </c>
      <c r="J52" s="15">
        <v>315</v>
      </c>
      <c r="K52" s="15">
        <v>336</v>
      </c>
      <c r="L52" s="15">
        <v>243</v>
      </c>
      <c r="M52" s="17">
        <f t="shared" si="6"/>
        <v>2034</v>
      </c>
      <c r="N52" s="15">
        <f t="shared" si="7"/>
        <v>8.8002436053593183</v>
      </c>
      <c r="O52" s="15">
        <f t="shared" si="0"/>
        <v>1.2601880877742946</v>
      </c>
      <c r="P52" s="15">
        <f t="shared" si="1"/>
        <v>59.952380952380949</v>
      </c>
      <c r="Q52" s="15">
        <f t="shared" si="2"/>
        <v>-24.154761904761905</v>
      </c>
      <c r="R52" s="15">
        <f t="shared" si="3"/>
        <v>8.6831275720164616</v>
      </c>
      <c r="S52" s="17">
        <f t="shared" si="4"/>
        <v>10.081612586037364</v>
      </c>
    </row>
    <row r="53" spans="1:19">
      <c r="A53" s="3" t="s">
        <v>63</v>
      </c>
      <c r="B53" s="14">
        <v>744</v>
      </c>
      <c r="C53" s="15">
        <v>715</v>
      </c>
      <c r="D53" s="15">
        <v>-129</v>
      </c>
      <c r="E53" s="15">
        <v>1030</v>
      </c>
      <c r="F53" s="15">
        <v>564</v>
      </c>
      <c r="G53" s="17">
        <f t="shared" si="5"/>
        <v>2924</v>
      </c>
      <c r="H53" s="15">
        <v>5981</v>
      </c>
      <c r="I53" s="15">
        <v>11433</v>
      </c>
      <c r="J53" s="15">
        <v>65606</v>
      </c>
      <c r="K53" s="15">
        <v>46280</v>
      </c>
      <c r="L53" s="15">
        <v>24261</v>
      </c>
      <c r="M53" s="17">
        <f t="shared" si="6"/>
        <v>153561</v>
      </c>
      <c r="N53" s="15">
        <f t="shared" si="7"/>
        <v>0.12439391406119378</v>
      </c>
      <c r="O53" s="15">
        <f t="shared" si="0"/>
        <v>6.2538266421761565E-2</v>
      </c>
      <c r="P53" s="15">
        <f t="shared" si="1"/>
        <v>-1.9662835716245464E-3</v>
      </c>
      <c r="Q53" s="15">
        <f t="shared" si="2"/>
        <v>2.2255834053586863E-2</v>
      </c>
      <c r="R53" s="15">
        <f t="shared" si="3"/>
        <v>2.324718684308149E-2</v>
      </c>
      <c r="S53" s="17">
        <f t="shared" si="4"/>
        <v>1.9041293036643418E-2</v>
      </c>
    </row>
    <row r="54" spans="1:19">
      <c r="A54" s="3" t="s">
        <v>64</v>
      </c>
      <c r="B54" s="14">
        <v>14293</v>
      </c>
      <c r="C54" s="15">
        <v>9976</v>
      </c>
      <c r="D54" s="15">
        <v>55577</v>
      </c>
      <c r="E54" s="15">
        <v>28247</v>
      </c>
      <c r="F54" s="15">
        <v>-12528</v>
      </c>
      <c r="G54" s="17">
        <f t="shared" si="5"/>
        <v>95565</v>
      </c>
      <c r="H54" s="15">
        <v>4017</v>
      </c>
      <c r="I54" s="15">
        <v>5132</v>
      </c>
      <c r="J54" s="15">
        <v>35419</v>
      </c>
      <c r="K54" s="15">
        <v>46277</v>
      </c>
      <c r="L54" s="15">
        <v>34547</v>
      </c>
      <c r="M54" s="17">
        <f t="shared" si="6"/>
        <v>125392</v>
      </c>
      <c r="N54" s="15">
        <f t="shared" si="7"/>
        <v>3.5581279561862087</v>
      </c>
      <c r="O54" s="15">
        <f t="shared" si="0"/>
        <v>1.9438815276695245</v>
      </c>
      <c r="P54" s="15">
        <f t="shared" si="1"/>
        <v>1.5691295632287756</v>
      </c>
      <c r="Q54" s="15">
        <f t="shared" si="2"/>
        <v>0.61038961038961037</v>
      </c>
      <c r="R54" s="15">
        <f t="shared" si="3"/>
        <v>-0.36263640837120442</v>
      </c>
      <c r="S54" s="17">
        <f t="shared" si="4"/>
        <v>0.76212996044404746</v>
      </c>
    </row>
    <row r="55" spans="1:19">
      <c r="A55" s="3" t="s">
        <v>65</v>
      </c>
      <c r="B55" s="14">
        <v>1850</v>
      </c>
      <c r="C55" s="15">
        <v>2272</v>
      </c>
      <c r="D55" s="15">
        <v>4184</v>
      </c>
      <c r="E55" s="15">
        <v>5530</v>
      </c>
      <c r="F55" s="15">
        <v>1292</v>
      </c>
      <c r="G55" s="17">
        <f t="shared" si="5"/>
        <v>15128</v>
      </c>
      <c r="H55" s="15">
        <v>283891</v>
      </c>
      <c r="I55" s="15">
        <v>523292</v>
      </c>
      <c r="J55" s="15">
        <v>200309</v>
      </c>
      <c r="K55" s="15">
        <v>533671</v>
      </c>
      <c r="L55" s="15">
        <v>490343</v>
      </c>
      <c r="M55" s="17">
        <f t="shared" si="6"/>
        <v>2031506</v>
      </c>
      <c r="N55" s="15">
        <f t="shared" si="7"/>
        <v>6.5165855909486391E-3</v>
      </c>
      <c r="O55" s="15">
        <f t="shared" si="0"/>
        <v>4.3417441887129938E-3</v>
      </c>
      <c r="P55" s="15">
        <f t="shared" si="1"/>
        <v>2.0887728459530026E-2</v>
      </c>
      <c r="Q55" s="15">
        <f t="shared" si="2"/>
        <v>1.0362189438811552E-2</v>
      </c>
      <c r="R55" s="15">
        <f t="shared" si="3"/>
        <v>2.6348902706880692E-3</v>
      </c>
      <c r="S55" s="17">
        <f t="shared" si="4"/>
        <v>7.4466922568774104E-3</v>
      </c>
    </row>
    <row r="56" spans="1:19">
      <c r="A56" s="3" t="s">
        <v>66</v>
      </c>
      <c r="B56" s="14">
        <v>6032</v>
      </c>
      <c r="C56" s="15">
        <v>4526</v>
      </c>
      <c r="D56" s="15">
        <v>6509</v>
      </c>
      <c r="E56" s="15">
        <v>-1441</v>
      </c>
      <c r="F56" s="15">
        <v>4139</v>
      </c>
      <c r="G56" s="17">
        <f t="shared" si="5"/>
        <v>19765</v>
      </c>
      <c r="H56" s="15">
        <v>35204</v>
      </c>
      <c r="I56" s="15">
        <v>273184</v>
      </c>
      <c r="J56" s="15">
        <v>159986</v>
      </c>
      <c r="K56" s="15">
        <v>271469</v>
      </c>
      <c r="L56" s="15">
        <v>656361</v>
      </c>
      <c r="M56" s="17">
        <f t="shared" si="6"/>
        <v>1396204</v>
      </c>
      <c r="N56" s="15">
        <f t="shared" si="7"/>
        <v>0.17134416543574593</v>
      </c>
      <c r="O56" s="15">
        <f t="shared" si="0"/>
        <v>1.6567588145718636E-2</v>
      </c>
      <c r="P56" s="15">
        <f t="shared" si="1"/>
        <v>4.0684809920868079E-2</v>
      </c>
      <c r="Q56" s="15">
        <f t="shared" si="2"/>
        <v>-5.3081567324445881E-3</v>
      </c>
      <c r="R56" s="15">
        <f t="shared" si="3"/>
        <v>6.3059810074029381E-3</v>
      </c>
      <c r="S56" s="17">
        <f t="shared" si="4"/>
        <v>1.4156240778568176E-2</v>
      </c>
    </row>
    <row r="57" spans="1:19">
      <c r="A57" s="3" t="s">
        <v>67</v>
      </c>
      <c r="B57" s="14">
        <v>3548</v>
      </c>
      <c r="C57" s="15">
        <v>16626</v>
      </c>
      <c r="D57" s="15">
        <v>22025</v>
      </c>
      <c r="E57" s="15">
        <v>-14042</v>
      </c>
      <c r="F57" s="15">
        <v>5199</v>
      </c>
      <c r="G57" s="17">
        <f t="shared" si="5"/>
        <v>33356</v>
      </c>
      <c r="H57" s="15">
        <v>31840</v>
      </c>
      <c r="I57" s="15">
        <v>56740</v>
      </c>
      <c r="J57" s="15">
        <v>1201398</v>
      </c>
      <c r="K57" s="15">
        <v>1015944</v>
      </c>
      <c r="L57" s="15">
        <v>522943</v>
      </c>
      <c r="M57" s="17">
        <f t="shared" si="6"/>
        <v>2828865</v>
      </c>
      <c r="N57" s="15">
        <f t="shared" si="7"/>
        <v>0.1114321608040201</v>
      </c>
      <c r="O57" s="15">
        <f t="shared" si="0"/>
        <v>0.29302079661614383</v>
      </c>
      <c r="P57" s="15">
        <f t="shared" si="1"/>
        <v>1.8332808944246621E-2</v>
      </c>
      <c r="Q57" s="15">
        <f t="shared" si="2"/>
        <v>-1.3821627963746034E-2</v>
      </c>
      <c r="R57" s="15">
        <f t="shared" si="3"/>
        <v>9.9418101016745617E-3</v>
      </c>
      <c r="S57" s="17">
        <f t="shared" si="4"/>
        <v>1.179130145835874E-2</v>
      </c>
    </row>
    <row r="58" spans="1:19">
      <c r="A58" s="3" t="s">
        <v>68</v>
      </c>
      <c r="B58" s="14">
        <v>14473</v>
      </c>
      <c r="C58" s="15">
        <v>20944</v>
      </c>
      <c r="D58" s="15">
        <v>18332</v>
      </c>
      <c r="E58" s="15">
        <v>-24397</v>
      </c>
      <c r="F58" s="15">
        <v>14912</v>
      </c>
      <c r="G58" s="17">
        <f t="shared" si="5"/>
        <v>44264</v>
      </c>
      <c r="H58" s="15">
        <v>33891</v>
      </c>
      <c r="I58" s="15">
        <v>33089</v>
      </c>
      <c r="J58" s="15">
        <v>337283</v>
      </c>
      <c r="K58" s="15">
        <v>401094</v>
      </c>
      <c r="L58" s="15">
        <v>57244</v>
      </c>
      <c r="M58" s="17">
        <f t="shared" si="6"/>
        <v>862601</v>
      </c>
      <c r="N58" s="15">
        <f t="shared" si="7"/>
        <v>0.42704552831135112</v>
      </c>
      <c r="O58" s="15">
        <f t="shared" si="0"/>
        <v>0.63295959382272049</v>
      </c>
      <c r="P58" s="15">
        <f t="shared" si="1"/>
        <v>5.4351983349294211E-2</v>
      </c>
      <c r="Q58" s="15">
        <f t="shared" si="2"/>
        <v>-6.0826140505716865E-2</v>
      </c>
      <c r="R58" s="15">
        <f t="shared" si="3"/>
        <v>0.26049891691705679</v>
      </c>
      <c r="S58" s="17">
        <f t="shared" si="4"/>
        <v>5.131457069954707E-2</v>
      </c>
    </row>
    <row r="59" spans="1:19">
      <c r="A59" s="3" t="s">
        <v>69</v>
      </c>
      <c r="B59" s="14">
        <v>7760</v>
      </c>
      <c r="C59" s="15">
        <v>10653</v>
      </c>
      <c r="D59" s="15">
        <v>17325</v>
      </c>
      <c r="E59" s="15">
        <v>-10398</v>
      </c>
      <c r="F59" s="15">
        <v>8202</v>
      </c>
      <c r="G59" s="17">
        <f t="shared" si="5"/>
        <v>33542</v>
      </c>
      <c r="H59" s="15">
        <v>24511</v>
      </c>
      <c r="I59" s="15">
        <v>100277</v>
      </c>
      <c r="J59" s="15">
        <v>502606</v>
      </c>
      <c r="K59" s="15">
        <v>316603</v>
      </c>
      <c r="L59" s="15">
        <v>121875</v>
      </c>
      <c r="M59" s="17">
        <f t="shared" si="6"/>
        <v>1065872</v>
      </c>
      <c r="N59" s="15">
        <f t="shared" si="7"/>
        <v>0.31659255028354616</v>
      </c>
      <c r="O59" s="15">
        <f t="shared" si="0"/>
        <v>0.10623572703610998</v>
      </c>
      <c r="P59" s="15">
        <f t="shared" si="1"/>
        <v>3.4470340584871646E-2</v>
      </c>
      <c r="Q59" s="15">
        <f t="shared" si="2"/>
        <v>-3.2842392523128337E-2</v>
      </c>
      <c r="R59" s="15">
        <f t="shared" si="3"/>
        <v>6.7298461538461543E-2</v>
      </c>
      <c r="S59" s="17">
        <f t="shared" si="4"/>
        <v>3.1469069456745276E-2</v>
      </c>
    </row>
    <row r="60" spans="1:19">
      <c r="A60" s="3" t="s">
        <v>70</v>
      </c>
      <c r="B60" s="14">
        <v>24364</v>
      </c>
      <c r="C60" s="15">
        <v>-20703</v>
      </c>
      <c r="D60" s="15">
        <v>4604</v>
      </c>
      <c r="E60" s="15">
        <v>-5127</v>
      </c>
      <c r="F60" s="15">
        <v>10021</v>
      </c>
      <c r="G60" s="17">
        <f t="shared" si="5"/>
        <v>13159</v>
      </c>
      <c r="H60" s="15">
        <v>644153</v>
      </c>
      <c r="I60" s="15">
        <v>517321</v>
      </c>
      <c r="J60" s="15">
        <v>1947714</v>
      </c>
      <c r="K60" s="15">
        <v>1340275</v>
      </c>
      <c r="L60" s="15">
        <v>946304</v>
      </c>
      <c r="M60" s="17">
        <f t="shared" si="6"/>
        <v>5395767</v>
      </c>
      <c r="N60" s="15">
        <f t="shared" si="7"/>
        <v>3.7823312163414592E-2</v>
      </c>
      <c r="O60" s="15">
        <f t="shared" si="0"/>
        <v>-4.0019639643470883E-2</v>
      </c>
      <c r="P60" s="15">
        <f t="shared" si="1"/>
        <v>2.3637967381247966E-3</v>
      </c>
      <c r="Q60" s="15">
        <f t="shared" si="2"/>
        <v>-3.8253343530245659E-3</v>
      </c>
      <c r="R60" s="15">
        <f t="shared" si="3"/>
        <v>1.0589620248884079E-2</v>
      </c>
      <c r="S60" s="17">
        <f t="shared" si="4"/>
        <v>2.4387635715181918E-3</v>
      </c>
    </row>
    <row r="61" spans="1:19">
      <c r="A61" s="3" t="s">
        <v>71</v>
      </c>
      <c r="B61" s="14">
        <v>11698</v>
      </c>
      <c r="C61" s="15">
        <v>-1350</v>
      </c>
      <c r="D61" s="15">
        <v>15463</v>
      </c>
      <c r="E61" s="15">
        <v>8312</v>
      </c>
      <c r="F61" s="15">
        <v>9658</v>
      </c>
      <c r="G61" s="17">
        <f t="shared" si="5"/>
        <v>43781</v>
      </c>
      <c r="H61" s="15">
        <v>189104</v>
      </c>
      <c r="I61" s="15">
        <v>140381</v>
      </c>
      <c r="J61" s="15">
        <v>27645</v>
      </c>
      <c r="K61" s="15">
        <v>27130</v>
      </c>
      <c r="L61" s="15">
        <v>96996</v>
      </c>
      <c r="M61" s="17">
        <f t="shared" si="6"/>
        <v>481256</v>
      </c>
      <c r="N61" s="15">
        <f t="shared" si="7"/>
        <v>6.1860140451814871E-2</v>
      </c>
      <c r="O61" s="15">
        <f t="shared" si="0"/>
        <v>-9.6166860187632229E-3</v>
      </c>
      <c r="P61" s="15">
        <f t="shared" si="1"/>
        <v>0.55934165310182671</v>
      </c>
      <c r="Q61" s="15">
        <f t="shared" si="2"/>
        <v>0.30637670475488388</v>
      </c>
      <c r="R61" s="15">
        <f t="shared" si="3"/>
        <v>9.9571116334694218E-2</v>
      </c>
      <c r="S61" s="17">
        <f t="shared" si="4"/>
        <v>9.0972372292501283E-2</v>
      </c>
    </row>
    <row r="62" spans="1:19">
      <c r="A62" s="3" t="s">
        <v>72</v>
      </c>
      <c r="B62" s="14">
        <v>40</v>
      </c>
      <c r="C62" s="15">
        <v>40</v>
      </c>
      <c r="D62" s="15">
        <v>-4</v>
      </c>
      <c r="E62" s="15">
        <v>30</v>
      </c>
      <c r="F62" s="15">
        <v>-5080</v>
      </c>
      <c r="G62" s="17">
        <f t="shared" si="5"/>
        <v>-4974</v>
      </c>
      <c r="H62" s="15">
        <v>74</v>
      </c>
      <c r="I62" s="15">
        <v>61</v>
      </c>
      <c r="J62" s="15">
        <v>85</v>
      </c>
      <c r="K62" s="15">
        <v>3848</v>
      </c>
      <c r="L62" s="15">
        <v>11483</v>
      </c>
      <c r="M62" s="17">
        <f t="shared" si="6"/>
        <v>15551</v>
      </c>
      <c r="N62" s="15">
        <f t="shared" si="7"/>
        <v>0.54054054054054057</v>
      </c>
      <c r="O62" s="15">
        <f t="shared" si="0"/>
        <v>0.65573770491803274</v>
      </c>
      <c r="P62" s="15">
        <f t="shared" si="1"/>
        <v>-4.7058823529411764E-2</v>
      </c>
      <c r="Q62" s="15">
        <f t="shared" si="2"/>
        <v>7.7962577962577967E-3</v>
      </c>
      <c r="R62" s="15">
        <f t="shared" si="3"/>
        <v>-0.4423931028476879</v>
      </c>
      <c r="S62" s="17">
        <f t="shared" si="4"/>
        <v>-0.3198508134525111</v>
      </c>
    </row>
    <row r="63" spans="1:19">
      <c r="A63" s="3" t="s">
        <v>73</v>
      </c>
      <c r="B63" s="14">
        <v>-53269</v>
      </c>
      <c r="C63" s="15">
        <v>-6015</v>
      </c>
      <c r="D63" s="15">
        <v>57029</v>
      </c>
      <c r="E63" s="15">
        <v>-13874</v>
      </c>
      <c r="F63" s="15">
        <v>12091</v>
      </c>
      <c r="G63" s="17">
        <f t="shared" si="5"/>
        <v>-4038</v>
      </c>
      <c r="H63" s="15">
        <v>42908</v>
      </c>
      <c r="I63" s="15">
        <v>13644</v>
      </c>
      <c r="J63" s="15">
        <v>816</v>
      </c>
      <c r="K63" s="15">
        <v>1753</v>
      </c>
      <c r="L63" s="15">
        <v>2173</v>
      </c>
      <c r="M63" s="17">
        <f t="shared" si="6"/>
        <v>61294</v>
      </c>
      <c r="N63" s="15">
        <f t="shared" si="7"/>
        <v>-1.2414701221217488</v>
      </c>
      <c r="O63" s="15">
        <f t="shared" si="0"/>
        <v>-0.44085312225153916</v>
      </c>
      <c r="P63" s="15">
        <f t="shared" si="1"/>
        <v>69.888480392156865</v>
      </c>
      <c r="Q63" s="15">
        <f t="shared" si="2"/>
        <v>-7.9144324015972618</v>
      </c>
      <c r="R63" s="15">
        <f t="shared" si="3"/>
        <v>5.5641969627243446</v>
      </c>
      <c r="S63" s="17">
        <f t="shared" si="4"/>
        <v>-6.5879205142428302E-2</v>
      </c>
    </row>
    <row r="64" spans="1:19">
      <c r="A64" s="3" t="s">
        <v>74</v>
      </c>
      <c r="B64" s="14">
        <v>10718</v>
      </c>
      <c r="C64" s="15">
        <v>3741</v>
      </c>
      <c r="D64" s="15">
        <v>5814</v>
      </c>
      <c r="E64" s="15">
        <v>-8220</v>
      </c>
      <c r="F64" s="15">
        <v>3753</v>
      </c>
      <c r="G64" s="17">
        <f t="shared" si="5"/>
        <v>15806</v>
      </c>
      <c r="H64" s="15">
        <v>1268</v>
      </c>
      <c r="I64" s="15">
        <v>8455</v>
      </c>
      <c r="J64" s="15">
        <v>168606</v>
      </c>
      <c r="K64" s="15">
        <v>176678</v>
      </c>
      <c r="L64" s="15">
        <v>29154</v>
      </c>
      <c r="M64" s="17">
        <f t="shared" si="6"/>
        <v>384161</v>
      </c>
      <c r="N64" s="15">
        <f t="shared" si="7"/>
        <v>8.4526813880126177</v>
      </c>
      <c r="O64" s="15">
        <f t="shared" si="0"/>
        <v>0.44246008279124777</v>
      </c>
      <c r="P64" s="15">
        <f t="shared" si="1"/>
        <v>3.4482758620689655E-2</v>
      </c>
      <c r="Q64" s="15">
        <f t="shared" si="2"/>
        <v>-4.6525317243799456E-2</v>
      </c>
      <c r="R64" s="15">
        <f t="shared" si="3"/>
        <v>0.12873019139740688</v>
      </c>
      <c r="S64" s="17">
        <f t="shared" si="4"/>
        <v>4.1144207767055997E-2</v>
      </c>
    </row>
    <row r="65" spans="1:19">
      <c r="A65" s="3" t="s">
        <v>75</v>
      </c>
      <c r="B65" s="14">
        <v>3439</v>
      </c>
      <c r="C65" s="15">
        <v>1962</v>
      </c>
      <c r="D65" s="15">
        <v>2728</v>
      </c>
      <c r="E65" s="15">
        <v>235</v>
      </c>
      <c r="F65" s="15">
        <v>553</v>
      </c>
      <c r="G65" s="17">
        <f t="shared" si="5"/>
        <v>8917</v>
      </c>
      <c r="H65" s="15">
        <v>760</v>
      </c>
      <c r="I65" s="15">
        <v>4078</v>
      </c>
      <c r="J65" s="15">
        <v>116288</v>
      </c>
      <c r="K65" s="15">
        <v>91653</v>
      </c>
      <c r="L65" s="15">
        <v>40397</v>
      </c>
      <c r="M65" s="17">
        <f t="shared" si="6"/>
        <v>253176</v>
      </c>
      <c r="N65" s="15">
        <f t="shared" si="7"/>
        <v>4.5250000000000004</v>
      </c>
      <c r="O65" s="15">
        <f t="shared" si="0"/>
        <v>0.4811181951937224</v>
      </c>
      <c r="P65" s="15">
        <f t="shared" si="1"/>
        <v>2.3458998348926802E-2</v>
      </c>
      <c r="Q65" s="15">
        <f t="shared" si="2"/>
        <v>2.5640186355056572E-3</v>
      </c>
      <c r="R65" s="15">
        <f t="shared" si="3"/>
        <v>1.3689135331831572E-2</v>
      </c>
      <c r="S65" s="17">
        <f t="shared" si="4"/>
        <v>3.5220558030777012E-2</v>
      </c>
    </row>
    <row r="66" spans="1:19">
      <c r="A66" s="3" t="s">
        <v>76</v>
      </c>
      <c r="B66" s="14">
        <v>717</v>
      </c>
      <c r="C66" s="15">
        <v>521</v>
      </c>
      <c r="D66" s="15">
        <v>13546</v>
      </c>
      <c r="E66" s="15">
        <v>-5667</v>
      </c>
      <c r="F66" s="15">
        <v>5862</v>
      </c>
      <c r="G66" s="17">
        <f t="shared" si="5"/>
        <v>14979</v>
      </c>
      <c r="H66" s="15">
        <v>149830</v>
      </c>
      <c r="I66" s="15">
        <v>566120</v>
      </c>
      <c r="J66" s="15">
        <v>330339</v>
      </c>
      <c r="K66" s="15">
        <v>474271</v>
      </c>
      <c r="L66" s="15">
        <v>424522</v>
      </c>
      <c r="M66" s="17">
        <f t="shared" si="6"/>
        <v>1945082</v>
      </c>
      <c r="N66" s="15">
        <f t="shared" si="7"/>
        <v>4.7854234799439366E-3</v>
      </c>
      <c r="O66" s="15">
        <f t="shared" ref="O66:O78" si="8">C66/I66</f>
        <v>9.2029958312725218E-4</v>
      </c>
      <c r="P66" s="15">
        <f t="shared" ref="P66:P78" si="9">D66/J66</f>
        <v>4.1006360133075417E-2</v>
      </c>
      <c r="Q66" s="15">
        <f t="shared" ref="Q66:Q78" si="10">E66/K66</f>
        <v>-1.1948864678633103E-2</v>
      </c>
      <c r="R66" s="15">
        <f t="shared" ref="R66:R78" si="11">F66/L66</f>
        <v>1.3808471645756874E-2</v>
      </c>
      <c r="S66" s="17">
        <f t="shared" ref="S66:S78" si="12">G66/M66</f>
        <v>7.7009606792926982E-3</v>
      </c>
    </row>
    <row r="67" spans="1:19">
      <c r="A67" s="3" t="s">
        <v>77</v>
      </c>
      <c r="B67" s="14">
        <v>113859</v>
      </c>
      <c r="C67" s="15">
        <v>108197</v>
      </c>
      <c r="D67" s="15">
        <v>150712</v>
      </c>
      <c r="E67" s="15">
        <v>-82499</v>
      </c>
      <c r="F67" s="15">
        <v>75045</v>
      </c>
      <c r="G67" s="17">
        <f t="shared" ref="G67:G78" si="13">SUM(B67:F67)</f>
        <v>365314</v>
      </c>
      <c r="H67" s="15">
        <v>145154</v>
      </c>
      <c r="I67" s="15">
        <v>519530</v>
      </c>
      <c r="J67" s="15">
        <v>1149659</v>
      </c>
      <c r="K67" s="15">
        <v>1356089</v>
      </c>
      <c r="L67" s="15">
        <v>517567</v>
      </c>
      <c r="M67" s="17">
        <f t="shared" ref="M67:M78" si="14">SUM(H67:L67)</f>
        <v>3687999</v>
      </c>
      <c r="N67" s="15">
        <f t="shared" ref="N67:N78" si="15">B67/H67</f>
        <v>0.78440139438113998</v>
      </c>
      <c r="O67" s="15">
        <f t="shared" si="8"/>
        <v>0.20825938829326507</v>
      </c>
      <c r="P67" s="15">
        <f t="shared" si="9"/>
        <v>0.13109278490404547</v>
      </c>
      <c r="Q67" s="15">
        <f t="shared" si="10"/>
        <v>-6.0835977579642632E-2</v>
      </c>
      <c r="R67" s="15">
        <f t="shared" si="11"/>
        <v>0.14499572036084218</v>
      </c>
      <c r="S67" s="17">
        <f t="shared" si="12"/>
        <v>9.9054799092949869E-2</v>
      </c>
    </row>
    <row r="68" spans="1:19">
      <c r="A68" s="3" t="s">
        <v>78</v>
      </c>
      <c r="B68" s="14">
        <v>227</v>
      </c>
      <c r="C68" s="15">
        <v>518</v>
      </c>
      <c r="D68" s="15">
        <v>-1341</v>
      </c>
      <c r="E68" s="15">
        <v>-426</v>
      </c>
      <c r="F68" s="15">
        <v>1652</v>
      </c>
      <c r="G68" s="17">
        <f t="shared" si="13"/>
        <v>630</v>
      </c>
      <c r="H68" s="15">
        <v>1902</v>
      </c>
      <c r="I68" s="15">
        <v>1327</v>
      </c>
      <c r="J68" s="15">
        <v>39918</v>
      </c>
      <c r="K68" s="15">
        <v>48851</v>
      </c>
      <c r="L68" s="15">
        <v>166173</v>
      </c>
      <c r="M68" s="17">
        <f t="shared" si="14"/>
        <v>258171</v>
      </c>
      <c r="N68" s="15">
        <f t="shared" si="15"/>
        <v>0.11934805467928496</v>
      </c>
      <c r="O68" s="15">
        <f t="shared" si="8"/>
        <v>0.39035418236623964</v>
      </c>
      <c r="P68" s="15">
        <f t="shared" si="9"/>
        <v>-3.3593867428227869E-2</v>
      </c>
      <c r="Q68" s="15">
        <f t="shared" si="10"/>
        <v>-8.7203946695052301E-3</v>
      </c>
      <c r="R68" s="15">
        <f t="shared" si="11"/>
        <v>9.9414465647247145E-3</v>
      </c>
      <c r="S68" s="17">
        <f t="shared" si="12"/>
        <v>2.4402430946930524E-3</v>
      </c>
    </row>
    <row r="69" spans="1:19">
      <c r="A69" s="3" t="s">
        <v>79</v>
      </c>
      <c r="B69" s="14">
        <v>24134</v>
      </c>
      <c r="C69" s="15">
        <v>44964</v>
      </c>
      <c r="D69" s="15">
        <v>42993</v>
      </c>
      <c r="E69" s="15">
        <v>738</v>
      </c>
      <c r="F69" s="15">
        <v>94141</v>
      </c>
      <c r="G69" s="17">
        <f t="shared" si="13"/>
        <v>206970</v>
      </c>
      <c r="H69" s="15">
        <v>62605</v>
      </c>
      <c r="I69" s="15">
        <v>24256</v>
      </c>
      <c r="J69" s="15">
        <v>343765</v>
      </c>
      <c r="K69" s="15">
        <v>367508</v>
      </c>
      <c r="L69" s="15">
        <v>276800</v>
      </c>
      <c r="M69" s="17">
        <f t="shared" si="14"/>
        <v>1074934</v>
      </c>
      <c r="N69" s="15">
        <f t="shared" si="15"/>
        <v>0.3854963661049437</v>
      </c>
      <c r="O69" s="15">
        <f t="shared" si="8"/>
        <v>1.8537269129287599</v>
      </c>
      <c r="P69" s="15">
        <f t="shared" si="9"/>
        <v>0.12506508806888428</v>
      </c>
      <c r="Q69" s="15">
        <f t="shared" si="10"/>
        <v>2.0081195511390229E-3</v>
      </c>
      <c r="R69" s="15">
        <f t="shared" si="11"/>
        <v>0.34010476878612717</v>
      </c>
      <c r="S69" s="17">
        <f t="shared" si="12"/>
        <v>0.19254205374469502</v>
      </c>
    </row>
    <row r="70" spans="1:19">
      <c r="A70" s="3" t="s">
        <v>80</v>
      </c>
      <c r="B70" s="14">
        <v>60328</v>
      </c>
      <c r="C70" s="15">
        <v>60917</v>
      </c>
      <c r="D70" s="15">
        <v>98416</v>
      </c>
      <c r="E70" s="15">
        <v>-23344</v>
      </c>
      <c r="F70" s="15">
        <v>70703</v>
      </c>
      <c r="G70" s="17">
        <f t="shared" si="13"/>
        <v>267020</v>
      </c>
      <c r="H70" s="15">
        <v>13947</v>
      </c>
      <c r="I70" s="15">
        <v>21432</v>
      </c>
      <c r="J70" s="15">
        <v>398465</v>
      </c>
      <c r="K70" s="15">
        <v>148829</v>
      </c>
      <c r="L70" s="15">
        <v>99913</v>
      </c>
      <c r="M70" s="17">
        <f t="shared" si="14"/>
        <v>682586</v>
      </c>
      <c r="N70" s="15">
        <f t="shared" si="15"/>
        <v>4.3255180325518037</v>
      </c>
      <c r="O70" s="15">
        <f t="shared" si="8"/>
        <v>2.842338559163867</v>
      </c>
      <c r="P70" s="15">
        <f t="shared" si="9"/>
        <v>0.24698781574291342</v>
      </c>
      <c r="Q70" s="15">
        <f t="shared" si="10"/>
        <v>-0.15685115132131508</v>
      </c>
      <c r="R70" s="15">
        <f t="shared" si="11"/>
        <v>0.70764565171699378</v>
      </c>
      <c r="S70" s="17">
        <f t="shared" si="12"/>
        <v>0.39118880258311772</v>
      </c>
    </row>
    <row r="71" spans="1:19">
      <c r="A71" s="3" t="s">
        <v>81</v>
      </c>
      <c r="B71" s="14">
        <v>5990</v>
      </c>
      <c r="C71" s="15">
        <v>262</v>
      </c>
      <c r="D71" s="15">
        <v>18557</v>
      </c>
      <c r="E71" s="15">
        <v>-4170</v>
      </c>
      <c r="F71" s="15">
        <v>1240</v>
      </c>
      <c r="G71" s="17">
        <f t="shared" si="13"/>
        <v>21879</v>
      </c>
      <c r="H71" s="15">
        <v>1401</v>
      </c>
      <c r="I71" s="15">
        <v>397</v>
      </c>
      <c r="J71" s="15">
        <v>3589</v>
      </c>
      <c r="K71" s="15">
        <v>21485</v>
      </c>
      <c r="L71" s="15">
        <v>230413</v>
      </c>
      <c r="M71" s="17">
        <f t="shared" si="14"/>
        <v>257285</v>
      </c>
      <c r="N71" s="15">
        <f t="shared" si="15"/>
        <v>4.2755174875089219</v>
      </c>
      <c r="O71" s="15">
        <f t="shared" si="8"/>
        <v>0.65994962216624686</v>
      </c>
      <c r="P71" s="15">
        <f t="shared" si="9"/>
        <v>5.1705210365004177</v>
      </c>
      <c r="Q71" s="15">
        <f t="shared" si="10"/>
        <v>-0.19408889923202235</v>
      </c>
      <c r="R71" s="15">
        <f t="shared" si="11"/>
        <v>5.38164079283721E-3</v>
      </c>
      <c r="S71" s="17">
        <f>G71/M71</f>
        <v>8.5037992887265101E-2</v>
      </c>
    </row>
    <row r="72" spans="1:19">
      <c r="A72" s="3" t="s">
        <v>82</v>
      </c>
      <c r="B72" s="14">
        <v>52</v>
      </c>
      <c r="C72" s="15">
        <v>1058</v>
      </c>
      <c r="D72" s="15">
        <v>1978</v>
      </c>
      <c r="E72" s="15">
        <v>-791</v>
      </c>
      <c r="F72" s="15">
        <v>-452</v>
      </c>
      <c r="G72" s="17">
        <f t="shared" si="13"/>
        <v>1845</v>
      </c>
      <c r="H72" s="15">
        <v>752</v>
      </c>
      <c r="I72" s="15">
        <v>17239</v>
      </c>
      <c r="J72" s="15">
        <v>120728</v>
      </c>
      <c r="K72" s="15">
        <v>113462</v>
      </c>
      <c r="L72" s="15">
        <v>164796</v>
      </c>
      <c r="M72" s="17">
        <f t="shared" si="14"/>
        <v>416977</v>
      </c>
      <c r="N72" s="15">
        <f t="shared" si="15"/>
        <v>6.9148936170212769E-2</v>
      </c>
      <c r="O72" s="15">
        <f t="shared" si="8"/>
        <v>6.1372469400777306E-2</v>
      </c>
      <c r="P72" s="15">
        <f t="shared" si="9"/>
        <v>1.6383937446159964E-2</v>
      </c>
      <c r="Q72" s="15">
        <f t="shared" si="10"/>
        <v>-6.9714970650966842E-3</v>
      </c>
      <c r="R72" s="15">
        <f t="shared" si="11"/>
        <v>-2.7427850190538607E-3</v>
      </c>
      <c r="S72" s="17">
        <f t="shared" si="12"/>
        <v>4.4247044801032191E-3</v>
      </c>
    </row>
    <row r="73" spans="1:19">
      <c r="A73" s="3" t="s">
        <v>83</v>
      </c>
      <c r="B73" s="14">
        <v>-3492</v>
      </c>
      <c r="C73" s="15">
        <v>8432</v>
      </c>
      <c r="D73" s="15">
        <v>15563</v>
      </c>
      <c r="E73" s="15">
        <v>-2410</v>
      </c>
      <c r="F73" s="15">
        <v>15750</v>
      </c>
      <c r="G73" s="17">
        <f t="shared" si="13"/>
        <v>33843</v>
      </c>
      <c r="H73" s="15">
        <v>184228</v>
      </c>
      <c r="I73" s="15">
        <v>117566</v>
      </c>
      <c r="J73" s="15">
        <v>1888583</v>
      </c>
      <c r="K73" s="15">
        <v>1096328</v>
      </c>
      <c r="L73" s="15">
        <v>2067665</v>
      </c>
      <c r="M73" s="17">
        <f t="shared" si="14"/>
        <v>5354370</v>
      </c>
      <c r="N73" s="15">
        <f t="shared" si="15"/>
        <v>-1.8954773432920076E-2</v>
      </c>
      <c r="O73" s="15">
        <f t="shared" si="8"/>
        <v>7.1721416055662346E-2</v>
      </c>
      <c r="P73" s="15">
        <f t="shared" si="9"/>
        <v>8.2405697816828813E-3</v>
      </c>
      <c r="Q73" s="15">
        <f t="shared" si="10"/>
        <v>-2.1982472398771173E-3</v>
      </c>
      <c r="R73" s="15">
        <f t="shared" si="11"/>
        <v>7.617288100345075E-3</v>
      </c>
      <c r="S73" s="17">
        <f t="shared" si="12"/>
        <v>6.3206315588948837E-3</v>
      </c>
    </row>
    <row r="74" spans="1:19">
      <c r="A74" s="3" t="s">
        <v>84</v>
      </c>
      <c r="B74" s="14">
        <v>2325</v>
      </c>
      <c r="C74" s="15">
        <v>-84</v>
      </c>
      <c r="D74" s="15">
        <v>3532</v>
      </c>
      <c r="E74" s="15">
        <v>-2590</v>
      </c>
      <c r="F74" s="15">
        <v>2189</v>
      </c>
      <c r="G74" s="17">
        <f t="shared" si="13"/>
        <v>5372</v>
      </c>
      <c r="H74" s="15">
        <v>44461</v>
      </c>
      <c r="I74" s="15">
        <v>168523</v>
      </c>
      <c r="J74" s="15">
        <v>868373</v>
      </c>
      <c r="K74" s="15">
        <v>628175</v>
      </c>
      <c r="L74" s="15">
        <v>557392</v>
      </c>
      <c r="M74" s="17">
        <f t="shared" si="14"/>
        <v>2266924</v>
      </c>
      <c r="N74" s="15">
        <f t="shared" si="15"/>
        <v>5.2293020849733474E-2</v>
      </c>
      <c r="O74" s="15">
        <f t="shared" si="8"/>
        <v>-4.9844828302368226E-4</v>
      </c>
      <c r="P74" s="15">
        <f t="shared" si="9"/>
        <v>4.0673765766554232E-3</v>
      </c>
      <c r="Q74" s="15">
        <f t="shared" si="10"/>
        <v>-4.1230548812034862E-3</v>
      </c>
      <c r="R74" s="15">
        <f t="shared" si="11"/>
        <v>3.927218187559204E-3</v>
      </c>
      <c r="S74" s="17">
        <f t="shared" si="12"/>
        <v>2.3697309658374079E-3</v>
      </c>
    </row>
    <row r="75" spans="1:19">
      <c r="A75" s="3" t="s">
        <v>85</v>
      </c>
      <c r="B75" s="14">
        <v>-133898</v>
      </c>
      <c r="C75" s="15">
        <v>255307</v>
      </c>
      <c r="D75" s="15">
        <v>522928</v>
      </c>
      <c r="E75" s="15">
        <v>-25773</v>
      </c>
      <c r="F75" s="15">
        <v>103404</v>
      </c>
      <c r="G75" s="17">
        <f t="shared" si="13"/>
        <v>721968</v>
      </c>
      <c r="H75" s="15">
        <v>241428</v>
      </c>
      <c r="I75" s="15">
        <v>170570</v>
      </c>
      <c r="J75" s="15">
        <v>2033459</v>
      </c>
      <c r="K75" s="15">
        <v>1810290</v>
      </c>
      <c r="L75" s="15">
        <v>452752</v>
      </c>
      <c r="M75" s="17">
        <f t="shared" si="14"/>
        <v>4708499</v>
      </c>
      <c r="N75" s="15">
        <f t="shared" si="15"/>
        <v>-0.55460841327435095</v>
      </c>
      <c r="O75" s="15">
        <f t="shared" si="8"/>
        <v>1.4967872427742277</v>
      </c>
      <c r="P75" s="15">
        <f t="shared" si="9"/>
        <v>0.25716181147493017</v>
      </c>
      <c r="Q75" s="15">
        <f t="shared" si="10"/>
        <v>-1.4236945461776842E-2</v>
      </c>
      <c r="R75" s="15">
        <f t="shared" si="11"/>
        <v>0.22838993532883345</v>
      </c>
      <c r="S75" s="17">
        <f t="shared" si="12"/>
        <v>0.1533329411347438</v>
      </c>
    </row>
    <row r="76" spans="1:19">
      <c r="A76" s="3" t="s">
        <v>86</v>
      </c>
      <c r="B76" s="14">
        <v>-1166841</v>
      </c>
      <c r="C76" s="15">
        <v>945429</v>
      </c>
      <c r="D76" s="15">
        <v>208808</v>
      </c>
      <c r="E76" s="15">
        <v>347309</v>
      </c>
      <c r="F76" s="15">
        <v>830649</v>
      </c>
      <c r="G76" s="17">
        <f t="shared" si="13"/>
        <v>1165354</v>
      </c>
      <c r="H76" s="15">
        <v>2418909</v>
      </c>
      <c r="I76" s="15">
        <v>4538540</v>
      </c>
      <c r="J76" s="15">
        <v>12874136</v>
      </c>
      <c r="K76" s="15">
        <v>10196515</v>
      </c>
      <c r="L76" s="15">
        <v>3126932</v>
      </c>
      <c r="M76" s="17">
        <f t="shared" si="14"/>
        <v>33155032</v>
      </c>
      <c r="N76" s="15">
        <f t="shared" si="15"/>
        <v>-0.48238317357122573</v>
      </c>
      <c r="O76" s="15">
        <f t="shared" si="8"/>
        <v>0.20831126309341771</v>
      </c>
      <c r="P76" s="15">
        <f t="shared" si="9"/>
        <v>1.6219185504953496E-2</v>
      </c>
      <c r="Q76" s="15">
        <f t="shared" si="10"/>
        <v>3.4061539653499256E-2</v>
      </c>
      <c r="R76" s="15">
        <f t="shared" si="11"/>
        <v>0.26564344859434103</v>
      </c>
      <c r="S76" s="17">
        <f t="shared" si="12"/>
        <v>3.514863143549371E-2</v>
      </c>
    </row>
    <row r="77" spans="1:19">
      <c r="A77" s="3" t="s">
        <v>87</v>
      </c>
      <c r="B77" s="14">
        <v>2424</v>
      </c>
      <c r="C77" s="15">
        <v>2144</v>
      </c>
      <c r="D77" s="15">
        <v>-664</v>
      </c>
      <c r="E77" s="15">
        <v>750</v>
      </c>
      <c r="F77" s="15">
        <v>1090</v>
      </c>
      <c r="G77" s="17">
        <f t="shared" si="13"/>
        <v>5744</v>
      </c>
      <c r="H77" s="15">
        <v>587</v>
      </c>
      <c r="I77" s="15">
        <v>1104</v>
      </c>
      <c r="J77" s="15">
        <v>17059</v>
      </c>
      <c r="K77" s="15">
        <v>85797</v>
      </c>
      <c r="L77" s="15">
        <v>261163</v>
      </c>
      <c r="M77" s="17">
        <f t="shared" si="14"/>
        <v>365710</v>
      </c>
      <c r="N77" s="15">
        <f t="shared" si="15"/>
        <v>4.1294718909710388</v>
      </c>
      <c r="O77" s="15">
        <f t="shared" si="8"/>
        <v>1.9420289855072463</v>
      </c>
      <c r="P77" s="15">
        <f t="shared" si="9"/>
        <v>-3.8923735271704084E-2</v>
      </c>
      <c r="Q77" s="15">
        <f t="shared" si="10"/>
        <v>8.7415643903632993E-3</v>
      </c>
      <c r="R77" s="15">
        <f t="shared" si="11"/>
        <v>4.1736386854186848E-3</v>
      </c>
      <c r="S77" s="17">
        <f t="shared" si="12"/>
        <v>1.5706434059774139E-2</v>
      </c>
    </row>
    <row r="78" spans="1:19">
      <c r="A78" s="3" t="s">
        <v>88</v>
      </c>
      <c r="B78" s="14">
        <v>1865</v>
      </c>
      <c r="C78" s="15">
        <v>1787</v>
      </c>
      <c r="D78" s="15">
        <v>4739</v>
      </c>
      <c r="E78" s="15">
        <v>442</v>
      </c>
      <c r="F78" s="15">
        <v>2088</v>
      </c>
      <c r="G78" s="17">
        <f t="shared" si="13"/>
        <v>10921</v>
      </c>
      <c r="H78" s="15">
        <v>8323</v>
      </c>
      <c r="I78" s="15">
        <v>47937</v>
      </c>
      <c r="J78" s="15">
        <v>19151</v>
      </c>
      <c r="K78" s="15">
        <v>5688</v>
      </c>
      <c r="L78" s="15">
        <v>27628</v>
      </c>
      <c r="M78" s="17">
        <f t="shared" si="14"/>
        <v>108727</v>
      </c>
      <c r="N78" s="15">
        <f t="shared" si="15"/>
        <v>0.22407785654211221</v>
      </c>
      <c r="O78" s="15">
        <f t="shared" si="8"/>
        <v>3.7278094165258568E-2</v>
      </c>
      <c r="P78" s="15">
        <f t="shared" si="9"/>
        <v>0.24745444102135658</v>
      </c>
      <c r="Q78" s="15">
        <f t="shared" si="10"/>
        <v>7.7707454289732775E-2</v>
      </c>
      <c r="R78" s="15">
        <f t="shared" si="11"/>
        <v>7.5575503112784131E-2</v>
      </c>
      <c r="S78" s="17">
        <f t="shared" si="12"/>
        <v>0.10044423188352479</v>
      </c>
    </row>
    <row r="79" spans="1:19">
      <c r="A79" s="3" t="s">
        <v>91</v>
      </c>
      <c r="B79" s="24">
        <f>AVERAGE(B3:B78)</f>
        <v>-1103.8421052631579</v>
      </c>
      <c r="C79" s="25">
        <f t="shared" ref="C79:S79" si="16">AVERAGE(C3:C78)</f>
        <v>41259.697368421053</v>
      </c>
      <c r="D79" s="25">
        <f t="shared" si="16"/>
        <v>37527.394736842107</v>
      </c>
      <c r="E79" s="25">
        <f>AVERAGE(E3:E78)</f>
        <v>-6591.5657894736842</v>
      </c>
      <c r="F79" s="25">
        <f>AVERAGE(F3:F78)</f>
        <v>27954.526315789473</v>
      </c>
      <c r="G79" s="26">
        <f t="shared" si="16"/>
        <v>99046.210526315786</v>
      </c>
      <c r="H79" s="25">
        <f t="shared" si="16"/>
        <v>108250.93421052632</v>
      </c>
      <c r="I79" s="25">
        <f t="shared" si="16"/>
        <v>278291.09210526315</v>
      </c>
      <c r="J79" s="25">
        <f>AVERAGE(J3:J78)</f>
        <v>600814.69736842101</v>
      </c>
      <c r="K79" s="25">
        <f t="shared" si="16"/>
        <v>535457.32894736843</v>
      </c>
      <c r="L79" s="25">
        <f t="shared" si="16"/>
        <v>622218.42105263157</v>
      </c>
      <c r="M79" s="26">
        <f t="shared" si="16"/>
        <v>2145032.4736842103</v>
      </c>
      <c r="N79" s="25">
        <f t="shared" si="16"/>
        <v>1.8277833332923517</v>
      </c>
      <c r="O79" s="25">
        <f t="shared" si="16"/>
        <v>2.3560233037827167</v>
      </c>
      <c r="P79" s="25">
        <f t="shared" si="16"/>
        <v>4.0018193369775403</v>
      </c>
      <c r="Q79" s="25">
        <f t="shared" si="16"/>
        <v>-0.67766976048056649</v>
      </c>
      <c r="R79" s="25">
        <f t="shared" si="16"/>
        <v>3.3641292294421841</v>
      </c>
      <c r="S79" s="26">
        <f>AVERAGE(S3:S78)</f>
        <v>1.2508739254004226</v>
      </c>
    </row>
    <row r="81" spans="1:19">
      <c r="M81" s="3" t="s">
        <v>92</v>
      </c>
      <c r="N81" s="3">
        <f>_xlfn.STDEV.S(N3:N78)</f>
        <v>5.1890529874302862</v>
      </c>
      <c r="O81" s="3">
        <f t="shared" ref="O81:S81" si="17">_xlfn.STDEV.S(O3:O78)</f>
        <v>10.867088288386368</v>
      </c>
      <c r="P81" s="3">
        <f t="shared" si="17"/>
        <v>15.264439604371987</v>
      </c>
      <c r="Q81" s="3">
        <f t="shared" si="17"/>
        <v>8.3277254704710746</v>
      </c>
      <c r="R81" s="3">
        <f>_xlfn.STDEV.S(R3:R78)</f>
        <v>17.913006541328624</v>
      </c>
      <c r="S81" s="3">
        <f t="shared" si="17"/>
        <v>6.6815213881904825</v>
      </c>
    </row>
    <row r="82" spans="1:19">
      <c r="M82" s="3" t="s">
        <v>93</v>
      </c>
      <c r="N82" s="3">
        <f>N79</f>
        <v>1.8277833332923517</v>
      </c>
      <c r="O82" s="3">
        <f t="shared" ref="O82:S82" si="18">O79</f>
        <v>2.3560233037827167</v>
      </c>
      <c r="P82" s="3">
        <f t="shared" si="18"/>
        <v>4.0018193369775403</v>
      </c>
      <c r="Q82" s="3">
        <f t="shared" si="18"/>
        <v>-0.67766976048056649</v>
      </c>
      <c r="R82" s="3">
        <f t="shared" si="18"/>
        <v>3.3641292294421841</v>
      </c>
      <c r="S82" s="3">
        <f t="shared" si="18"/>
        <v>1.2508739254004226</v>
      </c>
    </row>
    <row r="85" spans="1:19">
      <c r="A85" s="5" t="s">
        <v>99</v>
      </c>
      <c r="B85" s="6">
        <v>0.95</v>
      </c>
      <c r="C85" s="6">
        <v>0.9</v>
      </c>
      <c r="D85" s="6">
        <v>0.85</v>
      </c>
      <c r="E85" s="6">
        <v>0.8</v>
      </c>
      <c r="F85" s="6">
        <v>0.75</v>
      </c>
      <c r="G85" s="6">
        <v>0.7</v>
      </c>
      <c r="H85" s="6">
        <v>0.65</v>
      </c>
      <c r="I85" s="6">
        <v>0.6</v>
      </c>
      <c r="J85" s="6">
        <v>0.55000000000000004</v>
      </c>
      <c r="K85" s="6">
        <v>0.5</v>
      </c>
    </row>
    <row r="86" spans="1:19">
      <c r="A86" t="s">
        <v>100</v>
      </c>
      <c r="B86">
        <v>3.0213999999999999</v>
      </c>
      <c r="C86">
        <v>2.8256999999999999</v>
      </c>
      <c r="D86">
        <v>2.6991999999999998</v>
      </c>
      <c r="E86">
        <v>2.6025</v>
      </c>
      <c r="F86">
        <v>2.5224000000000002</v>
      </c>
      <c r="G86">
        <v>2.4531000000000001</v>
      </c>
      <c r="H86">
        <v>2.3913000000000002</v>
      </c>
      <c r="I86">
        <v>2.335</v>
      </c>
      <c r="J86">
        <v>2.2827999999999999</v>
      </c>
      <c r="K86">
        <v>2.2339000000000002</v>
      </c>
    </row>
    <row r="87" spans="1:19">
      <c r="A87" t="s">
        <v>101</v>
      </c>
      <c r="B87">
        <v>0.63419999999999999</v>
      </c>
      <c r="C87">
        <v>0.82989999999999997</v>
      </c>
      <c r="D87">
        <v>0.95630000000000004</v>
      </c>
      <c r="E87">
        <v>1.0530999999999999</v>
      </c>
      <c r="F87">
        <v>1.1331</v>
      </c>
      <c r="G87">
        <v>1.2023999999999999</v>
      </c>
      <c r="H87">
        <v>1.2643</v>
      </c>
      <c r="I87">
        <v>1.3206</v>
      </c>
      <c r="J87">
        <v>1.3728</v>
      </c>
      <c r="K87">
        <v>1.4217</v>
      </c>
    </row>
    <row r="88" spans="1:19">
      <c r="A88" s="5" t="s">
        <v>94</v>
      </c>
      <c r="B88" s="6">
        <v>0.95</v>
      </c>
      <c r="C88" s="6">
        <v>0.9</v>
      </c>
      <c r="D88" s="6">
        <v>0.85</v>
      </c>
      <c r="E88" s="6">
        <v>0.8</v>
      </c>
      <c r="F88" s="6">
        <v>0.75</v>
      </c>
      <c r="G88" s="6">
        <v>0.7</v>
      </c>
      <c r="H88" s="6">
        <v>0.65</v>
      </c>
      <c r="I88" s="6">
        <v>0.6</v>
      </c>
      <c r="J88" s="6">
        <v>0.55000000000000004</v>
      </c>
      <c r="K88" s="6">
        <v>0.5</v>
      </c>
    </row>
    <row r="89" spans="1:19">
      <c r="A89" t="s">
        <v>100</v>
      </c>
      <c r="B89">
        <v>4.8558000000000003</v>
      </c>
      <c r="C89">
        <v>4.4458000000000002</v>
      </c>
      <c r="D89">
        <v>4.1810999999999998</v>
      </c>
      <c r="E89">
        <v>3.9784000000000002</v>
      </c>
      <c r="F89">
        <v>3.8108</v>
      </c>
      <c r="G89">
        <v>3.6656</v>
      </c>
      <c r="H89">
        <v>3.5360999999999998</v>
      </c>
      <c r="I89">
        <v>3.4182000000000001</v>
      </c>
      <c r="J89">
        <v>3.3089</v>
      </c>
      <c r="K89">
        <v>3.2065000000000001</v>
      </c>
      <c r="N89" s="4"/>
    </row>
    <row r="90" spans="1:19">
      <c r="A90" t="s">
        <v>101</v>
      </c>
      <c r="B90">
        <v>-0.14369999999999999</v>
      </c>
      <c r="C90">
        <v>0.26619999999999999</v>
      </c>
      <c r="D90">
        <v>0.53100000000000003</v>
      </c>
      <c r="E90">
        <v>0.73360000000000003</v>
      </c>
      <c r="F90">
        <v>0.90129999999999999</v>
      </c>
      <c r="G90">
        <v>1.0464</v>
      </c>
      <c r="H90">
        <v>1.1758999999999999</v>
      </c>
      <c r="I90">
        <v>1.2939000000000001</v>
      </c>
      <c r="J90">
        <v>1.4031</v>
      </c>
      <c r="K90">
        <v>1.5055000000000001</v>
      </c>
    </row>
    <row r="91" spans="1:19">
      <c r="A91" s="5" t="s">
        <v>95</v>
      </c>
      <c r="B91" s="6">
        <v>0.95</v>
      </c>
      <c r="C91" s="6">
        <v>0.9</v>
      </c>
      <c r="D91" s="6">
        <v>0.85</v>
      </c>
      <c r="E91" s="6">
        <v>0.8</v>
      </c>
      <c r="F91" s="6">
        <v>0.75</v>
      </c>
      <c r="G91" s="6">
        <v>0.7</v>
      </c>
      <c r="H91" s="6">
        <v>0.65</v>
      </c>
      <c r="I91" s="6">
        <v>0.6</v>
      </c>
      <c r="J91" s="6">
        <v>0.55000000000000004</v>
      </c>
      <c r="K91" s="6">
        <v>0.5</v>
      </c>
    </row>
    <row r="92" spans="1:19">
      <c r="A92" t="s">
        <v>100</v>
      </c>
      <c r="B92">
        <v>7.5130999999999997</v>
      </c>
      <c r="C92">
        <v>6.9372999999999996</v>
      </c>
      <c r="D92">
        <v>6.5654000000000003</v>
      </c>
      <c r="E92">
        <v>6.2807000000000004</v>
      </c>
      <c r="F92">
        <v>6.0452000000000004</v>
      </c>
      <c r="G92">
        <v>5.8413000000000004</v>
      </c>
      <c r="H92">
        <v>5.6595000000000004</v>
      </c>
      <c r="I92">
        <v>5.4936999999999996</v>
      </c>
      <c r="J92">
        <v>5.3403</v>
      </c>
      <c r="K92">
        <v>5.1965000000000003</v>
      </c>
    </row>
    <row r="93" spans="1:19">
      <c r="A93" t="s">
        <v>101</v>
      </c>
      <c r="B93">
        <v>0.49059999999999998</v>
      </c>
      <c r="C93">
        <v>1.0664</v>
      </c>
      <c r="D93">
        <v>1.4382999999999999</v>
      </c>
      <c r="E93">
        <v>1.7229000000000001</v>
      </c>
      <c r="F93">
        <v>1.9583999999999999</v>
      </c>
      <c r="G93">
        <v>2.1623000000000001</v>
      </c>
      <c r="H93">
        <v>2.3441999999999998</v>
      </c>
      <c r="I93">
        <v>2.5099</v>
      </c>
      <c r="J93">
        <v>2.6633</v>
      </c>
      <c r="K93">
        <v>2.8071999999999999</v>
      </c>
    </row>
    <row r="94" spans="1:19">
      <c r="A94" s="5" t="s">
        <v>96</v>
      </c>
      <c r="B94" s="6">
        <v>0.95</v>
      </c>
      <c r="C94" s="6">
        <v>0.9</v>
      </c>
      <c r="D94" s="6">
        <v>0.85</v>
      </c>
      <c r="E94" s="6">
        <v>0.8</v>
      </c>
      <c r="F94" s="6">
        <v>0.75</v>
      </c>
      <c r="G94" s="6">
        <v>0.7</v>
      </c>
      <c r="H94" s="6">
        <v>0.65</v>
      </c>
      <c r="I94" s="6">
        <v>0.6</v>
      </c>
      <c r="J94" s="6">
        <v>0.55000000000000004</v>
      </c>
      <c r="K94" s="6">
        <v>0.5</v>
      </c>
    </row>
    <row r="95" spans="1:19">
      <c r="A95" t="s">
        <v>100</v>
      </c>
      <c r="B95">
        <v>1.2379</v>
      </c>
      <c r="C95">
        <v>0.92379999999999995</v>
      </c>
      <c r="D95">
        <v>0.72089999999999999</v>
      </c>
      <c r="E95">
        <v>0.56559999999999999</v>
      </c>
      <c r="F95">
        <v>0.43709999999999999</v>
      </c>
      <c r="G95">
        <v>0.32590000000000002</v>
      </c>
      <c r="H95">
        <v>0.22670000000000001</v>
      </c>
      <c r="I95">
        <v>0.1363</v>
      </c>
      <c r="J95">
        <v>5.2600000000000001E-2</v>
      </c>
      <c r="K95">
        <v>-2.5899999999999999E-2</v>
      </c>
    </row>
    <row r="96" spans="1:19">
      <c r="A96" t="s">
        <v>101</v>
      </c>
      <c r="B96">
        <v>-2.5933000000000002</v>
      </c>
      <c r="C96">
        <v>-2.2791000000000001</v>
      </c>
      <c r="D96">
        <v>-2.0762999999999998</v>
      </c>
      <c r="E96">
        <v>-1.921</v>
      </c>
      <c r="F96">
        <v>-1.7925</v>
      </c>
      <c r="G96">
        <v>-1.6812</v>
      </c>
      <c r="H96">
        <v>-1.5820000000000001</v>
      </c>
      <c r="I96">
        <v>-1.4916</v>
      </c>
      <c r="J96">
        <v>-1.4078999999999999</v>
      </c>
      <c r="K96">
        <v>-1.3293999999999999</v>
      </c>
    </row>
    <row r="97" spans="1:11">
      <c r="A97" s="5" t="s">
        <v>97</v>
      </c>
      <c r="B97" s="6">
        <v>0.95</v>
      </c>
      <c r="C97" s="6">
        <v>0.9</v>
      </c>
      <c r="D97" s="6">
        <v>0.85</v>
      </c>
      <c r="E97" s="6">
        <v>0.8</v>
      </c>
      <c r="F97" s="6">
        <v>0.75</v>
      </c>
      <c r="G97" s="6">
        <v>0.7</v>
      </c>
      <c r="H97" s="6">
        <v>0.65</v>
      </c>
      <c r="I97" s="6">
        <v>0.6</v>
      </c>
      <c r="J97" s="6">
        <v>0.55000000000000004</v>
      </c>
      <c r="K97" s="6">
        <v>0.5</v>
      </c>
    </row>
    <row r="98" spans="1:11">
      <c r="A98" t="s">
        <v>100</v>
      </c>
      <c r="B98">
        <v>7.4846000000000004</v>
      </c>
      <c r="C98">
        <v>6.8089000000000004</v>
      </c>
      <c r="D98">
        <v>6.3724999999999996</v>
      </c>
      <c r="E98">
        <v>6.0385</v>
      </c>
      <c r="F98">
        <v>5.7621000000000002</v>
      </c>
      <c r="G98">
        <v>5.5228000000000002</v>
      </c>
      <c r="H98">
        <v>5.3094000000000001</v>
      </c>
      <c r="I98">
        <v>5.1148999999999996</v>
      </c>
      <c r="J98">
        <v>4.9348999999999998</v>
      </c>
      <c r="K98">
        <v>4.766</v>
      </c>
    </row>
    <row r="99" spans="1:11">
      <c r="A99" t="s">
        <v>101</v>
      </c>
      <c r="B99">
        <v>-0.75639999999999996</v>
      </c>
      <c r="C99">
        <v>-8.0699999999999994E-2</v>
      </c>
      <c r="D99">
        <v>0.35580000000000001</v>
      </c>
      <c r="E99">
        <v>0.68979999999999997</v>
      </c>
      <c r="F99">
        <v>0.96619999999999995</v>
      </c>
      <c r="G99">
        <v>1.2054</v>
      </c>
      <c r="H99">
        <v>1.4189000000000001</v>
      </c>
      <c r="I99">
        <v>1.6133</v>
      </c>
      <c r="J99">
        <v>1.7934000000000001</v>
      </c>
      <c r="K99">
        <v>1.9621999999999999</v>
      </c>
    </row>
    <row r="100" spans="1:11">
      <c r="A100" s="5" t="s">
        <v>98</v>
      </c>
      <c r="B100" s="6">
        <v>0.95</v>
      </c>
      <c r="C100" s="6">
        <v>0.9</v>
      </c>
      <c r="D100" s="6">
        <v>0.85</v>
      </c>
      <c r="E100" s="6">
        <v>0.8</v>
      </c>
      <c r="F100" s="6">
        <v>0.75</v>
      </c>
      <c r="G100" s="6">
        <v>0.7</v>
      </c>
      <c r="H100" s="6">
        <v>0.65</v>
      </c>
      <c r="I100" s="6">
        <v>0.6</v>
      </c>
      <c r="J100" s="6">
        <v>0.55000000000000004</v>
      </c>
      <c r="K100" s="6">
        <v>0.5</v>
      </c>
    </row>
    <row r="101" spans="1:11">
      <c r="A101" t="s">
        <v>100</v>
      </c>
      <c r="B101">
        <v>2.7877999999999998</v>
      </c>
      <c r="C101">
        <v>2.5358000000000001</v>
      </c>
      <c r="D101">
        <v>2.3730000000000002</v>
      </c>
      <c r="E101">
        <v>2.2484000000000002</v>
      </c>
      <c r="F101">
        <v>2.1453000000000002</v>
      </c>
      <c r="G101">
        <v>2.0560999999999998</v>
      </c>
      <c r="H101">
        <v>1.9764999999999999</v>
      </c>
      <c r="I101">
        <v>1.9038999999999999</v>
      </c>
      <c r="J101">
        <v>1.8368</v>
      </c>
      <c r="K101">
        <v>1.7738</v>
      </c>
    </row>
    <row r="102" spans="1:11">
      <c r="A102" t="s">
        <v>101</v>
      </c>
      <c r="B102">
        <v>-0.28610000000000002</v>
      </c>
      <c r="C102">
        <v>-3.4000000000000002E-2</v>
      </c>
      <c r="D102">
        <v>0.1288</v>
      </c>
      <c r="E102">
        <v>0.25330000000000003</v>
      </c>
      <c r="F102">
        <v>0.35639999999999999</v>
      </c>
      <c r="G102">
        <v>0.44569999999999999</v>
      </c>
      <c r="H102">
        <v>0.52529999999999999</v>
      </c>
      <c r="I102">
        <v>0.5978</v>
      </c>
      <c r="J102">
        <v>0.66500000000000004</v>
      </c>
      <c r="K102">
        <v>0.72799999999999998</v>
      </c>
    </row>
  </sheetData>
  <mergeCells count="4">
    <mergeCell ref="N1:S1"/>
    <mergeCell ref="B1:G1"/>
    <mergeCell ref="A1:A2"/>
    <mergeCell ref="H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Jirat Jalaketu</dc:creator>
  <cp:lastModifiedBy>Jirat Jalaketu</cp:lastModifiedBy>
  <dcterms:created xsi:type="dcterms:W3CDTF">2021-10-28T06:24:19Z</dcterms:created>
  <dcterms:modified xsi:type="dcterms:W3CDTF">2021-12-09T10:29:15Z</dcterms:modified>
</cp:coreProperties>
</file>