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scottwilson/PycharmProjects/mario/test/"/>
    </mc:Choice>
  </mc:AlternateContent>
  <xr:revisionPtr revIDLastSave="0" documentId="13_ncr:1_{221A0BD9-C6BA-9E4E-B736-A01C4E03D099}" xr6:coauthVersionLast="47" xr6:coauthVersionMax="47" xr10:uidLastSave="{00000000-0000-0000-0000-000000000000}"/>
  <bookViews>
    <workbookView xWindow="0" yWindow="760" windowWidth="23500" windowHeight="14620" xr2:uid="{497A80FB-48CD-4926-8548-61C9D2949BF2}"/>
  </bookViews>
  <sheets>
    <sheet name="InputTemplate" sheetId="1" r:id="rId1"/>
    <sheet name="Picklist" sheetId="4" state="hidden" r:id="rId2"/>
    <sheet name="Lists" sheetId="2" state="hidden" r:id="rId3"/>
  </sheets>
  <externalReferences>
    <externalReference r:id="rId4"/>
    <externalReference r:id="rId5"/>
    <externalReference r:id="rId6"/>
  </externalReferences>
  <definedNames>
    <definedName name="CollectionListStart">INDIRECT("Lists!$A$2")</definedName>
    <definedName name="CollectionStart">INDIRECT("'Pick list'!$B$2")</definedName>
    <definedName name="DataDLHE">[1]Working!$L$33,[1]Working!$L$34</definedName>
    <definedName name="Field_Filter">'[2]Pick list'!$W$2</definedName>
    <definedName name="FieldAndOptionStart">INDIRECT("'Pick list'!$E$2")</definedName>
    <definedName name="FieldChoice">DataItems3[Field]</definedName>
    <definedName name="FieldStart">INDIRECT("'Pick list'!$C$2")</definedName>
    <definedName name="List_CustomerType">'[3]Lists (2)'!$A$14:$A$26</definedName>
    <definedName name="List_DataUsage">'[3]Lists (2)'!$C$13:$BC$13</definedName>
    <definedName name="Main_Filter">'[2]Pick list'!$V$2</definedName>
    <definedName name="MaxUniqueID">Picklist!$AJ$2</definedName>
    <definedName name="Options_Filter">'[2]Pick list'!$X$2</definedName>
    <definedName name="OptionsStart">INDIRECT("'Pick list'!$D$2")</definedName>
    <definedName name="pl_Field_Options">[3]Lists!$D$6</definedName>
    <definedName name="pl_SearchString">[3]Lists!$D$7</definedName>
    <definedName name="pl_UniqueID">[3]Lists!$D$2</definedName>
    <definedName name="SearchStringStart">INDIRECT("'Pick list'!$F$2")</definedName>
    <definedName name="SortRange">OFFSET('[3]Clean Spec'!$A$2,0,0,[3]Specification!$D$6+1,4)</definedName>
    <definedName name="SortRange2">OFFSET('[3]Clean Spec'!$B$3,0,0,[3]Specification!$D$6,1)</definedName>
    <definedName name="SpecStart">[3]Specification!#REF!</definedName>
    <definedName name="TickDDSItem">#REF!</definedName>
    <definedName name="TickMultiPop">#REF!</definedName>
    <definedName name="TickOtherDef">#REF!</definedName>
    <definedName name="TickOtherDefs">#REF!</definedName>
    <definedName name="TickPivotFormat">#REF!</definedName>
    <definedName name="TickSpreadsheetForma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H3" i="1"/>
  <c r="G3" i="1"/>
  <c r="AE876" i="4" l="1"/>
  <c r="AD876" i="4"/>
  <c r="AC876" i="4"/>
  <c r="AB876" i="4"/>
  <c r="AA876" i="4"/>
  <c r="X876" i="4"/>
  <c r="B876" i="4"/>
  <c r="AE875" i="4"/>
  <c r="AD875" i="4"/>
  <c r="AC875" i="4"/>
  <c r="AB875" i="4"/>
  <c r="AA875" i="4"/>
  <c r="X875" i="4"/>
  <c r="B875" i="4"/>
  <c r="AE874" i="4"/>
  <c r="AD874" i="4"/>
  <c r="AC874" i="4"/>
  <c r="AB874" i="4"/>
  <c r="AA874" i="4"/>
  <c r="X874" i="4"/>
  <c r="B874" i="4"/>
  <c r="AE873" i="4"/>
  <c r="AD873" i="4"/>
  <c r="AC873" i="4"/>
  <c r="AB873" i="4"/>
  <c r="AA873" i="4"/>
  <c r="X873" i="4"/>
  <c r="B873" i="4"/>
  <c r="AE872" i="4"/>
  <c r="AD872" i="4"/>
  <c r="AC872" i="4"/>
  <c r="AB872" i="4"/>
  <c r="AA872" i="4"/>
  <c r="X872" i="4"/>
  <c r="B872" i="4"/>
  <c r="AE871" i="4"/>
  <c r="AD871" i="4"/>
  <c r="AC871" i="4"/>
  <c r="AB871" i="4"/>
  <c r="AA871" i="4"/>
  <c r="X871" i="4"/>
  <c r="B871" i="4"/>
  <c r="AE870" i="4"/>
  <c r="AD870" i="4"/>
  <c r="AC870" i="4"/>
  <c r="AB870" i="4"/>
  <c r="AA870" i="4"/>
  <c r="X870" i="4"/>
  <c r="B870" i="4"/>
  <c r="AE869" i="4"/>
  <c r="AD869" i="4"/>
  <c r="AC869" i="4"/>
  <c r="AB869" i="4"/>
  <c r="AA869" i="4"/>
  <c r="X869" i="4"/>
  <c r="B869" i="4"/>
  <c r="AE868" i="4"/>
  <c r="AD868" i="4"/>
  <c r="AC868" i="4"/>
  <c r="AB868" i="4"/>
  <c r="AA868" i="4"/>
  <c r="X868" i="4"/>
  <c r="B868" i="4"/>
  <c r="AE867" i="4"/>
  <c r="AD867" i="4"/>
  <c r="AC867" i="4"/>
  <c r="AB867" i="4"/>
  <c r="AA867" i="4"/>
  <c r="X867" i="4"/>
  <c r="B867" i="4"/>
  <c r="AE866" i="4"/>
  <c r="AD866" i="4"/>
  <c r="AC866" i="4"/>
  <c r="AB866" i="4"/>
  <c r="AA866" i="4"/>
  <c r="X866" i="4"/>
  <c r="B866" i="4"/>
  <c r="AE865" i="4"/>
  <c r="AD865" i="4"/>
  <c r="AC865" i="4"/>
  <c r="AB865" i="4"/>
  <c r="AA865" i="4"/>
  <c r="X865" i="4"/>
  <c r="B865" i="4"/>
  <c r="AE864" i="4"/>
  <c r="AD864" i="4"/>
  <c r="AC864" i="4"/>
  <c r="AB864" i="4"/>
  <c r="AA864" i="4"/>
  <c r="X864" i="4"/>
  <c r="B864" i="4"/>
  <c r="AE863" i="4"/>
  <c r="AD863" i="4"/>
  <c r="AC863" i="4"/>
  <c r="AB863" i="4"/>
  <c r="AA863" i="4"/>
  <c r="X863" i="4"/>
  <c r="B863" i="4"/>
  <c r="AE862" i="4"/>
  <c r="AD862" i="4"/>
  <c r="AC862" i="4"/>
  <c r="AB862" i="4"/>
  <c r="AA862" i="4"/>
  <c r="X862" i="4"/>
  <c r="B862" i="4"/>
  <c r="AE861" i="4"/>
  <c r="AD861" i="4"/>
  <c r="AC861" i="4"/>
  <c r="AB861" i="4"/>
  <c r="AA861" i="4"/>
  <c r="X861" i="4"/>
  <c r="B861" i="4"/>
  <c r="AE860" i="4"/>
  <c r="AD860" i="4"/>
  <c r="AC860" i="4"/>
  <c r="AB860" i="4"/>
  <c r="AA860" i="4"/>
  <c r="X860" i="4"/>
  <c r="B860" i="4"/>
  <c r="AE859" i="4"/>
  <c r="AD859" i="4"/>
  <c r="AC859" i="4"/>
  <c r="AB859" i="4"/>
  <c r="AA859" i="4"/>
  <c r="X859" i="4"/>
  <c r="B859" i="4"/>
  <c r="AE858" i="4"/>
  <c r="AD858" i="4"/>
  <c r="AC858" i="4"/>
  <c r="AB858" i="4"/>
  <c r="AA858" i="4"/>
  <c r="X858" i="4"/>
  <c r="B858" i="4"/>
  <c r="AE857" i="4"/>
  <c r="AD857" i="4"/>
  <c r="AC857" i="4"/>
  <c r="AB857" i="4"/>
  <c r="AA857" i="4"/>
  <c r="X857" i="4"/>
  <c r="B857" i="4"/>
  <c r="AE856" i="4"/>
  <c r="AD856" i="4"/>
  <c r="AC856" i="4"/>
  <c r="AB856" i="4"/>
  <c r="AA856" i="4"/>
  <c r="X856" i="4"/>
  <c r="B856" i="4"/>
  <c r="AE855" i="4"/>
  <c r="AD855" i="4"/>
  <c r="AC855" i="4"/>
  <c r="AB855" i="4"/>
  <c r="AA855" i="4"/>
  <c r="X855" i="4"/>
  <c r="B855" i="4"/>
  <c r="AE854" i="4"/>
  <c r="AD854" i="4"/>
  <c r="AC854" i="4"/>
  <c r="AB854" i="4"/>
  <c r="AA854" i="4"/>
  <c r="X854" i="4"/>
  <c r="B854" i="4"/>
  <c r="AE853" i="4"/>
  <c r="AD853" i="4"/>
  <c r="AC853" i="4"/>
  <c r="AB853" i="4"/>
  <c r="AA853" i="4"/>
  <c r="X853" i="4"/>
  <c r="B853" i="4"/>
  <c r="AE852" i="4"/>
  <c r="AD852" i="4"/>
  <c r="AC852" i="4"/>
  <c r="AB852" i="4"/>
  <c r="AA852" i="4"/>
  <c r="G852" i="4"/>
  <c r="X852" i="4" s="1"/>
  <c r="B852" i="4"/>
  <c r="AE851" i="4"/>
  <c r="AD851" i="4"/>
  <c r="AC851" i="4"/>
  <c r="AB851" i="4"/>
  <c r="AA851" i="4"/>
  <c r="X851" i="4"/>
  <c r="B851" i="4"/>
  <c r="AE850" i="4"/>
  <c r="AD850" i="4"/>
  <c r="AC850" i="4"/>
  <c r="AB850" i="4"/>
  <c r="AA850" i="4"/>
  <c r="X850" i="4"/>
  <c r="B850" i="4"/>
  <c r="AE849" i="4"/>
  <c r="AD849" i="4"/>
  <c r="AC849" i="4"/>
  <c r="AB849" i="4"/>
  <c r="AA849" i="4"/>
  <c r="X849" i="4"/>
  <c r="B849" i="4"/>
  <c r="AE848" i="4"/>
  <c r="AD848" i="4"/>
  <c r="AC848" i="4"/>
  <c r="AB848" i="4"/>
  <c r="AA848" i="4"/>
  <c r="X848" i="4"/>
  <c r="B848" i="4"/>
  <c r="AE847" i="4"/>
  <c r="AD847" i="4"/>
  <c r="AC847" i="4"/>
  <c r="AB847" i="4"/>
  <c r="AA847" i="4"/>
  <c r="X847" i="4"/>
  <c r="B847" i="4"/>
  <c r="AE846" i="4"/>
  <c r="AD846" i="4"/>
  <c r="AC846" i="4"/>
  <c r="AB846" i="4"/>
  <c r="AA846" i="4"/>
  <c r="X846" i="4"/>
  <c r="B846" i="4"/>
  <c r="AE845" i="4"/>
  <c r="AD845" i="4"/>
  <c r="AC845" i="4"/>
  <c r="AB845" i="4"/>
  <c r="AA845" i="4"/>
  <c r="X845" i="4"/>
  <c r="B845" i="4"/>
  <c r="AE844" i="4"/>
  <c r="AD844" i="4"/>
  <c r="AC844" i="4"/>
  <c r="AB844" i="4"/>
  <c r="AA844" i="4"/>
  <c r="X844" i="4"/>
  <c r="B844" i="4"/>
  <c r="AE843" i="4"/>
  <c r="AD843" i="4"/>
  <c r="AC843" i="4"/>
  <c r="AB843" i="4"/>
  <c r="AA843" i="4"/>
  <c r="X843" i="4"/>
  <c r="B843" i="4"/>
  <c r="AE842" i="4"/>
  <c r="AD842" i="4"/>
  <c r="AC842" i="4"/>
  <c r="AB842" i="4"/>
  <c r="AA842" i="4"/>
  <c r="X842" i="4"/>
  <c r="B842" i="4"/>
  <c r="AE841" i="4"/>
  <c r="AD841" i="4"/>
  <c r="AC841" i="4"/>
  <c r="AB841" i="4"/>
  <c r="AA841" i="4"/>
  <c r="X841" i="4"/>
  <c r="B841" i="4"/>
  <c r="AE840" i="4"/>
  <c r="AD840" i="4"/>
  <c r="AC840" i="4"/>
  <c r="AB840" i="4"/>
  <c r="AA840" i="4"/>
  <c r="X840" i="4"/>
  <c r="B840" i="4"/>
  <c r="AE839" i="4"/>
  <c r="AD839" i="4"/>
  <c r="AC839" i="4"/>
  <c r="AB839" i="4"/>
  <c r="AA839" i="4"/>
  <c r="X839" i="4"/>
  <c r="B839" i="4"/>
  <c r="AE838" i="4"/>
  <c r="AD838" i="4"/>
  <c r="AC838" i="4"/>
  <c r="AB838" i="4"/>
  <c r="AA838" i="4"/>
  <c r="X838" i="4"/>
  <c r="B838" i="4"/>
  <c r="AE837" i="4"/>
  <c r="AD837" i="4"/>
  <c r="AC837" i="4"/>
  <c r="AB837" i="4"/>
  <c r="AA837" i="4"/>
  <c r="X837" i="4"/>
  <c r="B837" i="4"/>
  <c r="AE836" i="4"/>
  <c r="AD836" i="4"/>
  <c r="AC836" i="4"/>
  <c r="AB836" i="4"/>
  <c r="AA836" i="4"/>
  <c r="X836" i="4"/>
  <c r="B836" i="4"/>
  <c r="AE835" i="4"/>
  <c r="AD835" i="4"/>
  <c r="AC835" i="4"/>
  <c r="AB835" i="4"/>
  <c r="AA835" i="4"/>
  <c r="X835" i="4"/>
  <c r="B835" i="4"/>
  <c r="AE834" i="4"/>
  <c r="AD834" i="4"/>
  <c r="AC834" i="4"/>
  <c r="AB834" i="4"/>
  <c r="AA834" i="4"/>
  <c r="X834" i="4"/>
  <c r="B834" i="4"/>
  <c r="AE833" i="4"/>
  <c r="AD833" i="4"/>
  <c r="AC833" i="4"/>
  <c r="AB833" i="4"/>
  <c r="AA833" i="4"/>
  <c r="X833" i="4"/>
  <c r="B833" i="4"/>
  <c r="AE832" i="4"/>
  <c r="AD832" i="4"/>
  <c r="AC832" i="4"/>
  <c r="AB832" i="4"/>
  <c r="AA832" i="4"/>
  <c r="X832" i="4"/>
  <c r="B832" i="4"/>
  <c r="AE831" i="4"/>
  <c r="AD831" i="4"/>
  <c r="AC831" i="4"/>
  <c r="AB831" i="4"/>
  <c r="AA831" i="4"/>
  <c r="X831" i="4"/>
  <c r="B831" i="4"/>
  <c r="AE830" i="4"/>
  <c r="AD830" i="4"/>
  <c r="AC830" i="4"/>
  <c r="AB830" i="4"/>
  <c r="AA830" i="4"/>
  <c r="G830" i="4"/>
  <c r="X830" i="4" s="1"/>
  <c r="B830" i="4"/>
  <c r="AE829" i="4"/>
  <c r="AD829" i="4"/>
  <c r="AC829" i="4"/>
  <c r="AB829" i="4"/>
  <c r="AA829" i="4"/>
  <c r="X829" i="4"/>
  <c r="B829" i="4"/>
  <c r="AE828" i="4"/>
  <c r="AD828" i="4"/>
  <c r="AC828" i="4"/>
  <c r="AB828" i="4"/>
  <c r="AA828" i="4"/>
  <c r="X828" i="4"/>
  <c r="B828" i="4"/>
  <c r="AE827" i="4"/>
  <c r="AD827" i="4"/>
  <c r="AC827" i="4"/>
  <c r="AB827" i="4"/>
  <c r="AA827" i="4"/>
  <c r="X827" i="4"/>
  <c r="B827" i="4"/>
  <c r="AE826" i="4"/>
  <c r="AD826" i="4"/>
  <c r="AC826" i="4"/>
  <c r="AB826" i="4"/>
  <c r="AA826" i="4"/>
  <c r="X826" i="4"/>
  <c r="B826" i="4"/>
  <c r="AE825" i="4"/>
  <c r="AD825" i="4"/>
  <c r="AC825" i="4"/>
  <c r="AB825" i="4"/>
  <c r="AA825" i="4"/>
  <c r="X825" i="4"/>
  <c r="B825" i="4"/>
  <c r="AE824" i="4"/>
  <c r="AD824" i="4"/>
  <c r="AC824" i="4"/>
  <c r="AB824" i="4"/>
  <c r="AA824" i="4"/>
  <c r="X824" i="4"/>
  <c r="B824" i="4"/>
  <c r="AE823" i="4"/>
  <c r="AD823" i="4"/>
  <c r="AC823" i="4"/>
  <c r="AB823" i="4"/>
  <c r="AA823" i="4"/>
  <c r="X823" i="4"/>
  <c r="B823" i="4"/>
  <c r="AE822" i="4"/>
  <c r="AD822" i="4"/>
  <c r="AC822" i="4"/>
  <c r="AB822" i="4"/>
  <c r="AA822" i="4"/>
  <c r="X822" i="4"/>
  <c r="B822" i="4"/>
  <c r="AE821" i="4"/>
  <c r="AD821" i="4"/>
  <c r="AC821" i="4"/>
  <c r="AB821" i="4"/>
  <c r="AA821" i="4"/>
  <c r="X821" i="4"/>
  <c r="B821" i="4"/>
  <c r="AE820" i="4"/>
  <c r="AD820" i="4"/>
  <c r="AC820" i="4"/>
  <c r="AB820" i="4"/>
  <c r="AA820" i="4"/>
  <c r="X820" i="4"/>
  <c r="B820" i="4"/>
  <c r="AE819" i="4"/>
  <c r="AD819" i="4"/>
  <c r="AC819" i="4"/>
  <c r="AB819" i="4"/>
  <c r="AA819" i="4"/>
  <c r="X819" i="4"/>
  <c r="B819" i="4"/>
  <c r="AE818" i="4"/>
  <c r="AD818" i="4"/>
  <c r="AC818" i="4"/>
  <c r="AB818" i="4"/>
  <c r="AA818" i="4"/>
  <c r="X818" i="4"/>
  <c r="B818" i="4"/>
  <c r="AE817" i="4"/>
  <c r="AD817" i="4"/>
  <c r="AC817" i="4"/>
  <c r="AB817" i="4"/>
  <c r="AA817" i="4"/>
  <c r="X817" i="4"/>
  <c r="B817" i="4"/>
  <c r="AE816" i="4"/>
  <c r="AD816" i="4"/>
  <c r="AC816" i="4"/>
  <c r="AB816" i="4"/>
  <c r="AA816" i="4"/>
  <c r="X816" i="4"/>
  <c r="B816" i="4"/>
  <c r="AE815" i="4"/>
  <c r="AD815" i="4"/>
  <c r="AC815" i="4"/>
  <c r="AB815" i="4"/>
  <c r="AA815" i="4"/>
  <c r="X815" i="4"/>
  <c r="B815" i="4"/>
  <c r="AE814" i="4"/>
  <c r="AD814" i="4"/>
  <c r="AC814" i="4"/>
  <c r="AB814" i="4"/>
  <c r="AA814" i="4"/>
  <c r="X814" i="4"/>
  <c r="B814" i="4"/>
  <c r="AE813" i="4"/>
  <c r="AD813" i="4"/>
  <c r="AC813" i="4"/>
  <c r="AB813" i="4"/>
  <c r="AA813" i="4"/>
  <c r="X813" i="4"/>
  <c r="B813" i="4"/>
  <c r="AB812" i="4"/>
  <c r="AA812" i="4"/>
  <c r="F812" i="4"/>
  <c r="AE812" i="4" s="1"/>
  <c r="B812" i="4"/>
  <c r="AB811" i="4"/>
  <c r="AA811" i="4"/>
  <c r="F811" i="4"/>
  <c r="AE811" i="4" s="1"/>
  <c r="AB810" i="4"/>
  <c r="AA810" i="4"/>
  <c r="F810" i="4"/>
  <c r="AE810" i="4" s="1"/>
  <c r="B810" i="4"/>
  <c r="AB809" i="4"/>
  <c r="AA809" i="4"/>
  <c r="F809" i="4"/>
  <c r="AE809" i="4" s="1"/>
  <c r="B809" i="4"/>
  <c r="AB808" i="4"/>
  <c r="AA808" i="4"/>
  <c r="F808" i="4"/>
  <c r="AE808" i="4" s="1"/>
  <c r="AE807" i="4"/>
  <c r="AB807" i="4"/>
  <c r="AA807" i="4"/>
  <c r="X807" i="4"/>
  <c r="B807" i="4"/>
  <c r="AE806" i="4"/>
  <c r="AB806" i="4"/>
  <c r="AA806" i="4"/>
  <c r="X806" i="4"/>
  <c r="B806" i="4"/>
  <c r="AE805" i="4"/>
  <c r="AD805" i="4"/>
  <c r="AC805" i="4"/>
  <c r="AB805" i="4"/>
  <c r="AA805" i="4"/>
  <c r="X805" i="4"/>
  <c r="B805" i="4"/>
  <c r="AE804" i="4"/>
  <c r="AB804" i="4"/>
  <c r="AA804" i="4"/>
  <c r="X804" i="4"/>
  <c r="B804" i="4"/>
  <c r="AE803" i="4"/>
  <c r="AD803" i="4"/>
  <c r="AC803" i="4"/>
  <c r="AB803" i="4"/>
  <c r="AA803" i="4"/>
  <c r="X803" i="4"/>
  <c r="B803" i="4"/>
  <c r="AE802" i="4"/>
  <c r="AB802" i="4"/>
  <c r="AA802" i="4"/>
  <c r="X802" i="4"/>
  <c r="B802" i="4"/>
  <c r="AE801" i="4"/>
  <c r="AB801" i="4"/>
  <c r="AA801" i="4"/>
  <c r="X801" i="4"/>
  <c r="B801" i="4"/>
  <c r="AE800" i="4"/>
  <c r="AB800" i="4"/>
  <c r="AA800" i="4"/>
  <c r="X800" i="4"/>
  <c r="B800" i="4"/>
  <c r="AE799" i="4"/>
  <c r="AD799" i="4"/>
  <c r="AC799" i="4"/>
  <c r="AB799" i="4"/>
  <c r="AA799" i="4"/>
  <c r="X799" i="4"/>
  <c r="B799" i="4"/>
  <c r="AE798" i="4"/>
  <c r="AD798" i="4"/>
  <c r="AC798" i="4"/>
  <c r="AB798" i="4"/>
  <c r="AA798" i="4"/>
  <c r="X798" i="4"/>
  <c r="B798" i="4"/>
  <c r="AE797" i="4"/>
  <c r="AD797" i="4"/>
  <c r="AC797" i="4"/>
  <c r="AB797" i="4"/>
  <c r="AA797" i="4"/>
  <c r="X797" i="4"/>
  <c r="B797" i="4"/>
  <c r="AE796" i="4"/>
  <c r="AD796" i="4"/>
  <c r="AC796" i="4"/>
  <c r="AB796" i="4"/>
  <c r="AA796" i="4"/>
  <c r="X796" i="4"/>
  <c r="B796" i="4"/>
  <c r="AE795" i="4"/>
  <c r="AD795" i="4"/>
  <c r="AC795" i="4"/>
  <c r="AB795" i="4"/>
  <c r="AA795" i="4"/>
  <c r="X795" i="4"/>
  <c r="B795" i="4"/>
  <c r="AE794" i="4"/>
  <c r="AD794" i="4"/>
  <c r="AC794" i="4"/>
  <c r="AB794" i="4"/>
  <c r="AA794" i="4"/>
  <c r="F794" i="4"/>
  <c r="X794" i="4" s="1"/>
  <c r="B794" i="4"/>
  <c r="AD793" i="4"/>
  <c r="AC793" i="4"/>
  <c r="AB793" i="4"/>
  <c r="AA793" i="4"/>
  <c r="F793" i="4"/>
  <c r="AE793" i="4" s="1"/>
  <c r="B793" i="4"/>
  <c r="AE792" i="4"/>
  <c r="AD792" i="4"/>
  <c r="AC792" i="4"/>
  <c r="AB792" i="4"/>
  <c r="AA792" i="4"/>
  <c r="F792" i="4"/>
  <c r="X792" i="4" s="1"/>
  <c r="B792" i="4"/>
  <c r="AD791" i="4"/>
  <c r="AC791" i="4"/>
  <c r="AB791" i="4"/>
  <c r="AA791" i="4"/>
  <c r="F791" i="4"/>
  <c r="X791" i="4" s="1"/>
  <c r="AD790" i="4"/>
  <c r="AC790" i="4"/>
  <c r="AB790" i="4"/>
  <c r="AA790" i="4"/>
  <c r="F790" i="4"/>
  <c r="AE790" i="4" s="1"/>
  <c r="B790" i="4"/>
  <c r="AE789" i="4"/>
  <c r="AD789" i="4"/>
  <c r="AC789" i="4"/>
  <c r="AB789" i="4"/>
  <c r="AA789" i="4"/>
  <c r="X789" i="4"/>
  <c r="B789" i="4"/>
  <c r="AE788" i="4"/>
  <c r="AD788" i="4"/>
  <c r="AC788" i="4"/>
  <c r="AB788" i="4"/>
  <c r="AA788" i="4"/>
  <c r="X788" i="4"/>
  <c r="B788" i="4"/>
  <c r="AE787" i="4"/>
  <c r="AD787" i="4"/>
  <c r="AC787" i="4"/>
  <c r="AB787" i="4"/>
  <c r="AA787" i="4"/>
  <c r="X787" i="4"/>
  <c r="B787" i="4"/>
  <c r="AE786" i="4"/>
  <c r="AD786" i="4"/>
  <c r="AC786" i="4"/>
  <c r="AB786" i="4"/>
  <c r="AA786" i="4"/>
  <c r="X786" i="4"/>
  <c r="B786" i="4"/>
  <c r="AE785" i="4"/>
  <c r="AD785" i="4"/>
  <c r="AC785" i="4"/>
  <c r="AB785" i="4"/>
  <c r="AA785" i="4"/>
  <c r="X785" i="4"/>
  <c r="B785" i="4"/>
  <c r="AE784" i="4"/>
  <c r="AD784" i="4"/>
  <c r="AC784" i="4"/>
  <c r="AB784" i="4"/>
  <c r="AA784" i="4"/>
  <c r="X784" i="4"/>
  <c r="B784" i="4"/>
  <c r="AE783" i="4"/>
  <c r="AD783" i="4"/>
  <c r="AC783" i="4"/>
  <c r="AB783" i="4"/>
  <c r="AA783" i="4"/>
  <c r="X783" i="4"/>
  <c r="B783" i="4"/>
  <c r="AE782" i="4"/>
  <c r="AD782" i="4"/>
  <c r="AC782" i="4"/>
  <c r="AB782" i="4"/>
  <c r="AA782" i="4"/>
  <c r="X782" i="4"/>
  <c r="B782" i="4"/>
  <c r="AE781" i="4"/>
  <c r="AD781" i="4"/>
  <c r="AC781" i="4"/>
  <c r="AB781" i="4"/>
  <c r="AA781" i="4"/>
  <c r="X781" i="4"/>
  <c r="B781" i="4"/>
  <c r="AE780" i="4"/>
  <c r="AD780" i="4"/>
  <c r="AC780" i="4"/>
  <c r="AB780" i="4"/>
  <c r="AA780" i="4"/>
  <c r="X780" i="4"/>
  <c r="B780" i="4"/>
  <c r="AE779" i="4"/>
  <c r="AD779" i="4"/>
  <c r="AC779" i="4"/>
  <c r="AB779" i="4"/>
  <c r="AA779" i="4"/>
  <c r="X779" i="4"/>
  <c r="B779" i="4"/>
  <c r="AE778" i="4"/>
  <c r="AD778" i="4"/>
  <c r="AC778" i="4"/>
  <c r="AB778" i="4"/>
  <c r="AA778" i="4"/>
  <c r="X778" i="4"/>
  <c r="B778" i="4"/>
  <c r="AE777" i="4"/>
  <c r="AD777" i="4"/>
  <c r="AC777" i="4"/>
  <c r="AB777" i="4"/>
  <c r="AA777" i="4"/>
  <c r="X777" i="4"/>
  <c r="B777" i="4"/>
  <c r="AE776" i="4"/>
  <c r="AD776" i="4"/>
  <c r="AC776" i="4"/>
  <c r="AB776" i="4"/>
  <c r="AA776" i="4"/>
  <c r="X776" i="4"/>
  <c r="B776" i="4"/>
  <c r="AE775" i="4"/>
  <c r="AD775" i="4"/>
  <c r="AC775" i="4"/>
  <c r="AB775" i="4"/>
  <c r="AA775" i="4"/>
  <c r="X775" i="4"/>
  <c r="B775" i="4"/>
  <c r="AE774" i="4"/>
  <c r="AD774" i="4"/>
  <c r="AC774" i="4"/>
  <c r="AB774" i="4"/>
  <c r="AA774" i="4"/>
  <c r="X774" i="4"/>
  <c r="B774" i="4"/>
  <c r="AE773" i="4"/>
  <c r="AD773" i="4"/>
  <c r="AC773" i="4"/>
  <c r="AB773" i="4"/>
  <c r="AA773" i="4"/>
  <c r="X773" i="4"/>
  <c r="B773" i="4"/>
  <c r="AE772" i="4"/>
  <c r="AD772" i="4"/>
  <c r="AC772" i="4"/>
  <c r="AB772" i="4"/>
  <c r="AA772" i="4"/>
  <c r="X772" i="4"/>
  <c r="B772" i="4"/>
  <c r="AE771" i="4"/>
  <c r="AD771" i="4"/>
  <c r="AC771" i="4"/>
  <c r="AB771" i="4"/>
  <c r="AA771" i="4"/>
  <c r="X771" i="4"/>
  <c r="B771" i="4"/>
  <c r="AE770" i="4"/>
  <c r="AD770" i="4"/>
  <c r="AC770" i="4"/>
  <c r="AB770" i="4"/>
  <c r="AA770" i="4"/>
  <c r="X770" i="4"/>
  <c r="B770" i="4"/>
  <c r="AE769" i="4"/>
  <c r="AD769" i="4"/>
  <c r="AC769" i="4"/>
  <c r="AB769" i="4"/>
  <c r="AA769" i="4"/>
  <c r="X769" i="4"/>
  <c r="B769" i="4"/>
  <c r="AE768" i="4"/>
  <c r="AD768" i="4"/>
  <c r="AC768" i="4"/>
  <c r="AB768" i="4"/>
  <c r="AA768" i="4"/>
  <c r="X768" i="4"/>
  <c r="B768" i="4"/>
  <c r="AE767" i="4"/>
  <c r="AD767" i="4"/>
  <c r="AC767" i="4"/>
  <c r="AB767" i="4"/>
  <c r="AA767" i="4"/>
  <c r="X767" i="4"/>
  <c r="B767" i="4"/>
  <c r="AE766" i="4"/>
  <c r="AD766" i="4"/>
  <c r="AC766" i="4"/>
  <c r="AB766" i="4"/>
  <c r="AA766" i="4"/>
  <c r="X766" i="4"/>
  <c r="B766" i="4"/>
  <c r="AE765" i="4"/>
  <c r="AD765" i="4"/>
  <c r="AC765" i="4"/>
  <c r="AB765" i="4"/>
  <c r="AA765" i="4"/>
  <c r="X765" i="4"/>
  <c r="B765" i="4"/>
  <c r="AE764" i="4"/>
  <c r="AD764" i="4"/>
  <c r="AC764" i="4"/>
  <c r="AB764" i="4"/>
  <c r="AA764" i="4"/>
  <c r="X764" i="4"/>
  <c r="B764" i="4"/>
  <c r="AE763" i="4"/>
  <c r="AD763" i="4"/>
  <c r="AC763" i="4"/>
  <c r="AB763" i="4"/>
  <c r="AA763" i="4"/>
  <c r="X763" i="4"/>
  <c r="B763" i="4"/>
  <c r="AE762" i="4"/>
  <c r="AD762" i="4"/>
  <c r="AC762" i="4"/>
  <c r="AB762" i="4"/>
  <c r="AA762" i="4"/>
  <c r="X762" i="4"/>
  <c r="B762" i="4"/>
  <c r="AE761" i="4"/>
  <c r="AD761" i="4"/>
  <c r="AC761" i="4"/>
  <c r="AB761" i="4"/>
  <c r="AA761" i="4"/>
  <c r="X761" i="4"/>
  <c r="B761" i="4"/>
  <c r="AE760" i="4"/>
  <c r="AD760" i="4"/>
  <c r="AC760" i="4"/>
  <c r="AB760" i="4"/>
  <c r="AA760" i="4"/>
  <c r="X760" i="4"/>
  <c r="B760" i="4"/>
  <c r="AE759" i="4"/>
  <c r="AD759" i="4"/>
  <c r="AC759" i="4"/>
  <c r="AB759" i="4"/>
  <c r="AA759" i="4"/>
  <c r="X759" i="4"/>
  <c r="B759" i="4"/>
  <c r="AE758" i="4"/>
  <c r="AD758" i="4"/>
  <c r="AC758" i="4"/>
  <c r="AB758" i="4"/>
  <c r="AA758" i="4"/>
  <c r="X758" i="4"/>
  <c r="B758" i="4"/>
  <c r="AE757" i="4"/>
  <c r="AD757" i="4"/>
  <c r="AC757" i="4"/>
  <c r="AB757" i="4"/>
  <c r="AA757" i="4"/>
  <c r="X757" i="4"/>
  <c r="B757" i="4"/>
  <c r="AE756" i="4"/>
  <c r="AD756" i="4"/>
  <c r="AC756" i="4"/>
  <c r="AB756" i="4"/>
  <c r="AA756" i="4"/>
  <c r="X756" i="4"/>
  <c r="B756" i="4"/>
  <c r="AE755" i="4"/>
  <c r="AD755" i="4"/>
  <c r="AC755" i="4"/>
  <c r="AB755" i="4"/>
  <c r="AA755" i="4"/>
  <c r="X755" i="4"/>
  <c r="B755" i="4"/>
  <c r="AE754" i="4"/>
  <c r="AD754" i="4"/>
  <c r="AC754" i="4"/>
  <c r="AB754" i="4"/>
  <c r="AA754" i="4"/>
  <c r="X754" i="4"/>
  <c r="B754" i="4"/>
  <c r="AE753" i="4"/>
  <c r="AD753" i="4"/>
  <c r="AC753" i="4"/>
  <c r="AB753" i="4"/>
  <c r="AA753" i="4"/>
  <c r="X753" i="4"/>
  <c r="B753" i="4"/>
  <c r="AE752" i="4"/>
  <c r="AD752" i="4"/>
  <c r="AC752" i="4"/>
  <c r="AB752" i="4"/>
  <c r="AA752" i="4"/>
  <c r="X752" i="4"/>
  <c r="B752" i="4"/>
  <c r="AE751" i="4"/>
  <c r="AD751" i="4"/>
  <c r="AC751" i="4"/>
  <c r="AB751" i="4"/>
  <c r="AA751" i="4"/>
  <c r="X751" i="4"/>
  <c r="B751" i="4"/>
  <c r="AE750" i="4"/>
  <c r="AD750" i="4"/>
  <c r="AC750" i="4"/>
  <c r="AB750" i="4"/>
  <c r="AA750" i="4"/>
  <c r="X750" i="4"/>
  <c r="B750" i="4"/>
  <c r="AE749" i="4"/>
  <c r="AD749" i="4"/>
  <c r="AC749" i="4"/>
  <c r="AB749" i="4"/>
  <c r="AA749" i="4"/>
  <c r="X749" i="4"/>
  <c r="B749" i="4"/>
  <c r="AE748" i="4"/>
  <c r="AD748" i="4"/>
  <c r="AC748" i="4"/>
  <c r="AB748" i="4"/>
  <c r="AA748" i="4"/>
  <c r="X748" i="4"/>
  <c r="B748" i="4"/>
  <c r="AE747" i="4"/>
  <c r="AD747" i="4"/>
  <c r="AC747" i="4"/>
  <c r="AB747" i="4"/>
  <c r="AA747" i="4"/>
  <c r="X747" i="4"/>
  <c r="B747" i="4"/>
  <c r="AE746" i="4"/>
  <c r="AD746" i="4"/>
  <c r="AC746" i="4"/>
  <c r="AB746" i="4"/>
  <c r="AA746" i="4"/>
  <c r="X746" i="4"/>
  <c r="B746" i="4"/>
  <c r="AE745" i="4"/>
  <c r="AD745" i="4"/>
  <c r="AC745" i="4"/>
  <c r="AB745" i="4"/>
  <c r="AA745" i="4"/>
  <c r="X745" i="4"/>
  <c r="B745" i="4"/>
  <c r="AE744" i="4"/>
  <c r="AD744" i="4"/>
  <c r="AC744" i="4"/>
  <c r="AB744" i="4"/>
  <c r="AA744" i="4"/>
  <c r="X744" i="4"/>
  <c r="B744" i="4"/>
  <c r="AE743" i="4"/>
  <c r="AD743" i="4"/>
  <c r="AC743" i="4"/>
  <c r="AB743" i="4"/>
  <c r="AA743" i="4"/>
  <c r="X743" i="4"/>
  <c r="B743" i="4"/>
  <c r="AE742" i="4"/>
  <c r="AD742" i="4"/>
  <c r="AC742" i="4"/>
  <c r="AB742" i="4"/>
  <c r="AA742" i="4"/>
  <c r="X742" i="4"/>
  <c r="B742" i="4"/>
  <c r="AE741" i="4"/>
  <c r="AD741" i="4"/>
  <c r="AC741" i="4"/>
  <c r="AB741" i="4"/>
  <c r="AA741" i="4"/>
  <c r="X741" i="4"/>
  <c r="B741" i="4"/>
  <c r="AE740" i="4"/>
  <c r="AD740" i="4"/>
  <c r="AC740" i="4"/>
  <c r="AB740" i="4"/>
  <c r="AA740" i="4"/>
  <c r="X740" i="4"/>
  <c r="B740" i="4"/>
  <c r="AE739" i="4"/>
  <c r="AD739" i="4"/>
  <c r="AC739" i="4"/>
  <c r="AB739" i="4"/>
  <c r="AA739" i="4"/>
  <c r="X739" i="4"/>
  <c r="B739" i="4"/>
  <c r="AE738" i="4"/>
  <c r="AD738" i="4"/>
  <c r="AC738" i="4"/>
  <c r="AB738" i="4"/>
  <c r="AA738" i="4"/>
  <c r="X738" i="4"/>
  <c r="B738" i="4"/>
  <c r="AE737" i="4"/>
  <c r="AD737" i="4"/>
  <c r="AC737" i="4"/>
  <c r="AB737" i="4"/>
  <c r="AA737" i="4"/>
  <c r="X737" i="4"/>
  <c r="B737" i="4"/>
  <c r="AE736" i="4"/>
  <c r="AD736" i="4"/>
  <c r="AC736" i="4"/>
  <c r="AB736" i="4"/>
  <c r="AA736" i="4"/>
  <c r="X736" i="4"/>
  <c r="B736" i="4"/>
  <c r="AE735" i="4"/>
  <c r="AD735" i="4"/>
  <c r="AC735" i="4"/>
  <c r="AB735" i="4"/>
  <c r="AA735" i="4"/>
  <c r="X735" i="4"/>
  <c r="B735" i="4"/>
  <c r="AE734" i="4"/>
  <c r="AD734" i="4"/>
  <c r="AC734" i="4"/>
  <c r="AB734" i="4"/>
  <c r="AA734" i="4"/>
  <c r="X734" i="4"/>
  <c r="B734" i="4"/>
  <c r="AE733" i="4"/>
  <c r="AD733" i="4"/>
  <c r="AC733" i="4"/>
  <c r="AB733" i="4"/>
  <c r="AA733" i="4"/>
  <c r="X733" i="4"/>
  <c r="B733" i="4"/>
  <c r="AE732" i="4"/>
  <c r="AD732" i="4"/>
  <c r="AC732" i="4"/>
  <c r="AB732" i="4"/>
  <c r="AA732" i="4"/>
  <c r="X732" i="4"/>
  <c r="B732" i="4"/>
  <c r="AE731" i="4"/>
  <c r="AD731" i="4"/>
  <c r="AC731" i="4"/>
  <c r="AB731" i="4"/>
  <c r="AA731" i="4"/>
  <c r="X731" i="4"/>
  <c r="B731" i="4"/>
  <c r="AE730" i="4"/>
  <c r="AD730" i="4"/>
  <c r="AC730" i="4"/>
  <c r="AB730" i="4"/>
  <c r="AA730" i="4"/>
  <c r="X730" i="4"/>
  <c r="B730" i="4"/>
  <c r="AE729" i="4"/>
  <c r="AD729" i="4"/>
  <c r="AC729" i="4"/>
  <c r="AB729" i="4"/>
  <c r="AA729" i="4"/>
  <c r="X729" i="4"/>
  <c r="B729" i="4"/>
  <c r="AE728" i="4"/>
  <c r="AD728" i="4"/>
  <c r="AC728" i="4"/>
  <c r="AB728" i="4"/>
  <c r="AA728" i="4"/>
  <c r="X728" i="4"/>
  <c r="B728" i="4"/>
  <c r="AE727" i="4"/>
  <c r="AD727" i="4"/>
  <c r="AC727" i="4"/>
  <c r="AB727" i="4"/>
  <c r="AA727" i="4"/>
  <c r="X727" i="4"/>
  <c r="B727" i="4"/>
  <c r="AE726" i="4"/>
  <c r="AD726" i="4"/>
  <c r="AC726" i="4"/>
  <c r="AB726" i="4"/>
  <c r="AA726" i="4"/>
  <c r="X726" i="4"/>
  <c r="B726" i="4"/>
  <c r="AE725" i="4"/>
  <c r="AD725" i="4"/>
  <c r="AC725" i="4"/>
  <c r="AB725" i="4"/>
  <c r="AA725" i="4"/>
  <c r="X725" i="4"/>
  <c r="B725" i="4"/>
  <c r="AE724" i="4"/>
  <c r="AD724" i="4"/>
  <c r="AC724" i="4"/>
  <c r="AB724" i="4"/>
  <c r="AA724" i="4"/>
  <c r="X724" i="4"/>
  <c r="B724" i="4"/>
  <c r="AE723" i="4"/>
  <c r="AB723" i="4"/>
  <c r="AA723" i="4"/>
  <c r="X723" i="4"/>
  <c r="B723" i="4"/>
  <c r="AE722" i="4"/>
  <c r="AB722" i="4"/>
  <c r="AA722" i="4"/>
  <c r="X722" i="4"/>
  <c r="B722" i="4"/>
  <c r="AE721" i="4"/>
  <c r="AB721" i="4"/>
  <c r="AA721" i="4"/>
  <c r="X721" i="4"/>
  <c r="B721" i="4"/>
  <c r="AE720" i="4"/>
  <c r="AB720" i="4"/>
  <c r="AA720" i="4"/>
  <c r="X720" i="4"/>
  <c r="B720" i="4"/>
  <c r="AE719" i="4"/>
  <c r="AB719" i="4"/>
  <c r="AA719" i="4"/>
  <c r="X719" i="4"/>
  <c r="B719" i="4"/>
  <c r="AE718" i="4"/>
  <c r="AB718" i="4"/>
  <c r="AA718" i="4"/>
  <c r="X718" i="4"/>
  <c r="B718" i="4"/>
  <c r="AE717" i="4"/>
  <c r="AB717" i="4"/>
  <c r="AA717" i="4"/>
  <c r="X717" i="4"/>
  <c r="B717" i="4"/>
  <c r="AE716" i="4"/>
  <c r="AB716" i="4"/>
  <c r="AA716" i="4"/>
  <c r="X716" i="4"/>
  <c r="B716" i="4"/>
  <c r="AE715" i="4"/>
  <c r="AB715" i="4"/>
  <c r="AA715" i="4"/>
  <c r="X715" i="4"/>
  <c r="B715" i="4"/>
  <c r="AE714" i="4"/>
  <c r="AB714" i="4"/>
  <c r="AA714" i="4"/>
  <c r="X714" i="4"/>
  <c r="B714" i="4"/>
  <c r="AE713" i="4"/>
  <c r="AB713" i="4"/>
  <c r="AA713" i="4"/>
  <c r="X713" i="4"/>
  <c r="B713" i="4"/>
  <c r="AE712" i="4"/>
  <c r="AB712" i="4"/>
  <c r="AA712" i="4"/>
  <c r="X712" i="4"/>
  <c r="B712" i="4"/>
  <c r="AE711" i="4"/>
  <c r="AD711" i="4"/>
  <c r="AC711" i="4"/>
  <c r="AB711" i="4"/>
  <c r="AA711" i="4"/>
  <c r="X711" i="4"/>
  <c r="B711" i="4"/>
  <c r="AE710" i="4"/>
  <c r="AD710" i="4"/>
  <c r="AC710" i="4"/>
  <c r="AB710" i="4"/>
  <c r="AA710" i="4"/>
  <c r="X710" i="4"/>
  <c r="B710" i="4"/>
  <c r="AE709" i="4"/>
  <c r="AD709" i="4"/>
  <c r="AC709" i="4"/>
  <c r="AB709" i="4"/>
  <c r="AA709" i="4"/>
  <c r="X709" i="4"/>
  <c r="B709" i="4"/>
  <c r="AE708" i="4"/>
  <c r="AD708" i="4"/>
  <c r="AC708" i="4"/>
  <c r="AB708" i="4"/>
  <c r="AA708" i="4"/>
  <c r="X708" i="4"/>
  <c r="B708" i="4"/>
  <c r="AE707" i="4"/>
  <c r="AD707" i="4"/>
  <c r="AC707" i="4"/>
  <c r="AB707" i="4"/>
  <c r="AA707" i="4"/>
  <c r="X707" i="4"/>
  <c r="B707" i="4"/>
  <c r="AE706" i="4"/>
  <c r="AD706" i="4"/>
  <c r="AC706" i="4"/>
  <c r="AB706" i="4"/>
  <c r="AA706" i="4"/>
  <c r="X706" i="4"/>
  <c r="B706" i="4"/>
  <c r="AE705" i="4"/>
  <c r="AD705" i="4"/>
  <c r="AC705" i="4"/>
  <c r="AB705" i="4"/>
  <c r="AA705" i="4"/>
  <c r="X705" i="4"/>
  <c r="B705" i="4"/>
  <c r="AE704" i="4"/>
  <c r="AD704" i="4"/>
  <c r="AC704" i="4"/>
  <c r="AB704" i="4"/>
  <c r="AA704" i="4"/>
  <c r="X704" i="4"/>
  <c r="B704" i="4"/>
  <c r="AE703" i="4"/>
  <c r="AD703" i="4"/>
  <c r="AC703" i="4"/>
  <c r="AB703" i="4"/>
  <c r="AA703" i="4"/>
  <c r="X703" i="4"/>
  <c r="B703" i="4"/>
  <c r="AE702" i="4"/>
  <c r="AD702" i="4"/>
  <c r="AC702" i="4"/>
  <c r="AB702" i="4"/>
  <c r="AA702" i="4"/>
  <c r="G702" i="4"/>
  <c r="X702" i="4" s="1"/>
  <c r="B702" i="4"/>
  <c r="AE701" i="4"/>
  <c r="AD701" i="4"/>
  <c r="AC701" i="4"/>
  <c r="AB701" i="4"/>
  <c r="AA701" i="4"/>
  <c r="X701" i="4"/>
  <c r="B701" i="4"/>
  <c r="AE700" i="4"/>
  <c r="AD700" i="4"/>
  <c r="AC700" i="4"/>
  <c r="AB700" i="4"/>
  <c r="AA700" i="4"/>
  <c r="X700" i="4"/>
  <c r="B700" i="4"/>
  <c r="AE699" i="4"/>
  <c r="AD699" i="4"/>
  <c r="AC699" i="4"/>
  <c r="AB699" i="4"/>
  <c r="AA699" i="4"/>
  <c r="X699" i="4"/>
  <c r="B699" i="4"/>
  <c r="AE698" i="4"/>
  <c r="AD698" i="4"/>
  <c r="AC698" i="4"/>
  <c r="AB698" i="4"/>
  <c r="AA698" i="4"/>
  <c r="X698" i="4"/>
  <c r="B698" i="4"/>
  <c r="AE697" i="4"/>
  <c r="AD697" i="4"/>
  <c r="AC697" i="4"/>
  <c r="AB697" i="4"/>
  <c r="AA697" i="4"/>
  <c r="X697" i="4"/>
  <c r="B697" i="4"/>
  <c r="AE696" i="4"/>
  <c r="AD696" i="4"/>
  <c r="AC696" i="4"/>
  <c r="AB696" i="4"/>
  <c r="AA696" i="4"/>
  <c r="X696" i="4"/>
  <c r="B696" i="4"/>
  <c r="AE695" i="4"/>
  <c r="AD695" i="4"/>
  <c r="AC695" i="4"/>
  <c r="AB695" i="4"/>
  <c r="AA695" i="4"/>
  <c r="X695" i="4"/>
  <c r="B695" i="4"/>
  <c r="AE694" i="4"/>
  <c r="AD694" i="4"/>
  <c r="AC694" i="4"/>
  <c r="AB694" i="4"/>
  <c r="AA694" i="4"/>
  <c r="X694" i="4"/>
  <c r="B694" i="4"/>
  <c r="AE693" i="4"/>
  <c r="AD693" i="4"/>
  <c r="AC693" i="4"/>
  <c r="AB693" i="4"/>
  <c r="AA693" i="4"/>
  <c r="X693" i="4"/>
  <c r="B693" i="4"/>
  <c r="AE692" i="4"/>
  <c r="AD692" i="4"/>
  <c r="AC692" i="4"/>
  <c r="AB692" i="4"/>
  <c r="AA692" i="4"/>
  <c r="X692" i="4"/>
  <c r="B692" i="4"/>
  <c r="AE691" i="4"/>
  <c r="AD691" i="4"/>
  <c r="AC691" i="4"/>
  <c r="AB691" i="4"/>
  <c r="AA691" i="4"/>
  <c r="X691" i="4"/>
  <c r="B691" i="4"/>
  <c r="AE690" i="4"/>
  <c r="AD690" i="4"/>
  <c r="AC690" i="4"/>
  <c r="AB690" i="4"/>
  <c r="AA690" i="4"/>
  <c r="X690" i="4"/>
  <c r="B690" i="4"/>
  <c r="AE689" i="4"/>
  <c r="AD689" i="4"/>
  <c r="AC689" i="4"/>
  <c r="AB689" i="4"/>
  <c r="AA689" i="4"/>
  <c r="X689" i="4"/>
  <c r="B689" i="4"/>
  <c r="AE688" i="4"/>
  <c r="AD688" i="4"/>
  <c r="AC688" i="4"/>
  <c r="AB688" i="4"/>
  <c r="AA688" i="4"/>
  <c r="X688" i="4"/>
  <c r="B688" i="4"/>
  <c r="AB687" i="4"/>
  <c r="AA687" i="4"/>
  <c r="F687" i="4"/>
  <c r="AE687" i="4" s="1"/>
  <c r="B687" i="4"/>
  <c r="AB686" i="4"/>
  <c r="AA686" i="4"/>
  <c r="F686" i="4"/>
  <c r="AE686" i="4" s="1"/>
  <c r="AE685" i="4"/>
  <c r="AD685" i="4"/>
  <c r="AC685" i="4"/>
  <c r="AB685" i="4"/>
  <c r="AA685" i="4"/>
  <c r="F685" i="4"/>
  <c r="X685" i="4" s="1"/>
  <c r="B685" i="4"/>
  <c r="AD684" i="4"/>
  <c r="AC684" i="4"/>
  <c r="AB684" i="4"/>
  <c r="AA684" i="4"/>
  <c r="F684" i="4"/>
  <c r="AE684" i="4" s="1"/>
  <c r="B684" i="4"/>
  <c r="AE683" i="4"/>
  <c r="AD683" i="4"/>
  <c r="AC683" i="4"/>
  <c r="AB683" i="4"/>
  <c r="AA683" i="4"/>
  <c r="F683" i="4"/>
  <c r="X683" i="4" s="1"/>
  <c r="B683" i="4"/>
  <c r="AE682" i="4"/>
  <c r="AD682" i="4"/>
  <c r="AC682" i="4"/>
  <c r="AB682" i="4"/>
  <c r="AA682" i="4"/>
  <c r="X682" i="4"/>
  <c r="F682" i="4"/>
  <c r="B682" i="4"/>
  <c r="AD681" i="4"/>
  <c r="AC681" i="4"/>
  <c r="AB681" i="4"/>
  <c r="AA681" i="4"/>
  <c r="F681" i="4"/>
  <c r="AE681" i="4" s="1"/>
  <c r="AE680" i="4"/>
  <c r="AD680" i="4"/>
  <c r="AC680" i="4"/>
  <c r="AB680" i="4"/>
  <c r="AA680" i="4"/>
  <c r="F680" i="4"/>
  <c r="X680" i="4" s="1"/>
  <c r="B680" i="4"/>
  <c r="AD679" i="4"/>
  <c r="AC679" i="4"/>
  <c r="AB679" i="4"/>
  <c r="AA679" i="4"/>
  <c r="X679" i="4"/>
  <c r="F679" i="4"/>
  <c r="AE679" i="4" s="1"/>
  <c r="B679" i="4"/>
  <c r="AD678" i="4"/>
  <c r="AC678" i="4"/>
  <c r="AB678" i="4"/>
  <c r="AA678" i="4"/>
  <c r="F678" i="4"/>
  <c r="AE678" i="4" s="1"/>
  <c r="B678" i="4"/>
  <c r="AD677" i="4"/>
  <c r="AC677" i="4"/>
  <c r="AB677" i="4"/>
  <c r="AA677" i="4"/>
  <c r="F677" i="4"/>
  <c r="X677" i="4" s="1"/>
  <c r="B677" i="4"/>
  <c r="AE676" i="4"/>
  <c r="AD676" i="4"/>
  <c r="AC676" i="4"/>
  <c r="AB676" i="4"/>
  <c r="AA676" i="4"/>
  <c r="X676" i="4"/>
  <c r="B676" i="4"/>
  <c r="AE675" i="4"/>
  <c r="AD675" i="4"/>
  <c r="AC675" i="4"/>
  <c r="AB675" i="4"/>
  <c r="AA675" i="4"/>
  <c r="X675" i="4"/>
  <c r="B675" i="4"/>
  <c r="AE674" i="4"/>
  <c r="AD674" i="4"/>
  <c r="AC674" i="4"/>
  <c r="AB674" i="4"/>
  <c r="AA674" i="4"/>
  <c r="X674" i="4"/>
  <c r="B674" i="4"/>
  <c r="AE673" i="4"/>
  <c r="AD673" i="4"/>
  <c r="AC673" i="4"/>
  <c r="AB673" i="4"/>
  <c r="AA673" i="4"/>
  <c r="X673" i="4"/>
  <c r="B673" i="4"/>
  <c r="AE672" i="4"/>
  <c r="AD672" i="4"/>
  <c r="AC672" i="4"/>
  <c r="AB672" i="4"/>
  <c r="AA672" i="4"/>
  <c r="X672" i="4"/>
  <c r="B672" i="4"/>
  <c r="AE671" i="4"/>
  <c r="AD671" i="4"/>
  <c r="AC671" i="4"/>
  <c r="AB671" i="4"/>
  <c r="AA671" i="4"/>
  <c r="X671" i="4"/>
  <c r="B671" i="4"/>
  <c r="AE670" i="4"/>
  <c r="AD670" i="4"/>
  <c r="AC670" i="4"/>
  <c r="AB670" i="4"/>
  <c r="AA670" i="4"/>
  <c r="X670" i="4"/>
  <c r="B670" i="4"/>
  <c r="AE669" i="4"/>
  <c r="AD669" i="4"/>
  <c r="AC669" i="4"/>
  <c r="AB669" i="4"/>
  <c r="AA669" i="4"/>
  <c r="X669" i="4"/>
  <c r="B669" i="4"/>
  <c r="AE668" i="4"/>
  <c r="AD668" i="4"/>
  <c r="AC668" i="4"/>
  <c r="AB668" i="4"/>
  <c r="AA668" i="4"/>
  <c r="X668" i="4"/>
  <c r="B668" i="4"/>
  <c r="AE667" i="4"/>
  <c r="AD667" i="4"/>
  <c r="AC667" i="4"/>
  <c r="AB667" i="4"/>
  <c r="AA667" i="4"/>
  <c r="X667" i="4"/>
  <c r="B667" i="4"/>
  <c r="AE666" i="4"/>
  <c r="AD666" i="4"/>
  <c r="AC666" i="4"/>
  <c r="AB666" i="4"/>
  <c r="AA666" i="4"/>
  <c r="X666" i="4"/>
  <c r="B666" i="4"/>
  <c r="AE665" i="4"/>
  <c r="AD665" i="4"/>
  <c r="AC665" i="4"/>
  <c r="AB665" i="4"/>
  <c r="AA665" i="4"/>
  <c r="X665" i="4"/>
  <c r="B665" i="4"/>
  <c r="AE664" i="4"/>
  <c r="AD664" i="4"/>
  <c r="AC664" i="4"/>
  <c r="AB664" i="4"/>
  <c r="AA664" i="4"/>
  <c r="G664" i="4"/>
  <c r="X664" i="4" s="1"/>
  <c r="B664" i="4"/>
  <c r="AE663" i="4"/>
  <c r="AD663" i="4"/>
  <c r="AC663" i="4"/>
  <c r="AB663" i="4"/>
  <c r="AA663" i="4"/>
  <c r="X663" i="4"/>
  <c r="B663" i="4"/>
  <c r="AE662" i="4"/>
  <c r="AD662" i="4"/>
  <c r="AC662" i="4"/>
  <c r="AB662" i="4"/>
  <c r="AA662" i="4"/>
  <c r="X662" i="4"/>
  <c r="B662" i="4"/>
  <c r="AE661" i="4"/>
  <c r="AD661" i="4"/>
  <c r="AC661" i="4"/>
  <c r="AB661" i="4"/>
  <c r="AA661" i="4"/>
  <c r="X661" i="4"/>
  <c r="B661" i="4"/>
  <c r="AE660" i="4"/>
  <c r="AD660" i="4"/>
  <c r="AC660" i="4"/>
  <c r="AB660" i="4"/>
  <c r="AA660" i="4"/>
  <c r="X660" i="4"/>
  <c r="B660" i="4"/>
  <c r="AE659" i="4"/>
  <c r="AD659" i="4"/>
  <c r="AC659" i="4"/>
  <c r="AB659" i="4"/>
  <c r="AA659" i="4"/>
  <c r="X659" i="4"/>
  <c r="B659" i="4"/>
  <c r="AE658" i="4"/>
  <c r="AD658" i="4"/>
  <c r="AC658" i="4"/>
  <c r="AB658" i="4"/>
  <c r="AA658" i="4"/>
  <c r="X658" i="4"/>
  <c r="B658" i="4"/>
  <c r="AE657" i="4"/>
  <c r="AD657" i="4"/>
  <c r="AC657" i="4"/>
  <c r="AB657" i="4"/>
  <c r="AA657" i="4"/>
  <c r="X657" i="4"/>
  <c r="B657" i="4"/>
  <c r="AE656" i="4"/>
  <c r="AD656" i="4"/>
  <c r="AC656" i="4"/>
  <c r="AB656" i="4"/>
  <c r="AA656" i="4"/>
  <c r="X656" i="4"/>
  <c r="B656" i="4"/>
  <c r="AE655" i="4"/>
  <c r="AD655" i="4"/>
  <c r="AC655" i="4"/>
  <c r="AB655" i="4"/>
  <c r="AA655" i="4"/>
  <c r="X655" i="4"/>
  <c r="B655" i="4"/>
  <c r="AE654" i="4"/>
  <c r="AD654" i="4"/>
  <c r="AC654" i="4"/>
  <c r="AB654" i="4"/>
  <c r="AA654" i="4"/>
  <c r="X654" i="4"/>
  <c r="B654" i="4"/>
  <c r="AE653" i="4"/>
  <c r="AD653" i="4"/>
  <c r="AC653" i="4"/>
  <c r="AB653" i="4"/>
  <c r="AA653" i="4"/>
  <c r="X653" i="4"/>
  <c r="B653" i="4"/>
  <c r="AE652" i="4"/>
  <c r="AD652" i="4"/>
  <c r="AC652" i="4"/>
  <c r="AB652" i="4"/>
  <c r="AA652" i="4"/>
  <c r="G652" i="4"/>
  <c r="X652" i="4" s="1"/>
  <c r="B652" i="4"/>
  <c r="AE651" i="4"/>
  <c r="AD651" i="4"/>
  <c r="AC651" i="4"/>
  <c r="AB651" i="4"/>
  <c r="AA651" i="4"/>
  <c r="X651" i="4"/>
  <c r="B651" i="4"/>
  <c r="AE650" i="4"/>
  <c r="AD650" i="4"/>
  <c r="AC650" i="4"/>
  <c r="AB650" i="4"/>
  <c r="AA650" i="4"/>
  <c r="X650" i="4"/>
  <c r="B650" i="4"/>
  <c r="AE649" i="4"/>
  <c r="AD649" i="4"/>
  <c r="AC649" i="4"/>
  <c r="AB649" i="4"/>
  <c r="AA649" i="4"/>
  <c r="X649" i="4"/>
  <c r="B649" i="4"/>
  <c r="AD648" i="4"/>
  <c r="AC648" i="4"/>
  <c r="AB648" i="4"/>
  <c r="AA648" i="4"/>
  <c r="F648" i="4"/>
  <c r="B648" i="4"/>
  <c r="AE647" i="4"/>
  <c r="AD647" i="4"/>
  <c r="AC647" i="4"/>
  <c r="AB647" i="4"/>
  <c r="AA647" i="4"/>
  <c r="F647" i="4"/>
  <c r="X647" i="4" s="1"/>
  <c r="B647" i="4"/>
  <c r="AD646" i="4"/>
  <c r="AC646" i="4"/>
  <c r="AB646" i="4"/>
  <c r="AA646" i="4"/>
  <c r="F646" i="4"/>
  <c r="AE646" i="4" s="1"/>
  <c r="B646" i="4"/>
  <c r="AD645" i="4"/>
  <c r="AC645" i="4"/>
  <c r="AB645" i="4"/>
  <c r="AA645" i="4"/>
  <c r="F645" i="4"/>
  <c r="AD644" i="4"/>
  <c r="AC644" i="4"/>
  <c r="AB644" i="4"/>
  <c r="AA644" i="4"/>
  <c r="F644" i="4"/>
  <c r="X644" i="4" s="1"/>
  <c r="B644" i="4"/>
  <c r="AD643" i="4"/>
  <c r="AC643" i="4"/>
  <c r="AB643" i="4"/>
  <c r="AA643" i="4"/>
  <c r="F643" i="4"/>
  <c r="AE643" i="4" s="1"/>
  <c r="B643" i="4"/>
  <c r="AE642" i="4"/>
  <c r="AD642" i="4"/>
  <c r="AC642" i="4"/>
  <c r="AB642" i="4"/>
  <c r="AA642" i="4"/>
  <c r="X642" i="4"/>
  <c r="B642" i="4"/>
  <c r="AE641" i="4"/>
  <c r="AD641" i="4"/>
  <c r="AC641" i="4"/>
  <c r="AB641" i="4"/>
  <c r="AA641" i="4"/>
  <c r="X641" i="4"/>
  <c r="B641" i="4"/>
  <c r="AE640" i="4"/>
  <c r="AD640" i="4"/>
  <c r="AC640" i="4"/>
  <c r="AB640" i="4"/>
  <c r="AA640" i="4"/>
  <c r="X640" i="4"/>
  <c r="B640" i="4"/>
  <c r="AE639" i="4"/>
  <c r="AD639" i="4"/>
  <c r="AC639" i="4"/>
  <c r="AB639" i="4"/>
  <c r="AA639" i="4"/>
  <c r="X639" i="4"/>
  <c r="B639" i="4"/>
  <c r="AE638" i="4"/>
  <c r="AD638" i="4"/>
  <c r="AC638" i="4"/>
  <c r="AB638" i="4"/>
  <c r="AA638" i="4"/>
  <c r="X638" i="4"/>
  <c r="B638" i="4"/>
  <c r="AE637" i="4"/>
  <c r="AD637" i="4"/>
  <c r="AC637" i="4"/>
  <c r="AB637" i="4"/>
  <c r="AA637" i="4"/>
  <c r="G637" i="4"/>
  <c r="X637" i="4" s="1"/>
  <c r="B637" i="4"/>
  <c r="AE636" i="4"/>
  <c r="AD636" i="4"/>
  <c r="AC636" i="4"/>
  <c r="AB636" i="4"/>
  <c r="AA636" i="4"/>
  <c r="X636" i="4"/>
  <c r="B636" i="4"/>
  <c r="AE635" i="4"/>
  <c r="AD635" i="4"/>
  <c r="AC635" i="4"/>
  <c r="AB635" i="4"/>
  <c r="AA635" i="4"/>
  <c r="X635" i="4"/>
  <c r="B635" i="4"/>
  <c r="AE634" i="4"/>
  <c r="AD634" i="4"/>
  <c r="AC634" i="4"/>
  <c r="AB634" i="4"/>
  <c r="AA634" i="4"/>
  <c r="X634" i="4"/>
  <c r="B634" i="4"/>
  <c r="AE633" i="4"/>
  <c r="AD633" i="4"/>
  <c r="AC633" i="4"/>
  <c r="AB633" i="4"/>
  <c r="AA633" i="4"/>
  <c r="X633" i="4"/>
  <c r="B633" i="4"/>
  <c r="AE632" i="4"/>
  <c r="AD632" i="4"/>
  <c r="AC632" i="4"/>
  <c r="AB632" i="4"/>
  <c r="AA632" i="4"/>
  <c r="X632" i="4"/>
  <c r="B632" i="4"/>
  <c r="AE631" i="4"/>
  <c r="AD631" i="4"/>
  <c r="AC631" i="4"/>
  <c r="AB631" i="4"/>
  <c r="AA631" i="4"/>
  <c r="X631" i="4"/>
  <c r="B631" i="4"/>
  <c r="AE630" i="4"/>
  <c r="AD630" i="4"/>
  <c r="AC630" i="4"/>
  <c r="AB630" i="4"/>
  <c r="AA630" i="4"/>
  <c r="X630" i="4"/>
  <c r="B630" i="4"/>
  <c r="AE629" i="4"/>
  <c r="AD629" i="4"/>
  <c r="AC629" i="4"/>
  <c r="AB629" i="4"/>
  <c r="AA629" i="4"/>
  <c r="X629" i="4"/>
  <c r="B629" i="4"/>
  <c r="AE628" i="4"/>
  <c r="AD628" i="4"/>
  <c r="AC628" i="4"/>
  <c r="AB628" i="4"/>
  <c r="AA628" i="4"/>
  <c r="X628" i="4"/>
  <c r="B628" i="4"/>
  <c r="AE627" i="4"/>
  <c r="AD627" i="4"/>
  <c r="AC627" i="4"/>
  <c r="AB627" i="4"/>
  <c r="AA627" i="4"/>
  <c r="X627" i="4"/>
  <c r="B627" i="4"/>
  <c r="AE626" i="4"/>
  <c r="AD626" i="4"/>
  <c r="AC626" i="4"/>
  <c r="AB626" i="4"/>
  <c r="AA626" i="4"/>
  <c r="X626" i="4"/>
  <c r="B626" i="4"/>
  <c r="AE625" i="4"/>
  <c r="AD625" i="4"/>
  <c r="AC625" i="4"/>
  <c r="AB625" i="4"/>
  <c r="AA625" i="4"/>
  <c r="X625" i="4"/>
  <c r="B625" i="4"/>
  <c r="AE624" i="4"/>
  <c r="AD624" i="4"/>
  <c r="AC624" i="4"/>
  <c r="AB624" i="4"/>
  <c r="AA624" i="4"/>
  <c r="X624" i="4"/>
  <c r="B624" i="4"/>
  <c r="AE623" i="4"/>
  <c r="AD623" i="4"/>
  <c r="AC623" i="4"/>
  <c r="AB623" i="4"/>
  <c r="AA623" i="4"/>
  <c r="X623" i="4"/>
  <c r="B623" i="4"/>
  <c r="AE622" i="4"/>
  <c r="AD622" i="4"/>
  <c r="AC622" i="4"/>
  <c r="AB622" i="4"/>
  <c r="AA622" i="4"/>
  <c r="X622" i="4"/>
  <c r="B622" i="4"/>
  <c r="AE621" i="4"/>
  <c r="AD621" i="4"/>
  <c r="AC621" i="4"/>
  <c r="AB621" i="4"/>
  <c r="AA621" i="4"/>
  <c r="X621" i="4"/>
  <c r="B621" i="4"/>
  <c r="AE620" i="4"/>
  <c r="AD620" i="4"/>
  <c r="AC620" i="4"/>
  <c r="AB620" i="4"/>
  <c r="AA620" i="4"/>
  <c r="X620" i="4"/>
  <c r="B620" i="4"/>
  <c r="AE619" i="4"/>
  <c r="AD619" i="4"/>
  <c r="AC619" i="4"/>
  <c r="AB619" i="4"/>
  <c r="AA619" i="4"/>
  <c r="X619" i="4"/>
  <c r="B619" i="4"/>
  <c r="AE618" i="4"/>
  <c r="AD618" i="4"/>
  <c r="AC618" i="4"/>
  <c r="AB618" i="4"/>
  <c r="AA618" i="4"/>
  <c r="X618" i="4"/>
  <c r="B618" i="4"/>
  <c r="AE617" i="4"/>
  <c r="AD617" i="4"/>
  <c r="AC617" i="4"/>
  <c r="AB617" i="4"/>
  <c r="AA617" i="4"/>
  <c r="X617" i="4"/>
  <c r="B617" i="4"/>
  <c r="AE616" i="4"/>
  <c r="AD616" i="4"/>
  <c r="AC616" i="4"/>
  <c r="AB616" i="4"/>
  <c r="AA616" i="4"/>
  <c r="X616" i="4"/>
  <c r="B616" i="4"/>
  <c r="AE615" i="4"/>
  <c r="AD615" i="4"/>
  <c r="AC615" i="4"/>
  <c r="AB615" i="4"/>
  <c r="AA615" i="4"/>
  <c r="X615" i="4"/>
  <c r="B615" i="4"/>
  <c r="AE614" i="4"/>
  <c r="AD614" i="4"/>
  <c r="AC614" i="4"/>
  <c r="AB614" i="4"/>
  <c r="AA614" i="4"/>
  <c r="X614" i="4"/>
  <c r="B614" i="4"/>
  <c r="AE613" i="4"/>
  <c r="AD613" i="4"/>
  <c r="AC613" i="4"/>
  <c r="AB613" i="4"/>
  <c r="AA613" i="4"/>
  <c r="X613" i="4"/>
  <c r="AE612" i="4"/>
  <c r="AD612" i="4"/>
  <c r="AC612" i="4"/>
  <c r="AB612" i="4"/>
  <c r="AA612" i="4"/>
  <c r="X612" i="4"/>
  <c r="B612" i="4"/>
  <c r="AE611" i="4"/>
  <c r="AD611" i="4"/>
  <c r="AC611" i="4"/>
  <c r="AB611" i="4"/>
  <c r="AA611" i="4"/>
  <c r="X611" i="4"/>
  <c r="B611" i="4"/>
  <c r="AE610" i="4"/>
  <c r="AD610" i="4"/>
  <c r="AC610" i="4"/>
  <c r="AB610" i="4"/>
  <c r="AA610" i="4"/>
  <c r="X610" i="4"/>
  <c r="B610" i="4"/>
  <c r="AE609" i="4"/>
  <c r="AD609" i="4"/>
  <c r="AC609" i="4"/>
  <c r="AB609" i="4"/>
  <c r="AA609" i="4"/>
  <c r="X609" i="4"/>
  <c r="B609" i="4"/>
  <c r="AE608" i="4"/>
  <c r="AD608" i="4"/>
  <c r="AC608" i="4"/>
  <c r="AB608" i="4"/>
  <c r="AA608" i="4"/>
  <c r="X608" i="4"/>
  <c r="B608" i="4"/>
  <c r="AE607" i="4"/>
  <c r="AD607" i="4"/>
  <c r="AC607" i="4"/>
  <c r="AB607" i="4"/>
  <c r="AA607" i="4"/>
  <c r="X607" i="4"/>
  <c r="B607" i="4"/>
  <c r="AE606" i="4"/>
  <c r="AD606" i="4"/>
  <c r="AC606" i="4"/>
  <c r="AB606" i="4"/>
  <c r="AA606" i="4"/>
  <c r="X606" i="4"/>
  <c r="B606" i="4"/>
  <c r="AE605" i="4"/>
  <c r="AD605" i="4"/>
  <c r="AC605" i="4"/>
  <c r="AB605" i="4"/>
  <c r="AA605" i="4"/>
  <c r="X605" i="4"/>
  <c r="B605" i="4"/>
  <c r="AE604" i="4"/>
  <c r="AD604" i="4"/>
  <c r="AC604" i="4"/>
  <c r="AB604" i="4"/>
  <c r="AA604" i="4"/>
  <c r="X604" i="4"/>
  <c r="B604" i="4"/>
  <c r="AE603" i="4"/>
  <c r="AD603" i="4"/>
  <c r="AC603" i="4"/>
  <c r="AB603" i="4"/>
  <c r="AA603" i="4"/>
  <c r="X603" i="4"/>
  <c r="B603" i="4"/>
  <c r="AE602" i="4"/>
  <c r="AD602" i="4"/>
  <c r="AC602" i="4"/>
  <c r="AB602" i="4"/>
  <c r="AA602" i="4"/>
  <c r="X602" i="4"/>
  <c r="B602" i="4"/>
  <c r="AD601" i="4"/>
  <c r="AC601" i="4"/>
  <c r="AB601" i="4"/>
  <c r="AA601" i="4"/>
  <c r="F601" i="4"/>
  <c r="X601" i="4" s="1"/>
  <c r="B601" i="4"/>
  <c r="AE600" i="4"/>
  <c r="AB600" i="4"/>
  <c r="AA600" i="4"/>
  <c r="X600" i="4"/>
  <c r="F600" i="4"/>
  <c r="B600" i="4" s="1"/>
  <c r="AD599" i="4"/>
  <c r="AC599" i="4"/>
  <c r="AB599" i="4"/>
  <c r="AA599" i="4"/>
  <c r="F599" i="4"/>
  <c r="AE599" i="4" s="1"/>
  <c r="AE598" i="4"/>
  <c r="AD598" i="4"/>
  <c r="AC598" i="4"/>
  <c r="AB598" i="4"/>
  <c r="AA598" i="4"/>
  <c r="X598" i="4"/>
  <c r="B598" i="4"/>
  <c r="AE597" i="4"/>
  <c r="AD597" i="4"/>
  <c r="AC597" i="4"/>
  <c r="AB597" i="4"/>
  <c r="AA597" i="4"/>
  <c r="X597" i="4"/>
  <c r="B597" i="4"/>
  <c r="AE596" i="4"/>
  <c r="AD596" i="4"/>
  <c r="AC596" i="4"/>
  <c r="AB596" i="4"/>
  <c r="AA596" i="4"/>
  <c r="X596" i="4"/>
  <c r="B596" i="4"/>
  <c r="AE595" i="4"/>
  <c r="AD595" i="4"/>
  <c r="AC595" i="4"/>
  <c r="AB595" i="4"/>
  <c r="AA595" i="4"/>
  <c r="X595" i="4"/>
  <c r="B595" i="4"/>
  <c r="AE594" i="4"/>
  <c r="AD594" i="4"/>
  <c r="AC594" i="4"/>
  <c r="AB594" i="4"/>
  <c r="AA594" i="4"/>
  <c r="X594" i="4"/>
  <c r="B594" i="4"/>
  <c r="AE593" i="4"/>
  <c r="AD593" i="4"/>
  <c r="AC593" i="4"/>
  <c r="AB593" i="4"/>
  <c r="AA593" i="4"/>
  <c r="X593" i="4"/>
  <c r="B593" i="4"/>
  <c r="AE592" i="4"/>
  <c r="AD592" i="4"/>
  <c r="AC592" i="4"/>
  <c r="AB592" i="4"/>
  <c r="AA592" i="4"/>
  <c r="X592" i="4"/>
  <c r="B592" i="4"/>
  <c r="AE591" i="4"/>
  <c r="AD591" i="4"/>
  <c r="AC591" i="4"/>
  <c r="AB591" i="4"/>
  <c r="AA591" i="4"/>
  <c r="X591" i="4"/>
  <c r="B591" i="4"/>
  <c r="AE590" i="4"/>
  <c r="AD590" i="4"/>
  <c r="AC590" i="4"/>
  <c r="AB590" i="4"/>
  <c r="AA590" i="4"/>
  <c r="X590" i="4"/>
  <c r="B590" i="4"/>
  <c r="AE589" i="4"/>
  <c r="AD589" i="4"/>
  <c r="AC589" i="4"/>
  <c r="AB589" i="4"/>
  <c r="AA589" i="4"/>
  <c r="X589" i="4"/>
  <c r="B589" i="4"/>
  <c r="AE588" i="4"/>
  <c r="AD588" i="4"/>
  <c r="AC588" i="4"/>
  <c r="AB588" i="4"/>
  <c r="AA588" i="4"/>
  <c r="X588" i="4"/>
  <c r="B588" i="4"/>
  <c r="AE587" i="4"/>
  <c r="AD587" i="4"/>
  <c r="AC587" i="4"/>
  <c r="AB587" i="4"/>
  <c r="AA587" i="4"/>
  <c r="X587" i="4"/>
  <c r="B587" i="4"/>
  <c r="AE586" i="4"/>
  <c r="AD586" i="4"/>
  <c r="AC586" i="4"/>
  <c r="AB586" i="4"/>
  <c r="AA586" i="4"/>
  <c r="X586" i="4"/>
  <c r="B586" i="4"/>
  <c r="AE585" i="4"/>
  <c r="AD585" i="4"/>
  <c r="AC585" i="4"/>
  <c r="AB585" i="4"/>
  <c r="AA585" i="4"/>
  <c r="X585" i="4"/>
  <c r="B585" i="4"/>
  <c r="AE584" i="4"/>
  <c r="AD584" i="4"/>
  <c r="AC584" i="4"/>
  <c r="AB584" i="4"/>
  <c r="AA584" i="4"/>
  <c r="X584" i="4"/>
  <c r="B584" i="4"/>
  <c r="AE583" i="4"/>
  <c r="AD583" i="4"/>
  <c r="AC583" i="4"/>
  <c r="AB583" i="4"/>
  <c r="AA583" i="4"/>
  <c r="X583" i="4"/>
  <c r="B583" i="4"/>
  <c r="AE582" i="4"/>
  <c r="AD582" i="4"/>
  <c r="AC582" i="4"/>
  <c r="AB582" i="4"/>
  <c r="AA582" i="4"/>
  <c r="X582" i="4"/>
  <c r="B582" i="4"/>
  <c r="AE581" i="4"/>
  <c r="AD581" i="4"/>
  <c r="AC581" i="4"/>
  <c r="AB581" i="4"/>
  <c r="AA581" i="4"/>
  <c r="X581" i="4"/>
  <c r="B581" i="4"/>
  <c r="AE580" i="4"/>
  <c r="AD580" i="4"/>
  <c r="AC580" i="4"/>
  <c r="AB580" i="4"/>
  <c r="AA580" i="4"/>
  <c r="X580" i="4"/>
  <c r="B580" i="4"/>
  <c r="AE579" i="4"/>
  <c r="AD579" i="4"/>
  <c r="AC579" i="4"/>
  <c r="AB579" i="4"/>
  <c r="AA579" i="4"/>
  <c r="X579" i="4"/>
  <c r="B579" i="4"/>
  <c r="AE578" i="4"/>
  <c r="AD578" i="4"/>
  <c r="AC578" i="4"/>
  <c r="AB578" i="4"/>
  <c r="AA578" i="4"/>
  <c r="X578" i="4"/>
  <c r="B578" i="4"/>
  <c r="AE577" i="4"/>
  <c r="AD577" i="4"/>
  <c r="AC577" i="4"/>
  <c r="AB577" i="4"/>
  <c r="AA577" i="4"/>
  <c r="X577" i="4"/>
  <c r="AE576" i="4"/>
  <c r="AD576" i="4"/>
  <c r="AC576" i="4"/>
  <c r="AB576" i="4"/>
  <c r="AA576" i="4"/>
  <c r="X576" i="4"/>
  <c r="AE575" i="4"/>
  <c r="AD575" i="4"/>
  <c r="AC575" i="4"/>
  <c r="AB575" i="4"/>
  <c r="AA575" i="4"/>
  <c r="X575" i="4"/>
  <c r="AE574" i="4"/>
  <c r="AD574" i="4"/>
  <c r="AC574" i="4"/>
  <c r="AB574" i="4"/>
  <c r="AA574" i="4"/>
  <c r="X574" i="4"/>
  <c r="AE573" i="4"/>
  <c r="AD573" i="4"/>
  <c r="AC573" i="4"/>
  <c r="AB573" i="4"/>
  <c r="AA573" i="4"/>
  <c r="X573" i="4"/>
  <c r="B573" i="4"/>
  <c r="AE572" i="4"/>
  <c r="AD572" i="4"/>
  <c r="AC572" i="4"/>
  <c r="AB572" i="4"/>
  <c r="AA572" i="4"/>
  <c r="X572" i="4"/>
  <c r="B572" i="4"/>
  <c r="AE571" i="4"/>
  <c r="AD571" i="4"/>
  <c r="AC571" i="4"/>
  <c r="AB571" i="4"/>
  <c r="AA571" i="4"/>
  <c r="X571" i="4"/>
  <c r="B571" i="4"/>
  <c r="AE570" i="4"/>
  <c r="AD570" i="4"/>
  <c r="AC570" i="4"/>
  <c r="AB570" i="4"/>
  <c r="AA570" i="4"/>
  <c r="G570" i="4"/>
  <c r="X570" i="4" s="1"/>
  <c r="B570" i="4"/>
  <c r="AE569" i="4"/>
  <c r="AD569" i="4"/>
  <c r="AC569" i="4"/>
  <c r="AB569" i="4"/>
  <c r="AA569" i="4"/>
  <c r="X569" i="4"/>
  <c r="B569" i="4"/>
  <c r="AE568" i="4"/>
  <c r="AD568" i="4"/>
  <c r="AC568" i="4"/>
  <c r="AB568" i="4"/>
  <c r="AA568" i="4"/>
  <c r="X568" i="4"/>
  <c r="B568" i="4"/>
  <c r="AE567" i="4"/>
  <c r="AD567" i="4"/>
  <c r="AC567" i="4"/>
  <c r="AB567" i="4"/>
  <c r="AA567" i="4"/>
  <c r="X567" i="4"/>
  <c r="AE566" i="4"/>
  <c r="AD566" i="4"/>
  <c r="AC566" i="4"/>
  <c r="AB566" i="4"/>
  <c r="AA566" i="4"/>
  <c r="X566" i="4"/>
  <c r="B566" i="4"/>
  <c r="AE565" i="4"/>
  <c r="AD565" i="4"/>
  <c r="AC565" i="4"/>
  <c r="AB565" i="4"/>
  <c r="AA565" i="4"/>
  <c r="X565" i="4"/>
  <c r="B565" i="4"/>
  <c r="AD564" i="4"/>
  <c r="AC564" i="4"/>
  <c r="AB564" i="4"/>
  <c r="AA564" i="4"/>
  <c r="F564" i="4"/>
  <c r="AE564" i="4" s="1"/>
  <c r="B564" i="4"/>
  <c r="AE563" i="4"/>
  <c r="AD563" i="4"/>
  <c r="AC563" i="4"/>
  <c r="AB563" i="4"/>
  <c r="AA563" i="4"/>
  <c r="X563" i="4"/>
  <c r="B563" i="4"/>
  <c r="AE562" i="4"/>
  <c r="AD562" i="4"/>
  <c r="AC562" i="4"/>
  <c r="AB562" i="4"/>
  <c r="AA562" i="4"/>
  <c r="X562" i="4"/>
  <c r="B562" i="4"/>
  <c r="AE561" i="4"/>
  <c r="AD561" i="4"/>
  <c r="AC561" i="4"/>
  <c r="AB561" i="4"/>
  <c r="AA561" i="4"/>
  <c r="X561" i="4"/>
  <c r="B561" i="4"/>
  <c r="AE560" i="4"/>
  <c r="AD560" i="4"/>
  <c r="AC560" i="4"/>
  <c r="AB560" i="4"/>
  <c r="AA560" i="4"/>
  <c r="X560" i="4"/>
  <c r="B560" i="4"/>
  <c r="AE559" i="4"/>
  <c r="AB559" i="4"/>
  <c r="AA559" i="4"/>
  <c r="X559" i="4"/>
  <c r="B559" i="4"/>
  <c r="AE558" i="4"/>
  <c r="AD558" i="4"/>
  <c r="AC558" i="4"/>
  <c r="AB558" i="4"/>
  <c r="AA558" i="4"/>
  <c r="X558" i="4"/>
  <c r="B558" i="4"/>
  <c r="AE557" i="4"/>
  <c r="AD557" i="4"/>
  <c r="AC557" i="4"/>
  <c r="AB557" i="4"/>
  <c r="AA557" i="4"/>
  <c r="X557" i="4"/>
  <c r="B557" i="4"/>
  <c r="AE556" i="4"/>
  <c r="AD556" i="4"/>
  <c r="AC556" i="4"/>
  <c r="AB556" i="4"/>
  <c r="AA556" i="4"/>
  <c r="X556" i="4"/>
  <c r="B556" i="4"/>
  <c r="AE555" i="4"/>
  <c r="AD555" i="4"/>
  <c r="AC555" i="4"/>
  <c r="AB555" i="4"/>
  <c r="AA555" i="4"/>
  <c r="X555" i="4"/>
  <c r="B555" i="4"/>
  <c r="AE554" i="4"/>
  <c r="AD554" i="4"/>
  <c r="AC554" i="4"/>
  <c r="AB554" i="4"/>
  <c r="AA554" i="4"/>
  <c r="X554" i="4"/>
  <c r="B554" i="4"/>
  <c r="AE553" i="4"/>
  <c r="AD553" i="4"/>
  <c r="AC553" i="4"/>
  <c r="AB553" i="4"/>
  <c r="AA553" i="4"/>
  <c r="X553" i="4"/>
  <c r="B553" i="4"/>
  <c r="AE552" i="4"/>
  <c r="AD552" i="4"/>
  <c r="AC552" i="4"/>
  <c r="AB552" i="4"/>
  <c r="AA552" i="4"/>
  <c r="X552" i="4"/>
  <c r="B552" i="4"/>
  <c r="AE551" i="4"/>
  <c r="AD551" i="4"/>
  <c r="AC551" i="4"/>
  <c r="AB551" i="4"/>
  <c r="AA551" i="4"/>
  <c r="X551" i="4"/>
  <c r="B551" i="4"/>
  <c r="AE550" i="4"/>
  <c r="AD550" i="4"/>
  <c r="AC550" i="4"/>
  <c r="AB550" i="4"/>
  <c r="AA550" i="4"/>
  <c r="X550" i="4"/>
  <c r="B550" i="4"/>
  <c r="AE549" i="4"/>
  <c r="AD549" i="4"/>
  <c r="AC549" i="4"/>
  <c r="AB549" i="4"/>
  <c r="AA549" i="4"/>
  <c r="X549" i="4"/>
  <c r="B549" i="4"/>
  <c r="AE548" i="4"/>
  <c r="AD548" i="4"/>
  <c r="AC548" i="4"/>
  <c r="AB548" i="4"/>
  <c r="AA548" i="4"/>
  <c r="X548" i="4"/>
  <c r="B548" i="4"/>
  <c r="AE547" i="4"/>
  <c r="AD547" i="4"/>
  <c r="AC547" i="4"/>
  <c r="AB547" i="4"/>
  <c r="AA547" i="4"/>
  <c r="X547" i="4"/>
  <c r="B547" i="4"/>
  <c r="AE546" i="4"/>
  <c r="AD546" i="4"/>
  <c r="AC546" i="4"/>
  <c r="AB546" i="4"/>
  <c r="AA546" i="4"/>
  <c r="X546" i="4"/>
  <c r="B546" i="4"/>
  <c r="AE545" i="4"/>
  <c r="AD545" i="4"/>
  <c r="AC545" i="4"/>
  <c r="AB545" i="4"/>
  <c r="AA545" i="4"/>
  <c r="X545" i="4"/>
  <c r="B545" i="4"/>
  <c r="AE544" i="4"/>
  <c r="AD544" i="4"/>
  <c r="AC544" i="4"/>
  <c r="AB544" i="4"/>
  <c r="AA544" i="4"/>
  <c r="X544" i="4"/>
  <c r="B544" i="4"/>
  <c r="AE543" i="4"/>
  <c r="AD543" i="4"/>
  <c r="AC543" i="4"/>
  <c r="AB543" i="4"/>
  <c r="AA543" i="4"/>
  <c r="X543" i="4"/>
  <c r="B543" i="4"/>
  <c r="AE542" i="4"/>
  <c r="AD542" i="4"/>
  <c r="AC542" i="4"/>
  <c r="AB542" i="4"/>
  <c r="AA542" i="4"/>
  <c r="X542" i="4"/>
  <c r="B542" i="4"/>
  <c r="AE541" i="4"/>
  <c r="AD541" i="4"/>
  <c r="AC541" i="4"/>
  <c r="AB541" i="4"/>
  <c r="AA541" i="4"/>
  <c r="X541" i="4"/>
  <c r="B541" i="4"/>
  <c r="AE540" i="4"/>
  <c r="AD540" i="4"/>
  <c r="AC540" i="4"/>
  <c r="AB540" i="4"/>
  <c r="AA540" i="4"/>
  <c r="X540" i="4"/>
  <c r="B540" i="4"/>
  <c r="AE539" i="4"/>
  <c r="AD539" i="4"/>
  <c r="AC539" i="4"/>
  <c r="AB539" i="4"/>
  <c r="AA539" i="4"/>
  <c r="X539" i="4"/>
  <c r="B539" i="4"/>
  <c r="AE538" i="4"/>
  <c r="AD538" i="4"/>
  <c r="AC538" i="4"/>
  <c r="AB538" i="4"/>
  <c r="AA538" i="4"/>
  <c r="X538" i="4"/>
  <c r="B538" i="4"/>
  <c r="AE537" i="4"/>
  <c r="AD537" i="4"/>
  <c r="AC537" i="4"/>
  <c r="AB537" i="4"/>
  <c r="AA537" i="4"/>
  <c r="X537" i="4"/>
  <c r="B537" i="4"/>
  <c r="AE536" i="4"/>
  <c r="AD536" i="4"/>
  <c r="AC536" i="4"/>
  <c r="AB536" i="4"/>
  <c r="AA536" i="4"/>
  <c r="X536" i="4"/>
  <c r="B536" i="4"/>
  <c r="AE535" i="4"/>
  <c r="AD535" i="4"/>
  <c r="AC535" i="4"/>
  <c r="AB535" i="4"/>
  <c r="AA535" i="4"/>
  <c r="X535" i="4"/>
  <c r="B535" i="4"/>
  <c r="AE534" i="4"/>
  <c r="AD534" i="4"/>
  <c r="AC534" i="4"/>
  <c r="AB534" i="4"/>
  <c r="AA534" i="4"/>
  <c r="X534" i="4"/>
  <c r="B534" i="4"/>
  <c r="AE533" i="4"/>
  <c r="AD533" i="4"/>
  <c r="AC533" i="4"/>
  <c r="AB533" i="4"/>
  <c r="AA533" i="4"/>
  <c r="X533" i="4"/>
  <c r="B533" i="4"/>
  <c r="AE532" i="4"/>
  <c r="AD532" i="4"/>
  <c r="AC532" i="4"/>
  <c r="AB532" i="4"/>
  <c r="AA532" i="4"/>
  <c r="X532" i="4"/>
  <c r="B532" i="4"/>
  <c r="AE531" i="4"/>
  <c r="AD531" i="4"/>
  <c r="AC531" i="4"/>
  <c r="AB531" i="4"/>
  <c r="AA531" i="4"/>
  <c r="X531" i="4"/>
  <c r="B531" i="4"/>
  <c r="AE530" i="4"/>
  <c r="AD530" i="4"/>
  <c r="AC530" i="4"/>
  <c r="AB530" i="4"/>
  <c r="AA530" i="4"/>
  <c r="X530" i="4"/>
  <c r="B530" i="4"/>
  <c r="AE529" i="4"/>
  <c r="AD529" i="4"/>
  <c r="AC529" i="4"/>
  <c r="AB529" i="4"/>
  <c r="AA529" i="4"/>
  <c r="X529" i="4"/>
  <c r="B529" i="4"/>
  <c r="AE528" i="4"/>
  <c r="AD528" i="4"/>
  <c r="AC528" i="4"/>
  <c r="AB528" i="4"/>
  <c r="AA528" i="4"/>
  <c r="X528" i="4"/>
  <c r="B528" i="4"/>
  <c r="AE527" i="4"/>
  <c r="AD527" i="4"/>
  <c r="AC527" i="4"/>
  <c r="AB527" i="4"/>
  <c r="AA527" i="4"/>
  <c r="X527" i="4"/>
  <c r="B527" i="4"/>
  <c r="AE526" i="4"/>
  <c r="AD526" i="4"/>
  <c r="AC526" i="4"/>
  <c r="AB526" i="4"/>
  <c r="AA526" i="4"/>
  <c r="X526" i="4"/>
  <c r="B526" i="4"/>
  <c r="AE525" i="4"/>
  <c r="AD525" i="4"/>
  <c r="AC525" i="4"/>
  <c r="AB525" i="4"/>
  <c r="AA525" i="4"/>
  <c r="X525" i="4"/>
  <c r="B525" i="4"/>
  <c r="AE524" i="4"/>
  <c r="AD524" i="4"/>
  <c r="AC524" i="4"/>
  <c r="AB524" i="4"/>
  <c r="AA524" i="4"/>
  <c r="X524" i="4"/>
  <c r="B524" i="4"/>
  <c r="AE523" i="4"/>
  <c r="AD523" i="4"/>
  <c r="AC523" i="4"/>
  <c r="AB523" i="4"/>
  <c r="AA523" i="4"/>
  <c r="X523" i="4"/>
  <c r="B523" i="4"/>
  <c r="AE522" i="4"/>
  <c r="AD522" i="4"/>
  <c r="AC522" i="4"/>
  <c r="AB522" i="4"/>
  <c r="AA522" i="4"/>
  <c r="X522" i="4"/>
  <c r="B522" i="4"/>
  <c r="AE521" i="4"/>
  <c r="AD521" i="4"/>
  <c r="AC521" i="4"/>
  <c r="AB521" i="4"/>
  <c r="AA521" i="4"/>
  <c r="X521" i="4"/>
  <c r="B521" i="4"/>
  <c r="AE520" i="4"/>
  <c r="AD520" i="4"/>
  <c r="AC520" i="4"/>
  <c r="AB520" i="4"/>
  <c r="AA520" i="4"/>
  <c r="X520" i="4"/>
  <c r="B520" i="4"/>
  <c r="AE519" i="4"/>
  <c r="AD519" i="4"/>
  <c r="AC519" i="4"/>
  <c r="AB519" i="4"/>
  <c r="AA519" i="4"/>
  <c r="X519" i="4"/>
  <c r="B519" i="4"/>
  <c r="AE518" i="4"/>
  <c r="AD518" i="4"/>
  <c r="AC518" i="4"/>
  <c r="AB518" i="4"/>
  <c r="AA518" i="4"/>
  <c r="X518" i="4"/>
  <c r="B518" i="4"/>
  <c r="AE517" i="4"/>
  <c r="AD517" i="4"/>
  <c r="AC517" i="4"/>
  <c r="AB517" i="4"/>
  <c r="AA517" i="4"/>
  <c r="X517" i="4"/>
  <c r="B517" i="4"/>
  <c r="AE516" i="4"/>
  <c r="AD516" i="4"/>
  <c r="AC516" i="4"/>
  <c r="AB516" i="4"/>
  <c r="AA516" i="4"/>
  <c r="X516" i="4"/>
  <c r="B516" i="4"/>
  <c r="AE515" i="4"/>
  <c r="AD515" i="4"/>
  <c r="AC515" i="4"/>
  <c r="AB515" i="4"/>
  <c r="AA515" i="4"/>
  <c r="X515" i="4"/>
  <c r="B515" i="4"/>
  <c r="AE514" i="4"/>
  <c r="AD514" i="4"/>
  <c r="AC514" i="4"/>
  <c r="AB514" i="4"/>
  <c r="AA514" i="4"/>
  <c r="G514" i="4"/>
  <c r="X514" i="4" s="1"/>
  <c r="B514" i="4"/>
  <c r="AE513" i="4"/>
  <c r="AD513" i="4"/>
  <c r="AC513" i="4"/>
  <c r="AB513" i="4"/>
  <c r="AA513" i="4"/>
  <c r="X513" i="4"/>
  <c r="B513" i="4"/>
  <c r="AE512" i="4"/>
  <c r="AD512" i="4"/>
  <c r="AC512" i="4"/>
  <c r="AB512" i="4"/>
  <c r="AA512" i="4"/>
  <c r="X512" i="4"/>
  <c r="B512" i="4"/>
  <c r="AE511" i="4"/>
  <c r="AD511" i="4"/>
  <c r="AC511" i="4"/>
  <c r="AB511" i="4"/>
  <c r="AA511" i="4"/>
  <c r="X511" i="4"/>
  <c r="B511" i="4"/>
  <c r="AE510" i="4"/>
  <c r="AD510" i="4"/>
  <c r="AC510" i="4"/>
  <c r="AB510" i="4"/>
  <c r="AA510" i="4"/>
  <c r="X510" i="4"/>
  <c r="B510" i="4"/>
  <c r="AE509" i="4"/>
  <c r="AD509" i="4"/>
  <c r="AC509" i="4"/>
  <c r="AB509" i="4"/>
  <c r="AA509" i="4"/>
  <c r="X509" i="4"/>
  <c r="B509" i="4"/>
  <c r="AE508" i="4"/>
  <c r="AD508" i="4"/>
  <c r="AC508" i="4"/>
  <c r="AB508" i="4"/>
  <c r="AA508" i="4"/>
  <c r="X508" i="4"/>
  <c r="B508" i="4"/>
  <c r="AE507" i="4"/>
  <c r="AD507" i="4"/>
  <c r="AC507" i="4"/>
  <c r="AB507" i="4"/>
  <c r="AA507" i="4"/>
  <c r="X507" i="4"/>
  <c r="B507" i="4"/>
  <c r="AE506" i="4"/>
  <c r="AD506" i="4"/>
  <c r="AC506" i="4"/>
  <c r="AB506" i="4"/>
  <c r="AA506" i="4"/>
  <c r="X506" i="4"/>
  <c r="B506" i="4"/>
  <c r="AE505" i="4"/>
  <c r="AD505" i="4"/>
  <c r="AC505" i="4"/>
  <c r="AB505" i="4"/>
  <c r="AA505" i="4"/>
  <c r="X505" i="4"/>
  <c r="B505" i="4"/>
  <c r="AE504" i="4"/>
  <c r="AD504" i="4"/>
  <c r="AC504" i="4"/>
  <c r="AB504" i="4"/>
  <c r="AA504" i="4"/>
  <c r="X504" i="4"/>
  <c r="B504" i="4"/>
  <c r="AE503" i="4"/>
  <c r="AD503" i="4"/>
  <c r="AC503" i="4"/>
  <c r="AB503" i="4"/>
  <c r="AA503" i="4"/>
  <c r="X503" i="4"/>
  <c r="B503" i="4"/>
  <c r="AE502" i="4"/>
  <c r="AB502" i="4"/>
  <c r="AA502" i="4"/>
  <c r="X502" i="4"/>
  <c r="B502" i="4"/>
  <c r="AE501" i="4"/>
  <c r="AB501" i="4"/>
  <c r="AA501" i="4"/>
  <c r="X501" i="4"/>
  <c r="B501" i="4"/>
  <c r="AE500" i="4"/>
  <c r="AD500" i="4"/>
  <c r="AC500" i="4"/>
  <c r="AB500" i="4"/>
  <c r="AA500" i="4"/>
  <c r="X500" i="4"/>
  <c r="B500" i="4"/>
  <c r="AE499" i="4"/>
  <c r="AD499" i="4"/>
  <c r="AC499" i="4"/>
  <c r="AB499" i="4"/>
  <c r="AA499" i="4"/>
  <c r="X499" i="4"/>
  <c r="B499" i="4"/>
  <c r="AE498" i="4"/>
  <c r="AD498" i="4"/>
  <c r="AC498" i="4"/>
  <c r="AB498" i="4"/>
  <c r="AA498" i="4"/>
  <c r="X498" i="4"/>
  <c r="B498" i="4"/>
  <c r="AE497" i="4"/>
  <c r="AD497" i="4"/>
  <c r="AC497" i="4"/>
  <c r="AB497" i="4"/>
  <c r="AA497" i="4"/>
  <c r="X497" i="4"/>
  <c r="B497" i="4"/>
  <c r="AE496" i="4"/>
  <c r="AD496" i="4"/>
  <c r="AC496" i="4"/>
  <c r="AB496" i="4"/>
  <c r="AA496" i="4"/>
  <c r="X496" i="4"/>
  <c r="B496" i="4"/>
  <c r="AE495" i="4"/>
  <c r="AD495" i="4"/>
  <c r="AC495" i="4"/>
  <c r="AB495" i="4"/>
  <c r="AA495" i="4"/>
  <c r="X495" i="4"/>
  <c r="B495" i="4"/>
  <c r="AE494" i="4"/>
  <c r="AD494" i="4"/>
  <c r="AC494" i="4"/>
  <c r="AB494" i="4"/>
  <c r="AA494" i="4"/>
  <c r="X494" i="4"/>
  <c r="B494" i="4"/>
  <c r="AE493" i="4"/>
  <c r="AD493" i="4"/>
  <c r="AC493" i="4"/>
  <c r="AB493" i="4"/>
  <c r="AA493" i="4"/>
  <c r="X493" i="4"/>
  <c r="B493" i="4"/>
  <c r="AE492" i="4"/>
  <c r="AD492" i="4"/>
  <c r="AC492" i="4"/>
  <c r="AB492" i="4"/>
  <c r="AA492" i="4"/>
  <c r="X492" i="4"/>
  <c r="B492" i="4"/>
  <c r="AD491" i="4"/>
  <c r="AC491" i="4"/>
  <c r="AB491" i="4"/>
  <c r="AA491" i="4"/>
  <c r="X491" i="4"/>
  <c r="F491" i="4"/>
  <c r="AE491" i="4" s="1"/>
  <c r="B491" i="4"/>
  <c r="AD490" i="4"/>
  <c r="AC490" i="4"/>
  <c r="AB490" i="4"/>
  <c r="AA490" i="4"/>
  <c r="F490" i="4"/>
  <c r="AE490" i="4" s="1"/>
  <c r="B490" i="4"/>
  <c r="AE489" i="4"/>
  <c r="AD489" i="4"/>
  <c r="AC489" i="4"/>
  <c r="AB489" i="4"/>
  <c r="AA489" i="4"/>
  <c r="X489" i="4"/>
  <c r="B489" i="4"/>
  <c r="AE488" i="4"/>
  <c r="AD488" i="4"/>
  <c r="AC488" i="4"/>
  <c r="AB488" i="4"/>
  <c r="AA488" i="4"/>
  <c r="X488" i="4"/>
  <c r="B488" i="4"/>
  <c r="AE487" i="4"/>
  <c r="AD487" i="4"/>
  <c r="AC487" i="4"/>
  <c r="AB487" i="4"/>
  <c r="AA487" i="4"/>
  <c r="X487" i="4"/>
  <c r="B487" i="4"/>
  <c r="AE486" i="4"/>
  <c r="AD486" i="4"/>
  <c r="AC486" i="4"/>
  <c r="AB486" i="4"/>
  <c r="AA486" i="4"/>
  <c r="F486" i="4"/>
  <c r="X486" i="4" s="1"/>
  <c r="B486" i="4"/>
  <c r="AE485" i="4"/>
  <c r="AD485" i="4"/>
  <c r="AC485" i="4"/>
  <c r="AB485" i="4"/>
  <c r="AA485" i="4"/>
  <c r="X485" i="4"/>
  <c r="B485" i="4"/>
  <c r="AE484" i="4"/>
  <c r="AD484" i="4"/>
  <c r="AC484" i="4"/>
  <c r="AB484" i="4"/>
  <c r="AA484" i="4"/>
  <c r="X484" i="4"/>
  <c r="B484" i="4"/>
  <c r="AD483" i="4"/>
  <c r="AC483" i="4"/>
  <c r="AB483" i="4"/>
  <c r="AA483" i="4"/>
  <c r="F483" i="4"/>
  <c r="AD482" i="4"/>
  <c r="AC482" i="4"/>
  <c r="AB482" i="4"/>
  <c r="AA482" i="4"/>
  <c r="F482" i="4"/>
  <c r="AE482" i="4" s="1"/>
  <c r="AE481" i="4"/>
  <c r="AD481" i="4"/>
  <c r="AC481" i="4"/>
  <c r="AB481" i="4"/>
  <c r="AA481" i="4"/>
  <c r="X481" i="4"/>
  <c r="B481" i="4"/>
  <c r="AE480" i="4"/>
  <c r="AD480" i="4"/>
  <c r="AC480" i="4"/>
  <c r="AB480" i="4"/>
  <c r="AA480" i="4"/>
  <c r="X480" i="4"/>
  <c r="B480" i="4"/>
  <c r="AE479" i="4"/>
  <c r="AD479" i="4"/>
  <c r="AC479" i="4"/>
  <c r="AB479" i="4"/>
  <c r="AA479" i="4"/>
  <c r="X479" i="4"/>
  <c r="B479" i="4"/>
  <c r="AE478" i="4"/>
  <c r="AD478" i="4"/>
  <c r="AC478" i="4"/>
  <c r="AB478" i="4"/>
  <c r="AA478" i="4"/>
  <c r="X478" i="4"/>
  <c r="B478" i="4"/>
  <c r="AE477" i="4"/>
  <c r="AD477" i="4"/>
  <c r="AC477" i="4"/>
  <c r="AB477" i="4"/>
  <c r="AA477" i="4"/>
  <c r="X477" i="4"/>
  <c r="B477" i="4"/>
  <c r="AE476" i="4"/>
  <c r="AD476" i="4"/>
  <c r="AC476" i="4"/>
  <c r="AB476" i="4"/>
  <c r="AA476" i="4"/>
  <c r="X476" i="4"/>
  <c r="B476" i="4"/>
  <c r="AE475" i="4"/>
  <c r="AD475" i="4"/>
  <c r="AC475" i="4"/>
  <c r="AB475" i="4"/>
  <c r="AA475" i="4"/>
  <c r="X475" i="4"/>
  <c r="B475" i="4"/>
  <c r="AE474" i="4"/>
  <c r="AD474" i="4"/>
  <c r="AC474" i="4"/>
  <c r="AB474" i="4"/>
  <c r="AA474" i="4"/>
  <c r="X474" i="4"/>
  <c r="B474" i="4"/>
  <c r="AE473" i="4"/>
  <c r="AD473" i="4"/>
  <c r="AC473" i="4"/>
  <c r="AB473" i="4"/>
  <c r="AA473" i="4"/>
  <c r="X473" i="4"/>
  <c r="B473" i="4"/>
  <c r="AE472" i="4"/>
  <c r="AD472" i="4"/>
  <c r="AC472" i="4"/>
  <c r="AB472" i="4"/>
  <c r="AA472" i="4"/>
  <c r="X472" i="4"/>
  <c r="B472" i="4"/>
  <c r="AE471" i="4"/>
  <c r="AD471" i="4"/>
  <c r="AC471" i="4"/>
  <c r="AB471" i="4"/>
  <c r="AA471" i="4"/>
  <c r="X471" i="4"/>
  <c r="B471" i="4"/>
  <c r="AD470" i="4"/>
  <c r="AC470" i="4"/>
  <c r="AB470" i="4"/>
  <c r="AA470" i="4"/>
  <c r="F470" i="4"/>
  <c r="AE470" i="4" s="1"/>
  <c r="AD469" i="4"/>
  <c r="AC469" i="4"/>
  <c r="AB469" i="4"/>
  <c r="AA469" i="4"/>
  <c r="F469" i="4"/>
  <c r="X469" i="4" s="1"/>
  <c r="AE468" i="4"/>
  <c r="AD468" i="4"/>
  <c r="AC468" i="4"/>
  <c r="AB468" i="4"/>
  <c r="AA468" i="4"/>
  <c r="F468" i="4"/>
  <c r="X468" i="4" s="1"/>
  <c r="AD467" i="4"/>
  <c r="AC467" i="4"/>
  <c r="AB467" i="4"/>
  <c r="AA467" i="4"/>
  <c r="F467" i="4"/>
  <c r="AE467" i="4" s="1"/>
  <c r="AD466" i="4"/>
  <c r="AC466" i="4"/>
  <c r="AB466" i="4"/>
  <c r="AA466" i="4"/>
  <c r="F466" i="4"/>
  <c r="X466" i="4" s="1"/>
  <c r="B466" i="4"/>
  <c r="AE465" i="4"/>
  <c r="AD465" i="4"/>
  <c r="AC465" i="4"/>
  <c r="AB465" i="4"/>
  <c r="AA465" i="4"/>
  <c r="F465" i="4"/>
  <c r="X465" i="4" s="1"/>
  <c r="B465" i="4"/>
  <c r="AE464" i="4"/>
  <c r="AD464" i="4"/>
  <c r="AC464" i="4"/>
  <c r="AB464" i="4"/>
  <c r="AA464" i="4"/>
  <c r="X464" i="4"/>
  <c r="B464" i="4"/>
  <c r="AE463" i="4"/>
  <c r="AD463" i="4"/>
  <c r="AC463" i="4"/>
  <c r="AB463" i="4"/>
  <c r="AA463" i="4"/>
  <c r="X463" i="4"/>
  <c r="B463" i="4"/>
  <c r="AE462" i="4"/>
  <c r="AD462" i="4"/>
  <c r="AC462" i="4"/>
  <c r="AB462" i="4"/>
  <c r="AA462" i="4"/>
  <c r="X462" i="4"/>
  <c r="B462" i="4"/>
  <c r="AE461" i="4"/>
  <c r="AD461" i="4"/>
  <c r="AC461" i="4"/>
  <c r="AB461" i="4"/>
  <c r="AA461" i="4"/>
  <c r="G461" i="4"/>
  <c r="X461" i="4" s="1"/>
  <c r="B461" i="4"/>
  <c r="AE460" i="4"/>
  <c r="AD460" i="4"/>
  <c r="AC460" i="4"/>
  <c r="AB460" i="4"/>
  <c r="AA460" i="4"/>
  <c r="X460" i="4"/>
  <c r="B460" i="4"/>
  <c r="AE459" i="4"/>
  <c r="AD459" i="4"/>
  <c r="AC459" i="4"/>
  <c r="AB459" i="4"/>
  <c r="AA459" i="4"/>
  <c r="X459" i="4"/>
  <c r="B459" i="4"/>
  <c r="AE458" i="4"/>
  <c r="AD458" i="4"/>
  <c r="AC458" i="4"/>
  <c r="AB458" i="4"/>
  <c r="AA458" i="4"/>
  <c r="X458" i="4"/>
  <c r="B458" i="4"/>
  <c r="AE457" i="4"/>
  <c r="AD457" i="4"/>
  <c r="AC457" i="4"/>
  <c r="AB457" i="4"/>
  <c r="AA457" i="4"/>
  <c r="X457" i="4"/>
  <c r="B457" i="4"/>
  <c r="AE456" i="4"/>
  <c r="AD456" i="4"/>
  <c r="AC456" i="4"/>
  <c r="AB456" i="4"/>
  <c r="AA456" i="4"/>
  <c r="X456" i="4"/>
  <c r="B456" i="4"/>
  <c r="AE455" i="4"/>
  <c r="AD455" i="4"/>
  <c r="AC455" i="4"/>
  <c r="AB455" i="4"/>
  <c r="AA455" i="4"/>
  <c r="X455" i="4"/>
  <c r="B455" i="4"/>
  <c r="AE454" i="4"/>
  <c r="AD454" i="4"/>
  <c r="AC454" i="4"/>
  <c r="AB454" i="4"/>
  <c r="AA454" i="4"/>
  <c r="X454" i="4"/>
  <c r="B454" i="4"/>
  <c r="AE453" i="4"/>
  <c r="AD453" i="4"/>
  <c r="AC453" i="4"/>
  <c r="AB453" i="4"/>
  <c r="AA453" i="4"/>
  <c r="X453" i="4"/>
  <c r="B453" i="4"/>
  <c r="AE452" i="4"/>
  <c r="AD452" i="4"/>
  <c r="AC452" i="4"/>
  <c r="AB452" i="4"/>
  <c r="AA452" i="4"/>
  <c r="X452" i="4"/>
  <c r="B452" i="4"/>
  <c r="AE451" i="4"/>
  <c r="AD451" i="4"/>
  <c r="AC451" i="4"/>
  <c r="AB451" i="4"/>
  <c r="AA451" i="4"/>
  <c r="X451" i="4"/>
  <c r="B451" i="4"/>
  <c r="AE450" i="4"/>
  <c r="AD450" i="4"/>
  <c r="AC450" i="4"/>
  <c r="AB450" i="4"/>
  <c r="AA450" i="4"/>
  <c r="X450" i="4"/>
  <c r="B450" i="4"/>
  <c r="AE449" i="4"/>
  <c r="AD449" i="4"/>
  <c r="AC449" i="4"/>
  <c r="AB449" i="4"/>
  <c r="AA449" i="4"/>
  <c r="X449" i="4"/>
  <c r="B449" i="4"/>
  <c r="AE448" i="4"/>
  <c r="AD448" i="4"/>
  <c r="AC448" i="4"/>
  <c r="AB448" i="4"/>
  <c r="AA448" i="4"/>
  <c r="X448" i="4"/>
  <c r="B448" i="4"/>
  <c r="AE447" i="4"/>
  <c r="AD447" i="4"/>
  <c r="AC447" i="4"/>
  <c r="AB447" i="4"/>
  <c r="AA447" i="4"/>
  <c r="X447" i="4"/>
  <c r="B447" i="4"/>
  <c r="AE446" i="4"/>
  <c r="AD446" i="4"/>
  <c r="AC446" i="4"/>
  <c r="AB446" i="4"/>
  <c r="AA446" i="4"/>
  <c r="X446" i="4"/>
  <c r="B446" i="4"/>
  <c r="AE445" i="4"/>
  <c r="AD445" i="4"/>
  <c r="AC445" i="4"/>
  <c r="AB445" i="4"/>
  <c r="AA445" i="4"/>
  <c r="X445" i="4"/>
  <c r="B445" i="4"/>
  <c r="AE444" i="4"/>
  <c r="AD444" i="4"/>
  <c r="AC444" i="4"/>
  <c r="AB444" i="4"/>
  <c r="AA444" i="4"/>
  <c r="X444" i="4"/>
  <c r="B444" i="4"/>
  <c r="AE443" i="4"/>
  <c r="AD443" i="4"/>
  <c r="AC443" i="4"/>
  <c r="AB443" i="4"/>
  <c r="AA443" i="4"/>
  <c r="X443" i="4"/>
  <c r="AE442" i="4"/>
  <c r="AD442" i="4"/>
  <c r="AC442" i="4"/>
  <c r="AB442" i="4"/>
  <c r="AA442" i="4"/>
  <c r="X442" i="4"/>
  <c r="B442" i="4"/>
  <c r="AE441" i="4"/>
  <c r="AD441" i="4"/>
  <c r="AC441" i="4"/>
  <c r="AB441" i="4"/>
  <c r="AA441" i="4"/>
  <c r="X441" i="4"/>
  <c r="B441" i="4"/>
  <c r="AE440" i="4"/>
  <c r="AD440" i="4"/>
  <c r="AC440" i="4"/>
  <c r="AB440" i="4"/>
  <c r="AA440" i="4"/>
  <c r="X440" i="4"/>
  <c r="B440" i="4"/>
  <c r="AE439" i="4"/>
  <c r="AD439" i="4"/>
  <c r="AC439" i="4"/>
  <c r="AB439" i="4"/>
  <c r="AA439" i="4"/>
  <c r="X439" i="4"/>
  <c r="B439" i="4"/>
  <c r="AE438" i="4"/>
  <c r="AD438" i="4"/>
  <c r="AC438" i="4"/>
  <c r="AB438" i="4"/>
  <c r="AA438" i="4"/>
  <c r="X438" i="4"/>
  <c r="B438" i="4"/>
  <c r="AE437" i="4"/>
  <c r="AD437" i="4"/>
  <c r="AC437" i="4"/>
  <c r="AB437" i="4"/>
  <c r="AA437" i="4"/>
  <c r="X437" i="4"/>
  <c r="B437" i="4"/>
  <c r="AE436" i="4"/>
  <c r="AB436" i="4"/>
  <c r="AA436" i="4"/>
  <c r="X436" i="4"/>
  <c r="B436" i="4"/>
  <c r="AE435" i="4"/>
  <c r="AB435" i="4"/>
  <c r="AA435" i="4"/>
  <c r="X435" i="4"/>
  <c r="B435" i="4"/>
  <c r="AE434" i="4"/>
  <c r="AD434" i="4"/>
  <c r="AC434" i="4"/>
  <c r="AB434" i="4"/>
  <c r="AA434" i="4"/>
  <c r="X434" i="4"/>
  <c r="B434" i="4"/>
  <c r="AE433" i="4"/>
  <c r="AD433" i="4"/>
  <c r="AC433" i="4"/>
  <c r="AB433" i="4"/>
  <c r="AA433" i="4"/>
  <c r="G433" i="4"/>
  <c r="X433" i="4" s="1"/>
  <c r="AE432" i="4"/>
  <c r="AD432" i="4"/>
  <c r="AC432" i="4"/>
  <c r="AB432" i="4"/>
  <c r="AA432" i="4"/>
  <c r="X432" i="4"/>
  <c r="B432" i="4"/>
  <c r="AE431" i="4"/>
  <c r="AD431" i="4"/>
  <c r="AC431" i="4"/>
  <c r="AB431" i="4"/>
  <c r="AA431" i="4"/>
  <c r="X431" i="4"/>
  <c r="B431" i="4"/>
  <c r="AE430" i="4"/>
  <c r="AD430" i="4"/>
  <c r="AC430" i="4"/>
  <c r="AB430" i="4"/>
  <c r="AA430" i="4"/>
  <c r="X430" i="4"/>
  <c r="B430" i="4"/>
  <c r="AD429" i="4"/>
  <c r="AC429" i="4"/>
  <c r="AB429" i="4"/>
  <c r="AA429" i="4"/>
  <c r="F429" i="4"/>
  <c r="AE429" i="4" s="1"/>
  <c r="B429" i="4"/>
  <c r="AD428" i="4"/>
  <c r="AC428" i="4"/>
  <c r="AB428" i="4"/>
  <c r="AA428" i="4"/>
  <c r="F428" i="4"/>
  <c r="B428" i="4"/>
  <c r="AD427" i="4"/>
  <c r="AC427" i="4"/>
  <c r="AB427" i="4"/>
  <c r="AA427" i="4"/>
  <c r="F427" i="4"/>
  <c r="X427" i="4" s="1"/>
  <c r="AD426" i="4"/>
  <c r="AC426" i="4"/>
  <c r="AB426" i="4"/>
  <c r="AA426" i="4"/>
  <c r="F426" i="4"/>
  <c r="AE426" i="4" s="1"/>
  <c r="B426" i="4"/>
  <c r="AE425" i="4"/>
  <c r="AD425" i="4"/>
  <c r="AC425" i="4"/>
  <c r="AB425" i="4"/>
  <c r="AA425" i="4"/>
  <c r="X425" i="4"/>
  <c r="B425" i="4"/>
  <c r="AE424" i="4"/>
  <c r="AD424" i="4"/>
  <c r="AC424" i="4"/>
  <c r="AB424" i="4"/>
  <c r="AA424" i="4"/>
  <c r="X424" i="4"/>
  <c r="B424" i="4"/>
  <c r="AE423" i="4"/>
  <c r="AD423" i="4"/>
  <c r="AC423" i="4"/>
  <c r="AB423" i="4"/>
  <c r="AA423" i="4"/>
  <c r="X423" i="4"/>
  <c r="B423" i="4"/>
  <c r="AE422" i="4"/>
  <c r="AD422" i="4"/>
  <c r="AC422" i="4"/>
  <c r="AB422" i="4"/>
  <c r="AA422" i="4"/>
  <c r="X422" i="4"/>
  <c r="B422" i="4"/>
  <c r="AE421" i="4"/>
  <c r="AD421" i="4"/>
  <c r="AC421" i="4"/>
  <c r="AB421" i="4"/>
  <c r="AA421" i="4"/>
  <c r="X421" i="4"/>
  <c r="B421" i="4"/>
  <c r="AE420" i="4"/>
  <c r="AD420" i="4"/>
  <c r="AC420" i="4"/>
  <c r="AB420" i="4"/>
  <c r="AA420" i="4"/>
  <c r="X420" i="4"/>
  <c r="B420" i="4"/>
  <c r="AE419" i="4"/>
  <c r="AD419" i="4"/>
  <c r="AC419" i="4"/>
  <c r="AB419" i="4"/>
  <c r="AA419" i="4"/>
  <c r="X419" i="4"/>
  <c r="B419" i="4"/>
  <c r="AD418" i="4"/>
  <c r="AC418" i="4"/>
  <c r="AB418" i="4"/>
  <c r="AA418" i="4"/>
  <c r="F418" i="4"/>
  <c r="AE418" i="4" s="1"/>
  <c r="AE417" i="4"/>
  <c r="AD417" i="4"/>
  <c r="AC417" i="4"/>
  <c r="AB417" i="4"/>
  <c r="AA417" i="4"/>
  <c r="F417" i="4"/>
  <c r="X417" i="4" s="1"/>
  <c r="B417" i="4"/>
  <c r="AD416" i="4"/>
  <c r="AC416" i="4"/>
  <c r="AB416" i="4"/>
  <c r="AA416" i="4"/>
  <c r="F416" i="4"/>
  <c r="AD415" i="4"/>
  <c r="AC415" i="4"/>
  <c r="AB415" i="4"/>
  <c r="AA415" i="4"/>
  <c r="F415" i="4"/>
  <c r="AE415" i="4" s="1"/>
  <c r="B415" i="4"/>
  <c r="AE414" i="4"/>
  <c r="AD414" i="4"/>
  <c r="AC414" i="4"/>
  <c r="AB414" i="4"/>
  <c r="AA414" i="4"/>
  <c r="X414" i="4"/>
  <c r="B414" i="4"/>
  <c r="AD413" i="4"/>
  <c r="AC413" i="4"/>
  <c r="AB413" i="4"/>
  <c r="AA413" i="4"/>
  <c r="F413" i="4"/>
  <c r="AE413" i="4" s="1"/>
  <c r="B413" i="4"/>
  <c r="AD412" i="4"/>
  <c r="AC412" i="4"/>
  <c r="AB412" i="4"/>
  <c r="AA412" i="4"/>
  <c r="F412" i="4"/>
  <c r="B412" i="4"/>
  <c r="AD411" i="4"/>
  <c r="AC411" i="4"/>
  <c r="AB411" i="4"/>
  <c r="AA411" i="4"/>
  <c r="F411" i="4"/>
  <c r="X411" i="4" s="1"/>
  <c r="AD410" i="4"/>
  <c r="AC410" i="4"/>
  <c r="AB410" i="4"/>
  <c r="AA410" i="4"/>
  <c r="F410" i="4"/>
  <c r="AE410" i="4" s="1"/>
  <c r="AD409" i="4"/>
  <c r="AC409" i="4"/>
  <c r="AB409" i="4"/>
  <c r="AA409" i="4"/>
  <c r="F409" i="4"/>
  <c r="AD408" i="4"/>
  <c r="AC408" i="4"/>
  <c r="AB408" i="4"/>
  <c r="AA408" i="4"/>
  <c r="F408" i="4"/>
  <c r="X408" i="4" s="1"/>
  <c r="AD407" i="4"/>
  <c r="AC407" i="4"/>
  <c r="AB407" i="4"/>
  <c r="AA407" i="4"/>
  <c r="F407" i="4"/>
  <c r="AE407" i="4" s="1"/>
  <c r="AD406" i="4"/>
  <c r="AC406" i="4"/>
  <c r="AB406" i="4"/>
  <c r="AA406" i="4"/>
  <c r="F406" i="4"/>
  <c r="B406" i="4" s="1"/>
  <c r="AD405" i="4"/>
  <c r="AC405" i="4"/>
  <c r="AB405" i="4"/>
  <c r="AA405" i="4"/>
  <c r="F405" i="4"/>
  <c r="X405" i="4" s="1"/>
  <c r="B405" i="4"/>
  <c r="AD404" i="4"/>
  <c r="AC404" i="4"/>
  <c r="AB404" i="4"/>
  <c r="AA404" i="4"/>
  <c r="F404" i="4"/>
  <c r="AE404" i="4" s="1"/>
  <c r="B404" i="4"/>
  <c r="AD403" i="4"/>
  <c r="AC403" i="4"/>
  <c r="AB403" i="4"/>
  <c r="AA403" i="4"/>
  <c r="F403" i="4"/>
  <c r="B403" i="4"/>
  <c r="AE402" i="4"/>
  <c r="AD402" i="4"/>
  <c r="AC402" i="4"/>
  <c r="AB402" i="4"/>
  <c r="AA402" i="4"/>
  <c r="F402" i="4"/>
  <c r="X402" i="4" s="1"/>
  <c r="B402" i="4"/>
  <c r="AD401" i="4"/>
  <c r="AC401" i="4"/>
  <c r="AB401" i="4"/>
  <c r="AA401" i="4"/>
  <c r="F401" i="4"/>
  <c r="AE401" i="4" s="1"/>
  <c r="B401" i="4"/>
  <c r="AE400" i="4"/>
  <c r="AD400" i="4"/>
  <c r="AC400" i="4"/>
  <c r="AB400" i="4"/>
  <c r="AA400" i="4"/>
  <c r="X400" i="4"/>
  <c r="B400" i="4"/>
  <c r="AD399" i="4"/>
  <c r="AC399" i="4"/>
  <c r="AB399" i="4"/>
  <c r="AA399" i="4"/>
  <c r="F399" i="4"/>
  <c r="X399" i="4" s="1"/>
  <c r="AE398" i="4"/>
  <c r="AD398" i="4"/>
  <c r="AC398" i="4"/>
  <c r="AB398" i="4"/>
  <c r="AA398" i="4"/>
  <c r="X398" i="4"/>
  <c r="B398" i="4"/>
  <c r="AE397" i="4"/>
  <c r="AD397" i="4"/>
  <c r="AC397" i="4"/>
  <c r="AB397" i="4"/>
  <c r="AA397" i="4"/>
  <c r="X397" i="4"/>
  <c r="B397" i="4"/>
  <c r="AE396" i="4"/>
  <c r="AD396" i="4"/>
  <c r="AC396" i="4"/>
  <c r="AB396" i="4"/>
  <c r="AA396" i="4"/>
  <c r="X396" i="4"/>
  <c r="B396" i="4"/>
  <c r="AE395" i="4"/>
  <c r="AD395" i="4"/>
  <c r="AC395" i="4"/>
  <c r="AB395" i="4"/>
  <c r="AA395" i="4"/>
  <c r="X395" i="4"/>
  <c r="B395" i="4"/>
  <c r="AE394" i="4"/>
  <c r="AD394" i="4"/>
  <c r="AC394" i="4"/>
  <c r="AB394" i="4"/>
  <c r="AA394" i="4"/>
  <c r="X394" i="4"/>
  <c r="B394" i="4"/>
  <c r="AE393" i="4"/>
  <c r="AD393" i="4"/>
  <c r="AC393" i="4"/>
  <c r="AB393" i="4"/>
  <c r="AA393" i="4"/>
  <c r="X393" i="4"/>
  <c r="B393" i="4"/>
  <c r="AE392" i="4"/>
  <c r="AD392" i="4"/>
  <c r="AC392" i="4"/>
  <c r="AB392" i="4"/>
  <c r="AA392" i="4"/>
  <c r="X392" i="4"/>
  <c r="B392" i="4"/>
  <c r="AE391" i="4"/>
  <c r="AD391" i="4"/>
  <c r="AC391" i="4"/>
  <c r="AB391" i="4"/>
  <c r="AA391" i="4"/>
  <c r="X391" i="4"/>
  <c r="B391" i="4"/>
  <c r="AE390" i="4"/>
  <c r="AD390" i="4"/>
  <c r="AC390" i="4"/>
  <c r="AB390" i="4"/>
  <c r="AA390" i="4"/>
  <c r="X390" i="4"/>
  <c r="B390" i="4"/>
  <c r="AE389" i="4"/>
  <c r="AD389" i="4"/>
  <c r="AC389" i="4"/>
  <c r="AB389" i="4"/>
  <c r="AA389" i="4"/>
  <c r="X389" i="4"/>
  <c r="B389" i="4"/>
  <c r="AE388" i="4"/>
  <c r="AD388" i="4"/>
  <c r="AC388" i="4"/>
  <c r="AB388" i="4"/>
  <c r="AA388" i="4"/>
  <c r="X388" i="4"/>
  <c r="B388" i="4"/>
  <c r="AE387" i="4"/>
  <c r="AD387" i="4"/>
  <c r="AC387" i="4"/>
  <c r="AB387" i="4"/>
  <c r="AA387" i="4"/>
  <c r="X387" i="4"/>
  <c r="B387" i="4"/>
  <c r="AE386" i="4"/>
  <c r="AD386" i="4"/>
  <c r="AC386" i="4"/>
  <c r="AB386" i="4"/>
  <c r="AA386" i="4"/>
  <c r="X386" i="4"/>
  <c r="B386" i="4"/>
  <c r="AE385" i="4"/>
  <c r="AD385" i="4"/>
  <c r="AC385" i="4"/>
  <c r="AB385" i="4"/>
  <c r="AA385" i="4"/>
  <c r="X385" i="4"/>
  <c r="B385" i="4"/>
  <c r="AE384" i="4"/>
  <c r="AD384" i="4"/>
  <c r="AC384" i="4"/>
  <c r="AB384" i="4"/>
  <c r="AA384" i="4"/>
  <c r="X384" i="4"/>
  <c r="B384" i="4"/>
  <c r="AE383" i="4"/>
  <c r="AD383" i="4"/>
  <c r="AC383" i="4"/>
  <c r="AB383" i="4"/>
  <c r="AA383" i="4"/>
  <c r="X383" i="4"/>
  <c r="B383" i="4"/>
  <c r="AE382" i="4"/>
  <c r="AD382" i="4"/>
  <c r="AC382" i="4"/>
  <c r="AB382" i="4"/>
  <c r="AA382" i="4"/>
  <c r="X382" i="4"/>
  <c r="B382" i="4"/>
  <c r="AE381" i="4"/>
  <c r="AD381" i="4"/>
  <c r="AC381" i="4"/>
  <c r="AB381" i="4"/>
  <c r="AA381" i="4"/>
  <c r="X381" i="4"/>
  <c r="B381" i="4"/>
  <c r="AE380" i="4"/>
  <c r="AD380" i="4"/>
  <c r="AC380" i="4"/>
  <c r="AB380" i="4"/>
  <c r="AA380" i="4"/>
  <c r="X380" i="4"/>
  <c r="B380" i="4"/>
  <c r="AE379" i="4"/>
  <c r="AD379" i="4"/>
  <c r="AC379" i="4"/>
  <c r="AB379" i="4"/>
  <c r="AA379" i="4"/>
  <c r="X379" i="4"/>
  <c r="B379" i="4"/>
  <c r="AE378" i="4"/>
  <c r="AD378" i="4"/>
  <c r="AC378" i="4"/>
  <c r="AB378" i="4"/>
  <c r="AA378" i="4"/>
  <c r="X378" i="4"/>
  <c r="B378" i="4"/>
  <c r="AE377" i="4"/>
  <c r="AD377" i="4"/>
  <c r="AC377" i="4"/>
  <c r="AB377" i="4"/>
  <c r="AA377" i="4"/>
  <c r="X377" i="4"/>
  <c r="B377" i="4"/>
  <c r="AE376" i="4"/>
  <c r="AD376" i="4"/>
  <c r="AC376" i="4"/>
  <c r="AB376" i="4"/>
  <c r="AA376" i="4"/>
  <c r="X376" i="4"/>
  <c r="B376" i="4"/>
  <c r="AE375" i="4"/>
  <c r="AD375" i="4"/>
  <c r="AC375" i="4"/>
  <c r="AB375" i="4"/>
  <c r="AA375" i="4"/>
  <c r="X375" i="4"/>
  <c r="B375" i="4"/>
  <c r="AE374" i="4"/>
  <c r="AD374" i="4"/>
  <c r="AC374" i="4"/>
  <c r="AB374" i="4"/>
  <c r="AA374" i="4"/>
  <c r="X374" i="4"/>
  <c r="B374" i="4"/>
  <c r="AE373" i="4"/>
  <c r="AD373" i="4"/>
  <c r="AC373" i="4"/>
  <c r="AB373" i="4"/>
  <c r="AA373" i="4"/>
  <c r="X373" i="4"/>
  <c r="B373" i="4"/>
  <c r="AE372" i="4"/>
  <c r="AD372" i="4"/>
  <c r="AC372" i="4"/>
  <c r="AB372" i="4"/>
  <c r="AA372" i="4"/>
  <c r="X372" i="4"/>
  <c r="B372" i="4"/>
  <c r="AE371" i="4"/>
  <c r="AD371" i="4"/>
  <c r="AC371" i="4"/>
  <c r="AB371" i="4"/>
  <c r="AA371" i="4"/>
  <c r="X371" i="4"/>
  <c r="B371" i="4"/>
  <c r="AE370" i="4"/>
  <c r="AD370" i="4"/>
  <c r="AC370" i="4"/>
  <c r="AB370" i="4"/>
  <c r="AA370" i="4"/>
  <c r="X370" i="4"/>
  <c r="B370" i="4"/>
  <c r="AE369" i="4"/>
  <c r="AD369" i="4"/>
  <c r="AC369" i="4"/>
  <c r="AB369" i="4"/>
  <c r="AA369" i="4"/>
  <c r="X369" i="4"/>
  <c r="B369" i="4"/>
  <c r="AE368" i="4"/>
  <c r="AD368" i="4"/>
  <c r="AC368" i="4"/>
  <c r="AB368" i="4"/>
  <c r="AA368" i="4"/>
  <c r="X368" i="4"/>
  <c r="B368" i="4"/>
  <c r="AE367" i="4"/>
  <c r="AD367" i="4"/>
  <c r="AC367" i="4"/>
  <c r="AB367" i="4"/>
  <c r="AA367" i="4"/>
  <c r="X367" i="4"/>
  <c r="B367" i="4"/>
  <c r="AE366" i="4"/>
  <c r="AD366" i="4"/>
  <c r="AC366" i="4"/>
  <c r="AB366" i="4"/>
  <c r="AA366" i="4"/>
  <c r="X366" i="4"/>
  <c r="B366" i="4"/>
  <c r="AE365" i="4"/>
  <c r="AD365" i="4"/>
  <c r="AC365" i="4"/>
  <c r="AB365" i="4"/>
  <c r="AA365" i="4"/>
  <c r="X365" i="4"/>
  <c r="B365" i="4"/>
  <c r="AE364" i="4"/>
  <c r="AD364" i="4"/>
  <c r="AC364" i="4"/>
  <c r="AB364" i="4"/>
  <c r="AA364" i="4"/>
  <c r="X364" i="4"/>
  <c r="B364" i="4"/>
  <c r="AE363" i="4"/>
  <c r="AD363" i="4"/>
  <c r="AC363" i="4"/>
  <c r="AB363" i="4"/>
  <c r="AA363" i="4"/>
  <c r="X363" i="4"/>
  <c r="B363" i="4"/>
  <c r="AE362" i="4"/>
  <c r="AD362" i="4"/>
  <c r="AC362" i="4"/>
  <c r="AB362" i="4"/>
  <c r="AA362" i="4"/>
  <c r="X362" i="4"/>
  <c r="B362" i="4"/>
  <c r="AE361" i="4"/>
  <c r="AD361" i="4"/>
  <c r="AC361" i="4"/>
  <c r="AB361" i="4"/>
  <c r="AA361" i="4"/>
  <c r="X361" i="4"/>
  <c r="B361" i="4"/>
  <c r="AE360" i="4"/>
  <c r="AD360" i="4"/>
  <c r="AC360" i="4"/>
  <c r="AB360" i="4"/>
  <c r="AA360" i="4"/>
  <c r="X360" i="4"/>
  <c r="B360" i="4"/>
  <c r="AE359" i="4"/>
  <c r="AD359" i="4"/>
  <c r="AC359" i="4"/>
  <c r="AB359" i="4"/>
  <c r="AA359" i="4"/>
  <c r="X359" i="4"/>
  <c r="B359" i="4"/>
  <c r="AE358" i="4"/>
  <c r="AD358" i="4"/>
  <c r="AC358" i="4"/>
  <c r="AB358" i="4"/>
  <c r="AA358" i="4"/>
  <c r="X358" i="4"/>
  <c r="B358" i="4"/>
  <c r="AE357" i="4"/>
  <c r="AD357" i="4"/>
  <c r="AC357" i="4"/>
  <c r="AB357" i="4"/>
  <c r="AA357" i="4"/>
  <c r="X357" i="4"/>
  <c r="B357" i="4"/>
  <c r="AE356" i="4"/>
  <c r="AD356" i="4"/>
  <c r="AC356" i="4"/>
  <c r="AB356" i="4"/>
  <c r="AA356" i="4"/>
  <c r="X356" i="4"/>
  <c r="B356" i="4"/>
  <c r="AE355" i="4"/>
  <c r="AD355" i="4"/>
  <c r="AC355" i="4"/>
  <c r="AB355" i="4"/>
  <c r="AA355" i="4"/>
  <c r="X355" i="4"/>
  <c r="B355" i="4"/>
  <c r="AE354" i="4"/>
  <c r="AD354" i="4"/>
  <c r="AC354" i="4"/>
  <c r="AB354" i="4"/>
  <c r="AA354" i="4"/>
  <c r="X354" i="4"/>
  <c r="B354" i="4"/>
  <c r="AE353" i="4"/>
  <c r="AD353" i="4"/>
  <c r="AC353" i="4"/>
  <c r="AB353" i="4"/>
  <c r="AA353" i="4"/>
  <c r="X353" i="4"/>
  <c r="B353" i="4"/>
  <c r="AE352" i="4"/>
  <c r="AD352" i="4"/>
  <c r="AC352" i="4"/>
  <c r="AB352" i="4"/>
  <c r="AA352" i="4"/>
  <c r="X352" i="4"/>
  <c r="B352" i="4"/>
  <c r="AE351" i="4"/>
  <c r="AD351" i="4"/>
  <c r="AC351" i="4"/>
  <c r="AB351" i="4"/>
  <c r="AA351" i="4"/>
  <c r="X351" i="4"/>
  <c r="B351" i="4"/>
  <c r="AE350" i="4"/>
  <c r="AD350" i="4"/>
  <c r="AC350" i="4"/>
  <c r="AB350" i="4"/>
  <c r="AA350" i="4"/>
  <c r="X350" i="4"/>
  <c r="B350" i="4"/>
  <c r="AE349" i="4"/>
  <c r="AD349" i="4"/>
  <c r="AC349" i="4"/>
  <c r="AB349" i="4"/>
  <c r="AA349" i="4"/>
  <c r="X349" i="4"/>
  <c r="B349" i="4"/>
  <c r="AE348" i="4"/>
  <c r="AD348" i="4"/>
  <c r="AC348" i="4"/>
  <c r="AB348" i="4"/>
  <c r="AA348" i="4"/>
  <c r="X348" i="4"/>
  <c r="B348" i="4"/>
  <c r="AE347" i="4"/>
  <c r="AD347" i="4"/>
  <c r="AC347" i="4"/>
  <c r="AB347" i="4"/>
  <c r="AA347" i="4"/>
  <c r="X347" i="4"/>
  <c r="B347" i="4"/>
  <c r="AE346" i="4"/>
  <c r="AD346" i="4"/>
  <c r="AC346" i="4"/>
  <c r="AB346" i="4"/>
  <c r="AA346" i="4"/>
  <c r="X346" i="4"/>
  <c r="B346" i="4"/>
  <c r="AE345" i="4"/>
  <c r="AD345" i="4"/>
  <c r="AC345" i="4"/>
  <c r="AB345" i="4"/>
  <c r="AA345" i="4"/>
  <c r="X345" i="4"/>
  <c r="B345" i="4"/>
  <c r="AE344" i="4"/>
  <c r="AD344" i="4"/>
  <c r="AC344" i="4"/>
  <c r="AB344" i="4"/>
  <c r="AA344" i="4"/>
  <c r="X344" i="4"/>
  <c r="B344" i="4"/>
  <c r="AE343" i="4"/>
  <c r="AD343" i="4"/>
  <c r="AC343" i="4"/>
  <c r="AB343" i="4"/>
  <c r="AA343" i="4"/>
  <c r="X343" i="4"/>
  <c r="B343" i="4"/>
  <c r="AE342" i="4"/>
  <c r="AD342" i="4"/>
  <c r="AC342" i="4"/>
  <c r="AB342" i="4"/>
  <c r="AA342" i="4"/>
  <c r="X342" i="4"/>
  <c r="B342" i="4"/>
  <c r="AE341" i="4"/>
  <c r="AD341" i="4"/>
  <c r="AC341" i="4"/>
  <c r="AB341" i="4"/>
  <c r="AA341" i="4"/>
  <c r="X341" i="4"/>
  <c r="B341" i="4"/>
  <c r="AE340" i="4"/>
  <c r="AD340" i="4"/>
  <c r="AC340" i="4"/>
  <c r="AB340" i="4"/>
  <c r="AA340" i="4"/>
  <c r="X340" i="4"/>
  <c r="B340" i="4"/>
  <c r="AE339" i="4"/>
  <c r="AD339" i="4"/>
  <c r="AC339" i="4"/>
  <c r="AB339" i="4"/>
  <c r="AA339" i="4"/>
  <c r="X339" i="4"/>
  <c r="B339" i="4"/>
  <c r="AE338" i="4"/>
  <c r="AD338" i="4"/>
  <c r="AC338" i="4"/>
  <c r="AB338" i="4"/>
  <c r="AA338" i="4"/>
  <c r="X338" i="4"/>
  <c r="B338" i="4"/>
  <c r="AE337" i="4"/>
  <c r="AD337" i="4"/>
  <c r="AC337" i="4"/>
  <c r="AB337" i="4"/>
  <c r="AA337" i="4"/>
  <c r="X337" i="4"/>
  <c r="B337" i="4"/>
  <c r="AE336" i="4"/>
  <c r="AD336" i="4"/>
  <c r="AC336" i="4"/>
  <c r="AB336" i="4"/>
  <c r="AA336" i="4"/>
  <c r="X336" i="4"/>
  <c r="B336" i="4"/>
  <c r="AE335" i="4"/>
  <c r="AD335" i="4"/>
  <c r="AC335" i="4"/>
  <c r="AB335" i="4"/>
  <c r="AA335" i="4"/>
  <c r="X335" i="4"/>
  <c r="B335" i="4"/>
  <c r="AE334" i="4"/>
  <c r="AB334" i="4"/>
  <c r="AA334" i="4"/>
  <c r="X334" i="4"/>
  <c r="B334" i="4"/>
  <c r="AE333" i="4"/>
  <c r="AB333" i="4"/>
  <c r="AA333" i="4"/>
  <c r="X333" i="4"/>
  <c r="B333" i="4"/>
  <c r="AE332" i="4"/>
  <c r="AD332" i="4"/>
  <c r="AC332" i="4"/>
  <c r="AB332" i="4"/>
  <c r="AA332" i="4"/>
  <c r="X332" i="4"/>
  <c r="B332" i="4"/>
  <c r="AE331" i="4"/>
  <c r="AD331" i="4"/>
  <c r="AC331" i="4"/>
  <c r="AB331" i="4"/>
  <c r="AA331" i="4"/>
  <c r="X331" i="4"/>
  <c r="B331" i="4"/>
  <c r="AE330" i="4"/>
  <c r="AD330" i="4"/>
  <c r="AC330" i="4"/>
  <c r="AB330" i="4"/>
  <c r="AA330" i="4"/>
  <c r="X330" i="4"/>
  <c r="B330" i="4"/>
  <c r="AE329" i="4"/>
  <c r="AD329" i="4"/>
  <c r="AC329" i="4"/>
  <c r="AB329" i="4"/>
  <c r="AA329" i="4"/>
  <c r="X329" i="4"/>
  <c r="B329" i="4"/>
  <c r="AE328" i="4"/>
  <c r="AD328" i="4"/>
  <c r="AC328" i="4"/>
  <c r="AB328" i="4"/>
  <c r="AA328" i="4"/>
  <c r="X328" i="4"/>
  <c r="B328" i="4"/>
  <c r="AE327" i="4"/>
  <c r="AD327" i="4"/>
  <c r="AC327" i="4"/>
  <c r="AB327" i="4"/>
  <c r="AA327" i="4"/>
  <c r="X327" i="4"/>
  <c r="B327" i="4"/>
  <c r="AE326" i="4"/>
  <c r="AD326" i="4"/>
  <c r="AC326" i="4"/>
  <c r="AB326" i="4"/>
  <c r="AA326" i="4"/>
  <c r="X326" i="4"/>
  <c r="B326" i="4"/>
  <c r="AE325" i="4"/>
  <c r="AB325" i="4"/>
  <c r="AA325" i="4"/>
  <c r="X325" i="4"/>
  <c r="B325" i="4"/>
  <c r="AE324" i="4"/>
  <c r="AD324" i="4"/>
  <c r="AC324" i="4"/>
  <c r="AB324" i="4"/>
  <c r="AA324" i="4"/>
  <c r="X324" i="4"/>
  <c r="B324" i="4"/>
  <c r="AE323" i="4"/>
  <c r="AD323" i="4"/>
  <c r="AC323" i="4"/>
  <c r="AB323" i="4"/>
  <c r="AA323" i="4"/>
  <c r="X323" i="4"/>
  <c r="B323" i="4"/>
  <c r="AE322" i="4"/>
  <c r="AD322" i="4"/>
  <c r="AC322" i="4"/>
  <c r="AB322" i="4"/>
  <c r="AA322" i="4"/>
  <c r="X322" i="4"/>
  <c r="B322" i="4"/>
  <c r="AE321" i="4"/>
  <c r="AD321" i="4"/>
  <c r="AC321" i="4"/>
  <c r="AB321" i="4"/>
  <c r="AA321" i="4"/>
  <c r="X321" i="4"/>
  <c r="B321" i="4"/>
  <c r="AE320" i="4"/>
  <c r="AD320" i="4"/>
  <c r="AC320" i="4"/>
  <c r="AB320" i="4"/>
  <c r="AA320" i="4"/>
  <c r="X320" i="4"/>
  <c r="B320" i="4"/>
  <c r="AE319" i="4"/>
  <c r="AD319" i="4"/>
  <c r="AC319" i="4"/>
  <c r="AB319" i="4"/>
  <c r="AA319" i="4"/>
  <c r="X319" i="4"/>
  <c r="B319" i="4"/>
  <c r="AE318" i="4"/>
  <c r="AD318" i="4"/>
  <c r="AC318" i="4"/>
  <c r="AB318" i="4"/>
  <c r="AA318" i="4"/>
  <c r="X318" i="4"/>
  <c r="B318" i="4"/>
  <c r="AE317" i="4"/>
  <c r="AD317" i="4"/>
  <c r="AC317" i="4"/>
  <c r="AB317" i="4"/>
  <c r="AA317" i="4"/>
  <c r="X317" i="4"/>
  <c r="B317" i="4"/>
  <c r="AE316" i="4"/>
  <c r="AD316" i="4"/>
  <c r="AC316" i="4"/>
  <c r="AB316" i="4"/>
  <c r="AA316" i="4"/>
  <c r="X316" i="4"/>
  <c r="B316" i="4"/>
  <c r="AE315" i="4"/>
  <c r="AD315" i="4"/>
  <c r="AC315" i="4"/>
  <c r="AB315" i="4"/>
  <c r="AA315" i="4"/>
  <c r="X315" i="4"/>
  <c r="B315" i="4"/>
  <c r="AE314" i="4"/>
  <c r="AD314" i="4"/>
  <c r="AC314" i="4"/>
  <c r="AB314" i="4"/>
  <c r="AA314" i="4"/>
  <c r="X314" i="4"/>
  <c r="B314" i="4"/>
  <c r="AE313" i="4"/>
  <c r="AD313" i="4"/>
  <c r="AC313" i="4"/>
  <c r="AB313" i="4"/>
  <c r="AA313" i="4"/>
  <c r="G313" i="4"/>
  <c r="X313" i="4" s="1"/>
  <c r="AD312" i="4"/>
  <c r="AC312" i="4"/>
  <c r="AB312" i="4"/>
  <c r="AA312" i="4"/>
  <c r="F312" i="4"/>
  <c r="B312" i="4" s="1"/>
  <c r="AD311" i="4"/>
  <c r="AC311" i="4"/>
  <c r="AB311" i="4"/>
  <c r="AA311" i="4"/>
  <c r="F311" i="4"/>
  <c r="X311" i="4" s="1"/>
  <c r="B311" i="4"/>
  <c r="AD310" i="4"/>
  <c r="AC310" i="4"/>
  <c r="AB310" i="4"/>
  <c r="AA310" i="4"/>
  <c r="F310" i="4"/>
  <c r="AE310" i="4" s="1"/>
  <c r="B310" i="4"/>
  <c r="AE309" i="4"/>
  <c r="AD309" i="4"/>
  <c r="AC309" i="4"/>
  <c r="AB309" i="4"/>
  <c r="AA309" i="4"/>
  <c r="X309" i="4"/>
  <c r="B309" i="4"/>
  <c r="AE308" i="4"/>
  <c r="AD308" i="4"/>
  <c r="AC308" i="4"/>
  <c r="AB308" i="4"/>
  <c r="AA308" i="4"/>
  <c r="X308" i="4"/>
  <c r="B308" i="4"/>
  <c r="AE307" i="4"/>
  <c r="AD307" i="4"/>
  <c r="AC307" i="4"/>
  <c r="AB307" i="4"/>
  <c r="AA307" i="4"/>
  <c r="X307" i="4"/>
  <c r="B307" i="4"/>
  <c r="AE306" i="4"/>
  <c r="AD306" i="4"/>
  <c r="AC306" i="4"/>
  <c r="AB306" i="4"/>
  <c r="AA306" i="4"/>
  <c r="X306" i="4"/>
  <c r="B306" i="4"/>
  <c r="AE305" i="4"/>
  <c r="AD305" i="4"/>
  <c r="AC305" i="4"/>
  <c r="AB305" i="4"/>
  <c r="AA305" i="4"/>
  <c r="X305" i="4"/>
  <c r="B305" i="4"/>
  <c r="AE304" i="4"/>
  <c r="AD304" i="4"/>
  <c r="AC304" i="4"/>
  <c r="AB304" i="4"/>
  <c r="AA304" i="4"/>
  <c r="X304" i="4"/>
  <c r="B304" i="4"/>
  <c r="AE303" i="4"/>
  <c r="AD303" i="4"/>
  <c r="AC303" i="4"/>
  <c r="AB303" i="4"/>
  <c r="AA303" i="4"/>
  <c r="X303" i="4"/>
  <c r="B303" i="4"/>
  <c r="AE302" i="4"/>
  <c r="AD302" i="4"/>
  <c r="AC302" i="4"/>
  <c r="AB302" i="4"/>
  <c r="AA302" i="4"/>
  <c r="X302" i="4"/>
  <c r="B302" i="4"/>
  <c r="AE301" i="4"/>
  <c r="AD301" i="4"/>
  <c r="AC301" i="4"/>
  <c r="AB301" i="4"/>
  <c r="AA301" i="4"/>
  <c r="X301" i="4"/>
  <c r="B301" i="4"/>
  <c r="AE300" i="4"/>
  <c r="AD300" i="4"/>
  <c r="AC300" i="4"/>
  <c r="AB300" i="4"/>
  <c r="AA300" i="4"/>
  <c r="X300" i="4"/>
  <c r="B300" i="4"/>
  <c r="AE299" i="4"/>
  <c r="AD299" i="4"/>
  <c r="AC299" i="4"/>
  <c r="AB299" i="4"/>
  <c r="AA299" i="4"/>
  <c r="X299" i="4"/>
  <c r="B299" i="4"/>
  <c r="AD298" i="4"/>
  <c r="AC298" i="4"/>
  <c r="AB298" i="4"/>
  <c r="AA298" i="4"/>
  <c r="F298" i="4"/>
  <c r="X298" i="4" s="1"/>
  <c r="AD297" i="4"/>
  <c r="AC297" i="4"/>
  <c r="AB297" i="4"/>
  <c r="AA297" i="4"/>
  <c r="F297" i="4"/>
  <c r="AE297" i="4" s="1"/>
  <c r="B297" i="4"/>
  <c r="AE296" i="4"/>
  <c r="AD296" i="4"/>
  <c r="AC296" i="4"/>
  <c r="AB296" i="4"/>
  <c r="AA296" i="4"/>
  <c r="F296" i="4"/>
  <c r="X296" i="4" s="1"/>
  <c r="B296" i="4"/>
  <c r="AD295" i="4"/>
  <c r="AC295" i="4"/>
  <c r="AB295" i="4"/>
  <c r="AA295" i="4"/>
  <c r="F295" i="4"/>
  <c r="AD294" i="4"/>
  <c r="AC294" i="4"/>
  <c r="AB294" i="4"/>
  <c r="AA294" i="4"/>
  <c r="F294" i="4"/>
  <c r="AE294" i="4" s="1"/>
  <c r="B294" i="4"/>
  <c r="AD293" i="4"/>
  <c r="AC293" i="4"/>
  <c r="AB293" i="4"/>
  <c r="AA293" i="4"/>
  <c r="F293" i="4"/>
  <c r="X293" i="4" s="1"/>
  <c r="B293" i="4"/>
  <c r="AE292" i="4"/>
  <c r="AD292" i="4"/>
  <c r="AC292" i="4"/>
  <c r="AB292" i="4"/>
  <c r="AA292" i="4"/>
  <c r="X292" i="4"/>
  <c r="B292" i="4"/>
  <c r="AE291" i="4"/>
  <c r="AD291" i="4"/>
  <c r="AC291" i="4"/>
  <c r="AB291" i="4"/>
  <c r="AA291" i="4"/>
  <c r="X291" i="4"/>
  <c r="B291" i="4"/>
  <c r="AE290" i="4"/>
  <c r="AD290" i="4"/>
  <c r="AC290" i="4"/>
  <c r="AB290" i="4"/>
  <c r="AA290" i="4"/>
  <c r="X290" i="4"/>
  <c r="B290" i="4"/>
  <c r="AE289" i="4"/>
  <c r="X289" i="4"/>
  <c r="B289" i="4"/>
  <c r="AE288" i="4"/>
  <c r="AD288" i="4"/>
  <c r="AC288" i="4"/>
  <c r="AB288" i="4"/>
  <c r="AA288" i="4"/>
  <c r="X288" i="4"/>
  <c r="B288" i="4"/>
  <c r="AE287" i="4"/>
  <c r="AD287" i="4"/>
  <c r="AC287" i="4"/>
  <c r="AB287" i="4"/>
  <c r="AA287" i="4"/>
  <c r="X287" i="4"/>
  <c r="B287" i="4"/>
  <c r="AE286" i="4"/>
  <c r="AD286" i="4"/>
  <c r="AC286" i="4"/>
  <c r="AB286" i="4"/>
  <c r="AA286" i="4"/>
  <c r="X286" i="4"/>
  <c r="B286" i="4"/>
  <c r="AE285" i="4"/>
  <c r="AD285" i="4"/>
  <c r="AC285" i="4"/>
  <c r="AB285" i="4"/>
  <c r="AA285" i="4"/>
  <c r="X285" i="4"/>
  <c r="B285" i="4"/>
  <c r="AE284" i="4"/>
  <c r="AD284" i="4"/>
  <c r="AC284" i="4"/>
  <c r="AB284" i="4"/>
  <c r="AA284" i="4"/>
  <c r="X284" i="4"/>
  <c r="B284" i="4"/>
  <c r="AE283" i="4"/>
  <c r="AD283" i="4"/>
  <c r="AC283" i="4"/>
  <c r="AB283" i="4"/>
  <c r="AA283" i="4"/>
  <c r="X283" i="4"/>
  <c r="B283" i="4"/>
  <c r="AE282" i="4"/>
  <c r="AD282" i="4"/>
  <c r="AC282" i="4"/>
  <c r="AB282" i="4"/>
  <c r="AA282" i="4"/>
  <c r="X282" i="4"/>
  <c r="B282" i="4"/>
  <c r="AE281" i="4"/>
  <c r="AD281" i="4"/>
  <c r="AC281" i="4"/>
  <c r="AB281" i="4"/>
  <c r="AA281" i="4"/>
  <c r="X281" i="4"/>
  <c r="B281" i="4"/>
  <c r="AE280" i="4"/>
  <c r="AD280" i="4"/>
  <c r="AC280" i="4"/>
  <c r="AB280" i="4"/>
  <c r="AA280" i="4"/>
  <c r="X280" i="4"/>
  <c r="B280" i="4"/>
  <c r="AE279" i="4"/>
  <c r="AD279" i="4"/>
  <c r="AC279" i="4"/>
  <c r="AB279" i="4"/>
  <c r="AA279" i="4"/>
  <c r="X279" i="4"/>
  <c r="B279" i="4"/>
  <c r="AE278" i="4"/>
  <c r="AD278" i="4"/>
  <c r="AC278" i="4"/>
  <c r="AB278" i="4"/>
  <c r="AA278" i="4"/>
  <c r="X278" i="4"/>
  <c r="B278" i="4"/>
  <c r="AE277" i="4"/>
  <c r="AD277" i="4"/>
  <c r="AC277" i="4"/>
  <c r="AB277" i="4"/>
  <c r="AA277" i="4"/>
  <c r="X277" i="4"/>
  <c r="B277" i="4"/>
  <c r="AE276" i="4"/>
  <c r="AD276" i="4"/>
  <c r="AC276" i="4"/>
  <c r="AB276" i="4"/>
  <c r="AA276" i="4"/>
  <c r="X276" i="4"/>
  <c r="B276" i="4"/>
  <c r="AE275" i="4"/>
  <c r="AD275" i="4"/>
  <c r="AC275" i="4"/>
  <c r="AB275" i="4"/>
  <c r="AA275" i="4"/>
  <c r="X275" i="4"/>
  <c r="B275" i="4"/>
  <c r="AE274" i="4"/>
  <c r="AD274" i="4"/>
  <c r="AC274" i="4"/>
  <c r="AB274" i="4"/>
  <c r="AA274" i="4"/>
  <c r="X274" i="4"/>
  <c r="B274" i="4"/>
  <c r="AE273" i="4"/>
  <c r="AD273" i="4"/>
  <c r="AC273" i="4"/>
  <c r="AB273" i="4"/>
  <c r="AA273" i="4"/>
  <c r="X273" i="4"/>
  <c r="B273" i="4"/>
  <c r="AE272" i="4"/>
  <c r="AD272" i="4"/>
  <c r="AC272" i="4"/>
  <c r="AB272" i="4"/>
  <c r="AA272" i="4"/>
  <c r="X272" i="4"/>
  <c r="B272" i="4"/>
  <c r="AE271" i="4"/>
  <c r="AD271" i="4"/>
  <c r="AC271" i="4"/>
  <c r="AB271" i="4"/>
  <c r="AA271" i="4"/>
  <c r="X271" i="4"/>
  <c r="B271" i="4"/>
  <c r="AE270" i="4"/>
  <c r="AD270" i="4"/>
  <c r="AC270" i="4"/>
  <c r="AB270" i="4"/>
  <c r="AA270" i="4"/>
  <c r="X270" i="4"/>
  <c r="B270" i="4"/>
  <c r="AE269" i="4"/>
  <c r="AD269" i="4"/>
  <c r="AC269" i="4"/>
  <c r="AB269" i="4"/>
  <c r="AA269" i="4"/>
  <c r="X269" i="4"/>
  <c r="B269" i="4"/>
  <c r="AE268" i="4"/>
  <c r="AD268" i="4"/>
  <c r="AC268" i="4"/>
  <c r="AB268" i="4"/>
  <c r="AA268" i="4"/>
  <c r="X268" i="4"/>
  <c r="B268" i="4"/>
  <c r="AE267" i="4"/>
  <c r="AD267" i="4"/>
  <c r="AC267" i="4"/>
  <c r="AB267" i="4"/>
  <c r="AA267" i="4"/>
  <c r="X267" i="4"/>
  <c r="B267" i="4"/>
  <c r="AE266" i="4"/>
  <c r="AD266" i="4"/>
  <c r="AC266" i="4"/>
  <c r="AB266" i="4"/>
  <c r="AA266" i="4"/>
  <c r="X266" i="4"/>
  <c r="B266" i="4"/>
  <c r="AE265" i="4"/>
  <c r="AD265" i="4"/>
  <c r="AC265" i="4"/>
  <c r="AB265" i="4"/>
  <c r="AA265" i="4"/>
  <c r="X265" i="4"/>
  <c r="B265" i="4"/>
  <c r="AE264" i="4"/>
  <c r="AD264" i="4"/>
  <c r="AC264" i="4"/>
  <c r="AB264" i="4"/>
  <c r="AA264" i="4"/>
  <c r="X264" i="4"/>
  <c r="B264" i="4"/>
  <c r="AE263" i="4"/>
  <c r="AD263" i="4"/>
  <c r="AC263" i="4"/>
  <c r="AB263" i="4"/>
  <c r="AA263" i="4"/>
  <c r="X263" i="4"/>
  <c r="B263" i="4"/>
  <c r="AE262" i="4"/>
  <c r="AD262" i="4"/>
  <c r="AC262" i="4"/>
  <c r="AB262" i="4"/>
  <c r="AA262" i="4"/>
  <c r="X262" i="4"/>
  <c r="B262" i="4"/>
  <c r="AE261" i="4"/>
  <c r="AD261" i="4"/>
  <c r="AC261" i="4"/>
  <c r="AB261" i="4"/>
  <c r="AA261" i="4"/>
  <c r="X261" i="4"/>
  <c r="B261" i="4"/>
  <c r="AE260" i="4"/>
  <c r="AD260" i="4"/>
  <c r="AC260" i="4"/>
  <c r="AB260" i="4"/>
  <c r="AA260" i="4"/>
  <c r="X260" i="4"/>
  <c r="B260" i="4"/>
  <c r="AE259" i="4"/>
  <c r="AD259" i="4"/>
  <c r="AC259" i="4"/>
  <c r="AB259" i="4"/>
  <c r="AA259" i="4"/>
  <c r="X259" i="4"/>
  <c r="B259" i="4"/>
  <c r="AE258" i="4"/>
  <c r="AD258" i="4"/>
  <c r="AC258" i="4"/>
  <c r="AB258" i="4"/>
  <c r="AA258" i="4"/>
  <c r="X258" i="4"/>
  <c r="B258" i="4"/>
  <c r="AE257" i="4"/>
  <c r="AD257" i="4"/>
  <c r="AC257" i="4"/>
  <c r="AB257" i="4"/>
  <c r="AA257" i="4"/>
  <c r="X257" i="4"/>
  <c r="B257" i="4"/>
  <c r="AE256" i="4"/>
  <c r="AD256" i="4"/>
  <c r="AC256" i="4"/>
  <c r="AB256" i="4"/>
  <c r="AA256" i="4"/>
  <c r="X256" i="4"/>
  <c r="B256" i="4"/>
  <c r="AE255" i="4"/>
  <c r="AB255" i="4"/>
  <c r="AA255" i="4"/>
  <c r="X255" i="4"/>
  <c r="B255" i="4"/>
  <c r="AE254" i="4"/>
  <c r="AB254" i="4"/>
  <c r="AA254" i="4"/>
  <c r="X254" i="4"/>
  <c r="B254" i="4"/>
  <c r="AE253" i="4"/>
  <c r="AD253" i="4"/>
  <c r="AC253" i="4"/>
  <c r="AB253" i="4"/>
  <c r="AA253" i="4"/>
  <c r="X253" i="4"/>
  <c r="B253" i="4"/>
  <c r="AE252" i="4"/>
  <c r="AD252" i="4"/>
  <c r="AC252" i="4"/>
  <c r="AB252" i="4"/>
  <c r="AA252" i="4"/>
  <c r="X252" i="4"/>
  <c r="B252" i="4"/>
  <c r="AE251" i="4"/>
  <c r="AD251" i="4"/>
  <c r="AC251" i="4"/>
  <c r="AB251" i="4"/>
  <c r="AA251" i="4"/>
  <c r="X251" i="4"/>
  <c r="B251" i="4"/>
  <c r="AE250" i="4"/>
  <c r="AD250" i="4"/>
  <c r="AC250" i="4"/>
  <c r="AB250" i="4"/>
  <c r="AA250" i="4"/>
  <c r="X250" i="4"/>
  <c r="B250" i="4"/>
  <c r="AE249" i="4"/>
  <c r="AD249" i="4"/>
  <c r="AC249" i="4"/>
  <c r="AB249" i="4"/>
  <c r="AA249" i="4"/>
  <c r="X249" i="4"/>
  <c r="B249" i="4"/>
  <c r="AE248" i="4"/>
  <c r="AD248" i="4"/>
  <c r="AC248" i="4"/>
  <c r="AB248" i="4"/>
  <c r="AA248" i="4"/>
  <c r="X248" i="4"/>
  <c r="B248" i="4"/>
  <c r="AE247" i="4"/>
  <c r="AD247" i="4"/>
  <c r="AC247" i="4"/>
  <c r="AB247" i="4"/>
  <c r="AA247" i="4"/>
  <c r="X247" i="4"/>
  <c r="B247" i="4"/>
  <c r="AE246" i="4"/>
  <c r="AD246" i="4"/>
  <c r="AC246" i="4"/>
  <c r="AB246" i="4"/>
  <c r="AA246" i="4"/>
  <c r="X246" i="4"/>
  <c r="B246" i="4"/>
  <c r="AE245" i="4"/>
  <c r="AD245" i="4"/>
  <c r="AC245" i="4"/>
  <c r="AB245" i="4"/>
  <c r="AA245" i="4"/>
  <c r="X245" i="4"/>
  <c r="B245" i="4"/>
  <c r="AE244" i="4"/>
  <c r="AD244" i="4"/>
  <c r="AC244" i="4"/>
  <c r="AB244" i="4"/>
  <c r="AA244" i="4"/>
  <c r="X244" i="4"/>
  <c r="B244" i="4"/>
  <c r="AE243" i="4"/>
  <c r="AD243" i="4"/>
  <c r="AC243" i="4"/>
  <c r="AB243" i="4"/>
  <c r="AA243" i="4"/>
  <c r="X243" i="4"/>
  <c r="B243" i="4"/>
  <c r="AE242" i="4"/>
  <c r="AD242" i="4"/>
  <c r="AC242" i="4"/>
  <c r="AB242" i="4"/>
  <c r="AA242" i="4"/>
  <c r="X242" i="4"/>
  <c r="B242" i="4"/>
  <c r="AE241" i="4"/>
  <c r="AD241" i="4"/>
  <c r="AC241" i="4"/>
  <c r="AB241" i="4"/>
  <c r="AA241" i="4"/>
  <c r="G241" i="4"/>
  <c r="X241" i="4" s="1"/>
  <c r="B241" i="4"/>
  <c r="AE240" i="4"/>
  <c r="AD240" i="4"/>
  <c r="AC240" i="4"/>
  <c r="AB240" i="4"/>
  <c r="AA240" i="4"/>
  <c r="G240" i="4"/>
  <c r="X240" i="4" s="1"/>
  <c r="AE239" i="4"/>
  <c r="AD239" i="4"/>
  <c r="AC239" i="4"/>
  <c r="AB239" i="4"/>
  <c r="AA239" i="4"/>
  <c r="X239" i="4"/>
  <c r="B239" i="4"/>
  <c r="AE238" i="4"/>
  <c r="AD238" i="4"/>
  <c r="AC238" i="4"/>
  <c r="AB238" i="4"/>
  <c r="AA238" i="4"/>
  <c r="X238" i="4"/>
  <c r="B238" i="4"/>
  <c r="AE237" i="4"/>
  <c r="AD237" i="4"/>
  <c r="AC237" i="4"/>
  <c r="AB237" i="4"/>
  <c r="AA237" i="4"/>
  <c r="X237" i="4"/>
  <c r="B237" i="4"/>
  <c r="AE236" i="4"/>
  <c r="AD236" i="4"/>
  <c r="AC236" i="4"/>
  <c r="AB236" i="4"/>
  <c r="AA236" i="4"/>
  <c r="G236" i="4"/>
  <c r="X236" i="4" s="1"/>
  <c r="B236" i="4"/>
  <c r="AE235" i="4"/>
  <c r="AD235" i="4"/>
  <c r="AC235" i="4"/>
  <c r="AB235" i="4"/>
  <c r="AA235" i="4"/>
  <c r="X235" i="4"/>
  <c r="B235" i="4"/>
  <c r="AE234" i="4"/>
  <c r="AD234" i="4"/>
  <c r="AC234" i="4"/>
  <c r="AB234" i="4"/>
  <c r="AA234" i="4"/>
  <c r="X234" i="4"/>
  <c r="B234" i="4"/>
  <c r="AE233" i="4"/>
  <c r="AD233" i="4"/>
  <c r="AC233" i="4"/>
  <c r="AB233" i="4"/>
  <c r="AA233" i="4"/>
  <c r="X233" i="4"/>
  <c r="B233" i="4"/>
  <c r="AE232" i="4"/>
  <c r="AD232" i="4"/>
  <c r="AC232" i="4"/>
  <c r="AB232" i="4"/>
  <c r="AA232" i="4"/>
  <c r="X232" i="4"/>
  <c r="B232" i="4"/>
  <c r="AE231" i="4"/>
  <c r="AD231" i="4"/>
  <c r="AC231" i="4"/>
  <c r="AB231" i="4"/>
  <c r="AA231" i="4"/>
  <c r="X231" i="4"/>
  <c r="B231" i="4"/>
  <c r="AD230" i="4"/>
  <c r="AC230" i="4"/>
  <c r="AB230" i="4"/>
  <c r="AA230" i="4"/>
  <c r="F230" i="4"/>
  <c r="AE230" i="4" s="1"/>
  <c r="AE229" i="4"/>
  <c r="AD229" i="4"/>
  <c r="AC229" i="4"/>
  <c r="AB229" i="4"/>
  <c r="AA229" i="4"/>
  <c r="F229" i="4"/>
  <c r="X229" i="4" s="1"/>
  <c r="B229" i="4"/>
  <c r="AE228" i="4"/>
  <c r="AD228" i="4"/>
  <c r="AC228" i="4"/>
  <c r="AB228" i="4"/>
  <c r="AA228" i="4"/>
  <c r="X228" i="4"/>
  <c r="F228" i="4"/>
  <c r="B228" i="4"/>
  <c r="AD227" i="4"/>
  <c r="AC227" i="4"/>
  <c r="AB227" i="4"/>
  <c r="AA227" i="4"/>
  <c r="F227" i="4"/>
  <c r="AE227" i="4" s="1"/>
  <c r="B227" i="4"/>
  <c r="AE226" i="4"/>
  <c r="AD226" i="4"/>
  <c r="AC226" i="4"/>
  <c r="AB226" i="4"/>
  <c r="AA226" i="4"/>
  <c r="F226" i="4"/>
  <c r="X226" i="4" s="1"/>
  <c r="B226" i="4"/>
  <c r="AD225" i="4"/>
  <c r="AC225" i="4"/>
  <c r="AB225" i="4"/>
  <c r="AA225" i="4"/>
  <c r="F225" i="4"/>
  <c r="AE225" i="4" s="1"/>
  <c r="AE224" i="4"/>
  <c r="AD224" i="4"/>
  <c r="AC224" i="4"/>
  <c r="AB224" i="4"/>
  <c r="AA224" i="4"/>
  <c r="X224" i="4"/>
  <c r="B224" i="4"/>
  <c r="AE223" i="4"/>
  <c r="AD223" i="4"/>
  <c r="AC223" i="4"/>
  <c r="AB223" i="4"/>
  <c r="AA223" i="4"/>
  <c r="X223" i="4"/>
  <c r="B223" i="4"/>
  <c r="AE222" i="4"/>
  <c r="AD222" i="4"/>
  <c r="AC222" i="4"/>
  <c r="AB222" i="4"/>
  <c r="AA222" i="4"/>
  <c r="X222" i="4"/>
  <c r="B222" i="4"/>
  <c r="AE221" i="4"/>
  <c r="AD221" i="4"/>
  <c r="AC221" i="4"/>
  <c r="AB221" i="4"/>
  <c r="AA221" i="4"/>
  <c r="X221" i="4"/>
  <c r="B221" i="4"/>
  <c r="AE220" i="4"/>
  <c r="AD220" i="4"/>
  <c r="AC220" i="4"/>
  <c r="AB220" i="4"/>
  <c r="AA220" i="4"/>
  <c r="X220" i="4"/>
  <c r="B220" i="4"/>
  <c r="AE219" i="4"/>
  <c r="AD219" i="4"/>
  <c r="AC219" i="4"/>
  <c r="AB219" i="4"/>
  <c r="AA219" i="4"/>
  <c r="X219" i="4"/>
  <c r="B219" i="4"/>
  <c r="AE218" i="4"/>
  <c r="AD218" i="4"/>
  <c r="AC218" i="4"/>
  <c r="AB218" i="4"/>
  <c r="AA218" i="4"/>
  <c r="X218" i="4"/>
  <c r="B218" i="4"/>
  <c r="AE217" i="4"/>
  <c r="AD217" i="4"/>
  <c r="AC217" i="4"/>
  <c r="AB217" i="4"/>
  <c r="AA217" i="4"/>
  <c r="X217" i="4"/>
  <c r="B217" i="4"/>
  <c r="AE216" i="4"/>
  <c r="AD216" i="4"/>
  <c r="AC216" i="4"/>
  <c r="AB216" i="4"/>
  <c r="AA216" i="4"/>
  <c r="X216" i="4"/>
  <c r="B216" i="4"/>
  <c r="AE215" i="4"/>
  <c r="AD215" i="4"/>
  <c r="AC215" i="4"/>
  <c r="AB215" i="4"/>
  <c r="AA215" i="4"/>
  <c r="X215" i="4"/>
  <c r="B215" i="4"/>
  <c r="AE214" i="4"/>
  <c r="AD214" i="4"/>
  <c r="AC214" i="4"/>
  <c r="AB214" i="4"/>
  <c r="AA214" i="4"/>
  <c r="X214" i="4"/>
  <c r="B214" i="4"/>
  <c r="AE213" i="4"/>
  <c r="AD213" i="4"/>
  <c r="AC213" i="4"/>
  <c r="AB213" i="4"/>
  <c r="AA213" i="4"/>
  <c r="X213" i="4"/>
  <c r="B213" i="4"/>
  <c r="AE212" i="4"/>
  <c r="AD212" i="4"/>
  <c r="AC212" i="4"/>
  <c r="AB212" i="4"/>
  <c r="AA212" i="4"/>
  <c r="X212" i="4"/>
  <c r="B212" i="4"/>
  <c r="AD211" i="4"/>
  <c r="AC211" i="4"/>
  <c r="AB211" i="4"/>
  <c r="AA211" i="4"/>
  <c r="F211" i="4"/>
  <c r="X211" i="4" s="1"/>
  <c r="AD210" i="4"/>
  <c r="AC210" i="4"/>
  <c r="AB210" i="4"/>
  <c r="AA210" i="4"/>
  <c r="F210" i="4"/>
  <c r="AD209" i="4"/>
  <c r="AC209" i="4"/>
  <c r="AB209" i="4"/>
  <c r="AA209" i="4"/>
  <c r="F209" i="4"/>
  <c r="AE209" i="4" s="1"/>
  <c r="B209" i="4"/>
  <c r="AD208" i="4"/>
  <c r="AC208" i="4"/>
  <c r="AB208" i="4"/>
  <c r="AA208" i="4"/>
  <c r="F208" i="4"/>
  <c r="X208" i="4" s="1"/>
  <c r="AD207" i="4"/>
  <c r="AC207" i="4"/>
  <c r="AB207" i="4"/>
  <c r="AA207" i="4"/>
  <c r="F207" i="4"/>
  <c r="AD206" i="4"/>
  <c r="AC206" i="4"/>
  <c r="AB206" i="4"/>
  <c r="AA206" i="4"/>
  <c r="F206" i="4"/>
  <c r="AE206" i="4" s="1"/>
  <c r="AE205" i="4"/>
  <c r="AD205" i="4"/>
  <c r="AC205" i="4"/>
  <c r="AB205" i="4"/>
  <c r="AA205" i="4"/>
  <c r="F205" i="4"/>
  <c r="X205" i="4" s="1"/>
  <c r="B205" i="4"/>
  <c r="AD204" i="4"/>
  <c r="AC204" i="4"/>
  <c r="AB204" i="4"/>
  <c r="AA204" i="4"/>
  <c r="F204" i="4"/>
  <c r="AD203" i="4"/>
  <c r="AC203" i="4"/>
  <c r="AB203" i="4"/>
  <c r="AA203" i="4"/>
  <c r="F203" i="4"/>
  <c r="AE203" i="4" s="1"/>
  <c r="AD202" i="4"/>
  <c r="AC202" i="4"/>
  <c r="AB202" i="4"/>
  <c r="AA202" i="4"/>
  <c r="F202" i="4"/>
  <c r="X202" i="4" s="1"/>
  <c r="B202" i="4"/>
  <c r="AD201" i="4"/>
  <c r="AC201" i="4"/>
  <c r="AB201" i="4"/>
  <c r="AA201" i="4"/>
  <c r="F201" i="4"/>
  <c r="AD200" i="4"/>
  <c r="AC200" i="4"/>
  <c r="AB200" i="4"/>
  <c r="AA200" i="4"/>
  <c r="F200" i="4"/>
  <c r="AE200" i="4" s="1"/>
  <c r="AE199" i="4"/>
  <c r="AD199" i="4"/>
  <c r="AC199" i="4"/>
  <c r="AB199" i="4"/>
  <c r="AA199" i="4"/>
  <c r="F199" i="4"/>
  <c r="X199" i="4" s="1"/>
  <c r="B199" i="4"/>
  <c r="AD198" i="4"/>
  <c r="AC198" i="4"/>
  <c r="AB198" i="4"/>
  <c r="AA198" i="4"/>
  <c r="F198" i="4"/>
  <c r="X198" i="4" s="1"/>
  <c r="AD197" i="4"/>
  <c r="AC197" i="4"/>
  <c r="AB197" i="4"/>
  <c r="AA197" i="4"/>
  <c r="X197" i="4"/>
  <c r="F197" i="4"/>
  <c r="AE197" i="4" s="1"/>
  <c r="B197" i="4"/>
  <c r="AD196" i="4"/>
  <c r="AC196" i="4"/>
  <c r="AB196" i="4"/>
  <c r="AA196" i="4"/>
  <c r="F196" i="4"/>
  <c r="X196" i="4" s="1"/>
  <c r="B196" i="4"/>
  <c r="AD195" i="4"/>
  <c r="AC195" i="4"/>
  <c r="AB195" i="4"/>
  <c r="AA195" i="4"/>
  <c r="F195" i="4"/>
  <c r="AD194" i="4"/>
  <c r="AC194" i="4"/>
  <c r="AB194" i="4"/>
  <c r="AA194" i="4"/>
  <c r="F194" i="4"/>
  <c r="AE194" i="4" s="1"/>
  <c r="B194" i="4"/>
  <c r="AE193" i="4"/>
  <c r="AD193" i="4"/>
  <c r="AC193" i="4"/>
  <c r="AB193" i="4"/>
  <c r="AA193" i="4"/>
  <c r="X193" i="4"/>
  <c r="B193" i="4"/>
  <c r="AE192" i="4"/>
  <c r="AD192" i="4"/>
  <c r="AC192" i="4"/>
  <c r="AB192" i="4"/>
  <c r="AA192" i="4"/>
  <c r="X192" i="4"/>
  <c r="B192" i="4"/>
  <c r="AE191" i="4"/>
  <c r="AD191" i="4"/>
  <c r="AC191" i="4"/>
  <c r="AB191" i="4"/>
  <c r="AA191" i="4"/>
  <c r="X191" i="4"/>
  <c r="B191" i="4"/>
  <c r="AD190" i="4"/>
  <c r="AC190" i="4"/>
  <c r="AB190" i="4"/>
  <c r="AA190" i="4"/>
  <c r="F190" i="4"/>
  <c r="AE190" i="4" s="1"/>
  <c r="AD189" i="4"/>
  <c r="AC189" i="4"/>
  <c r="AB189" i="4"/>
  <c r="AA189" i="4"/>
  <c r="F189" i="4"/>
  <c r="AE189" i="4" s="1"/>
  <c r="AE188" i="4"/>
  <c r="AD188" i="4"/>
  <c r="AC188" i="4"/>
  <c r="AB188" i="4"/>
  <c r="AA188" i="4"/>
  <c r="F188" i="4"/>
  <c r="X188" i="4" s="1"/>
  <c r="B188" i="4"/>
  <c r="AD187" i="4"/>
  <c r="AC187" i="4"/>
  <c r="AB187" i="4"/>
  <c r="AA187" i="4"/>
  <c r="F187" i="4"/>
  <c r="X187" i="4" s="1"/>
  <c r="B187" i="4"/>
  <c r="AD186" i="4"/>
  <c r="AC186" i="4"/>
  <c r="AB186" i="4"/>
  <c r="AA186" i="4"/>
  <c r="F186" i="4"/>
  <c r="AE186" i="4" s="1"/>
  <c r="B186" i="4"/>
  <c r="AD185" i="4"/>
  <c r="AC185" i="4"/>
  <c r="AB185" i="4"/>
  <c r="AA185" i="4"/>
  <c r="F185" i="4"/>
  <c r="X185" i="4" s="1"/>
  <c r="AE184" i="4"/>
  <c r="AD184" i="4"/>
  <c r="AC184" i="4"/>
  <c r="AB184" i="4"/>
  <c r="AA184" i="4"/>
  <c r="F184" i="4"/>
  <c r="X184" i="4" s="1"/>
  <c r="AE183" i="4"/>
  <c r="AD183" i="4"/>
  <c r="AC183" i="4"/>
  <c r="AB183" i="4"/>
  <c r="AA183" i="4"/>
  <c r="X183" i="4"/>
  <c r="B183" i="4"/>
  <c r="AE182" i="4"/>
  <c r="AD182" i="4"/>
  <c r="AC182" i="4"/>
  <c r="AB182" i="4"/>
  <c r="AA182" i="4"/>
  <c r="X182" i="4"/>
  <c r="B182" i="4"/>
  <c r="AE181" i="4"/>
  <c r="AD181" i="4"/>
  <c r="AC181" i="4"/>
  <c r="AB181" i="4"/>
  <c r="AA181" i="4"/>
  <c r="X181" i="4"/>
  <c r="B181" i="4"/>
  <c r="AE180" i="4"/>
  <c r="AD180" i="4"/>
  <c r="AC180" i="4"/>
  <c r="AB180" i="4"/>
  <c r="AA180" i="4"/>
  <c r="X180" i="4"/>
  <c r="B180" i="4"/>
  <c r="AE179" i="4"/>
  <c r="AD179" i="4"/>
  <c r="AC179" i="4"/>
  <c r="AB179" i="4"/>
  <c r="AA179" i="4"/>
  <c r="X179" i="4"/>
  <c r="B179" i="4"/>
  <c r="AE178" i="4"/>
  <c r="AD178" i="4"/>
  <c r="AC178" i="4"/>
  <c r="AB178" i="4"/>
  <c r="AA178" i="4"/>
  <c r="X178" i="4"/>
  <c r="B178" i="4"/>
  <c r="AE177" i="4"/>
  <c r="AD177" i="4"/>
  <c r="AC177" i="4"/>
  <c r="AB177" i="4"/>
  <c r="AA177" i="4"/>
  <c r="X177" i="4"/>
  <c r="B177" i="4"/>
  <c r="AE176" i="4"/>
  <c r="AD176" i="4"/>
  <c r="AC176" i="4"/>
  <c r="AB176" i="4"/>
  <c r="AA176" i="4"/>
  <c r="X176" i="4"/>
  <c r="B176" i="4"/>
  <c r="AE175" i="4"/>
  <c r="AD175" i="4"/>
  <c r="AC175" i="4"/>
  <c r="AB175" i="4"/>
  <c r="AA175" i="4"/>
  <c r="X175" i="4"/>
  <c r="B175" i="4"/>
  <c r="AE174" i="4"/>
  <c r="AD174" i="4"/>
  <c r="AC174" i="4"/>
  <c r="AB174" i="4"/>
  <c r="AA174" i="4"/>
  <c r="X174" i="4"/>
  <c r="B174" i="4"/>
  <c r="AE173" i="4"/>
  <c r="AD173" i="4"/>
  <c r="AC173" i="4"/>
  <c r="AB173" i="4"/>
  <c r="AA173" i="4"/>
  <c r="X173" i="4"/>
  <c r="B173" i="4"/>
  <c r="AE172" i="4"/>
  <c r="AD172" i="4"/>
  <c r="AC172" i="4"/>
  <c r="AB172" i="4"/>
  <c r="AA172" i="4"/>
  <c r="X172" i="4"/>
  <c r="B172" i="4"/>
  <c r="AE171" i="4"/>
  <c r="AD171" i="4"/>
  <c r="AC171" i="4"/>
  <c r="AB171" i="4"/>
  <c r="AA171" i="4"/>
  <c r="X171" i="4"/>
  <c r="B171" i="4"/>
  <c r="AE170" i="4"/>
  <c r="AD170" i="4"/>
  <c r="AC170" i="4"/>
  <c r="AB170" i="4"/>
  <c r="AA170" i="4"/>
  <c r="X170" i="4"/>
  <c r="B170" i="4"/>
  <c r="AE169" i="4"/>
  <c r="AD169" i="4"/>
  <c r="AC169" i="4"/>
  <c r="AB169" i="4"/>
  <c r="AA169" i="4"/>
  <c r="X169" i="4"/>
  <c r="B169" i="4"/>
  <c r="AE168" i="4"/>
  <c r="AD168" i="4"/>
  <c r="AC168" i="4"/>
  <c r="AB168" i="4"/>
  <c r="AA168" i="4"/>
  <c r="X168" i="4"/>
  <c r="B168" i="4"/>
  <c r="AE167" i="4"/>
  <c r="AD167" i="4"/>
  <c r="AC167" i="4"/>
  <c r="AB167" i="4"/>
  <c r="AA167" i="4"/>
  <c r="X167" i="4"/>
  <c r="B167" i="4"/>
  <c r="AE166" i="4"/>
  <c r="AD166" i="4"/>
  <c r="AC166" i="4"/>
  <c r="AB166" i="4"/>
  <c r="AA166" i="4"/>
  <c r="X166" i="4"/>
  <c r="B166" i="4"/>
  <c r="AE165" i="4"/>
  <c r="AD165" i="4"/>
  <c r="AC165" i="4"/>
  <c r="AB165" i="4"/>
  <c r="AA165" i="4"/>
  <c r="X165" i="4"/>
  <c r="B165" i="4"/>
  <c r="AE164" i="4"/>
  <c r="AD164" i="4"/>
  <c r="AC164" i="4"/>
  <c r="AB164" i="4"/>
  <c r="AA164" i="4"/>
  <c r="X164" i="4"/>
  <c r="B164" i="4"/>
  <c r="AE163" i="4"/>
  <c r="AD163" i="4"/>
  <c r="AC163" i="4"/>
  <c r="AB163" i="4"/>
  <c r="AA163" i="4"/>
  <c r="X163" i="4"/>
  <c r="B163" i="4"/>
  <c r="AE162" i="4"/>
  <c r="AD162" i="4"/>
  <c r="AC162" i="4"/>
  <c r="AB162" i="4"/>
  <c r="AA162" i="4"/>
  <c r="X162" i="4"/>
  <c r="B162" i="4"/>
  <c r="AE161" i="4"/>
  <c r="AD161" i="4"/>
  <c r="AC161" i="4"/>
  <c r="AB161" i="4"/>
  <c r="AA161" i="4"/>
  <c r="X161" i="4"/>
  <c r="B161" i="4"/>
  <c r="AE160" i="4"/>
  <c r="AD160" i="4"/>
  <c r="AC160" i="4"/>
  <c r="AB160" i="4"/>
  <c r="AA160" i="4"/>
  <c r="X160" i="4"/>
  <c r="B160" i="4"/>
  <c r="AE159" i="4"/>
  <c r="AD159" i="4"/>
  <c r="AC159" i="4"/>
  <c r="AB159" i="4"/>
  <c r="AA159" i="4"/>
  <c r="X159" i="4"/>
  <c r="B159" i="4"/>
  <c r="AE158" i="4"/>
  <c r="AD158" i="4"/>
  <c r="AC158" i="4"/>
  <c r="AB158" i="4"/>
  <c r="AA158" i="4"/>
  <c r="X158" i="4"/>
  <c r="B158" i="4"/>
  <c r="AE157" i="4"/>
  <c r="AD157" i="4"/>
  <c r="AC157" i="4"/>
  <c r="AB157" i="4"/>
  <c r="AA157" i="4"/>
  <c r="X157" i="4"/>
  <c r="B157" i="4"/>
  <c r="AE156" i="4"/>
  <c r="AD156" i="4"/>
  <c r="AC156" i="4"/>
  <c r="AB156" i="4"/>
  <c r="AA156" i="4"/>
  <c r="X156" i="4"/>
  <c r="B156" i="4"/>
  <c r="AE155" i="4"/>
  <c r="AD155" i="4"/>
  <c r="AC155" i="4"/>
  <c r="AB155" i="4"/>
  <c r="AA155" i="4"/>
  <c r="X155" i="4"/>
  <c r="B155" i="4"/>
  <c r="AE154" i="4"/>
  <c r="AD154" i="4"/>
  <c r="AC154" i="4"/>
  <c r="AB154" i="4"/>
  <c r="AA154" i="4"/>
  <c r="X154" i="4"/>
  <c r="B154" i="4"/>
  <c r="AE153" i="4"/>
  <c r="AD153" i="4"/>
  <c r="AC153" i="4"/>
  <c r="AB153" i="4"/>
  <c r="AA153" i="4"/>
  <c r="X153" i="4"/>
  <c r="B153" i="4"/>
  <c r="AE152" i="4"/>
  <c r="AD152" i="4"/>
  <c r="AC152" i="4"/>
  <c r="AB152" i="4"/>
  <c r="AA152" i="4"/>
  <c r="X152" i="4"/>
  <c r="B152" i="4"/>
  <c r="AE151" i="4"/>
  <c r="AD151" i="4"/>
  <c r="AC151" i="4"/>
  <c r="AB151" i="4"/>
  <c r="AA151" i="4"/>
  <c r="X151" i="4"/>
  <c r="B151" i="4"/>
  <c r="AE150" i="4"/>
  <c r="AD150" i="4"/>
  <c r="AC150" i="4"/>
  <c r="AB150" i="4"/>
  <c r="AA150" i="4"/>
  <c r="X150" i="4"/>
  <c r="B150" i="4"/>
  <c r="AE149" i="4"/>
  <c r="AD149" i="4"/>
  <c r="AC149" i="4"/>
  <c r="AB149" i="4"/>
  <c r="AA149" i="4"/>
  <c r="X149" i="4"/>
  <c r="B149" i="4"/>
  <c r="AE148" i="4"/>
  <c r="AD148" i="4"/>
  <c r="AC148" i="4"/>
  <c r="AB148" i="4"/>
  <c r="AA148" i="4"/>
  <c r="X148" i="4"/>
  <c r="B148" i="4"/>
  <c r="AE147" i="4"/>
  <c r="AD147" i="4"/>
  <c r="AC147" i="4"/>
  <c r="AB147" i="4"/>
  <c r="AA147" i="4"/>
  <c r="X147" i="4"/>
  <c r="B147" i="4"/>
  <c r="AE146" i="4"/>
  <c r="AD146" i="4"/>
  <c r="AC146" i="4"/>
  <c r="AB146" i="4"/>
  <c r="AA146" i="4"/>
  <c r="X146" i="4"/>
  <c r="B146" i="4"/>
  <c r="AE145" i="4"/>
  <c r="AD145" i="4"/>
  <c r="AC145" i="4"/>
  <c r="AB145" i="4"/>
  <c r="AA145" i="4"/>
  <c r="X145" i="4"/>
  <c r="B145" i="4"/>
  <c r="AE144" i="4"/>
  <c r="AD144" i="4"/>
  <c r="AC144" i="4"/>
  <c r="AB144" i="4"/>
  <c r="AA144" i="4"/>
  <c r="X144" i="4"/>
  <c r="B144" i="4"/>
  <c r="AE143" i="4"/>
  <c r="AD143" i="4"/>
  <c r="AC143" i="4"/>
  <c r="AB143" i="4"/>
  <c r="AA143" i="4"/>
  <c r="X143" i="4"/>
  <c r="B143" i="4"/>
  <c r="AE142" i="4"/>
  <c r="AD142" i="4"/>
  <c r="AC142" i="4"/>
  <c r="AB142" i="4"/>
  <c r="AA142" i="4"/>
  <c r="X142" i="4"/>
  <c r="B142" i="4"/>
  <c r="AE141" i="4"/>
  <c r="AD141" i="4"/>
  <c r="AC141" i="4"/>
  <c r="AB141" i="4"/>
  <c r="AA141" i="4"/>
  <c r="X141" i="4"/>
  <c r="B141" i="4"/>
  <c r="AE140" i="4"/>
  <c r="AD140" i="4"/>
  <c r="AC140" i="4"/>
  <c r="AB140" i="4"/>
  <c r="AA140" i="4"/>
  <c r="G140" i="4"/>
  <c r="X140" i="4" s="1"/>
  <c r="B140" i="4"/>
  <c r="AE139" i="4"/>
  <c r="AD139" i="4"/>
  <c r="AC139" i="4"/>
  <c r="AB139" i="4"/>
  <c r="AA139" i="4"/>
  <c r="X139" i="4"/>
  <c r="B139" i="4"/>
  <c r="AE138" i="4"/>
  <c r="AD138" i="4"/>
  <c r="AC138" i="4"/>
  <c r="AB138" i="4"/>
  <c r="AA138" i="4"/>
  <c r="X138" i="4"/>
  <c r="B138" i="4"/>
  <c r="AE137" i="4"/>
  <c r="AD137" i="4"/>
  <c r="AC137" i="4"/>
  <c r="AB137" i="4"/>
  <c r="AA137" i="4"/>
  <c r="X137" i="4"/>
  <c r="B137" i="4"/>
  <c r="AE136" i="4"/>
  <c r="AD136" i="4"/>
  <c r="AC136" i="4"/>
  <c r="AB136" i="4"/>
  <c r="AA136" i="4"/>
  <c r="X136" i="4"/>
  <c r="B136" i="4"/>
  <c r="AE135" i="4"/>
  <c r="AD135" i="4"/>
  <c r="AC135" i="4"/>
  <c r="AB135" i="4"/>
  <c r="AA135" i="4"/>
  <c r="X135" i="4"/>
  <c r="B135" i="4"/>
  <c r="AE134" i="4"/>
  <c r="AD134" i="4"/>
  <c r="AC134" i="4"/>
  <c r="AB134" i="4"/>
  <c r="AA134" i="4"/>
  <c r="X134" i="4"/>
  <c r="B134" i="4"/>
  <c r="AD133" i="4"/>
  <c r="AC133" i="4"/>
  <c r="AB133" i="4"/>
  <c r="AA133" i="4"/>
  <c r="F133" i="4"/>
  <c r="X133" i="4" s="1"/>
  <c r="AB132" i="4"/>
  <c r="AA132" i="4"/>
  <c r="F132" i="4"/>
  <c r="AE132" i="4" s="1"/>
  <c r="B132" i="4"/>
  <c r="AB131" i="4"/>
  <c r="AA131" i="4"/>
  <c r="F131" i="4"/>
  <c r="B131" i="4" s="1"/>
  <c r="AD130" i="4"/>
  <c r="AC130" i="4"/>
  <c r="AB130" i="4"/>
  <c r="AA130" i="4"/>
  <c r="F130" i="4"/>
  <c r="AE130" i="4" s="1"/>
  <c r="B130" i="4"/>
  <c r="AD129" i="4"/>
  <c r="AC129" i="4"/>
  <c r="AB129" i="4"/>
  <c r="AA129" i="4"/>
  <c r="F129" i="4"/>
  <c r="X129" i="4" s="1"/>
  <c r="B129" i="4"/>
  <c r="AE128" i="4"/>
  <c r="AD128" i="4"/>
  <c r="AC128" i="4"/>
  <c r="AB128" i="4"/>
  <c r="AA128" i="4"/>
  <c r="X128" i="4"/>
  <c r="B128" i="4"/>
  <c r="AE127" i="4"/>
  <c r="AD127" i="4"/>
  <c r="AC127" i="4"/>
  <c r="AB127" i="4"/>
  <c r="AA127" i="4"/>
  <c r="X127" i="4"/>
  <c r="B127" i="4"/>
  <c r="AE126" i="4"/>
  <c r="AD126" i="4"/>
  <c r="AC126" i="4"/>
  <c r="AB126" i="4"/>
  <c r="AA126" i="4"/>
  <c r="X126" i="4"/>
  <c r="B126" i="4"/>
  <c r="AD125" i="4"/>
  <c r="AC125" i="4"/>
  <c r="AB125" i="4"/>
  <c r="AA125" i="4"/>
  <c r="X125" i="4"/>
  <c r="B125" i="4"/>
  <c r="AD124" i="4"/>
  <c r="AC124" i="4"/>
  <c r="AB124" i="4"/>
  <c r="AA124" i="4"/>
  <c r="X124" i="4"/>
  <c r="B124" i="4"/>
  <c r="AD123" i="4"/>
  <c r="AC123" i="4"/>
  <c r="AB123" i="4"/>
  <c r="AA123" i="4"/>
  <c r="X123" i="4"/>
  <c r="B123" i="4"/>
  <c r="AE122" i="4"/>
  <c r="AD122" i="4"/>
  <c r="AC122" i="4"/>
  <c r="AB122" i="4"/>
  <c r="AA122" i="4"/>
  <c r="X122" i="4"/>
  <c r="B122" i="4"/>
  <c r="AE121" i="4"/>
  <c r="AD121" i="4"/>
  <c r="AC121" i="4"/>
  <c r="AB121" i="4"/>
  <c r="AA121" i="4"/>
  <c r="X121" i="4"/>
  <c r="B121" i="4"/>
  <c r="AE120" i="4"/>
  <c r="AD120" i="4"/>
  <c r="AC120" i="4"/>
  <c r="AB120" i="4"/>
  <c r="AA120" i="4"/>
  <c r="X120" i="4"/>
  <c r="B120" i="4"/>
  <c r="AE119" i="4"/>
  <c r="AD119" i="4"/>
  <c r="AC119" i="4"/>
  <c r="AB119" i="4"/>
  <c r="AA119" i="4"/>
  <c r="X119" i="4"/>
  <c r="B119" i="4"/>
  <c r="AE118" i="4"/>
  <c r="AD118" i="4"/>
  <c r="AC118" i="4"/>
  <c r="AB118" i="4"/>
  <c r="AA118" i="4"/>
  <c r="X118" i="4"/>
  <c r="B118" i="4"/>
  <c r="AE117" i="4"/>
  <c r="AD117" i="4"/>
  <c r="AC117" i="4"/>
  <c r="AB117" i="4"/>
  <c r="AA117" i="4"/>
  <c r="X117" i="4"/>
  <c r="B117" i="4"/>
  <c r="AE116" i="4"/>
  <c r="AD116" i="4"/>
  <c r="AC116" i="4"/>
  <c r="AB116" i="4"/>
  <c r="AA116" i="4"/>
  <c r="X116" i="4"/>
  <c r="B116" i="4"/>
  <c r="AE115" i="4"/>
  <c r="AD115" i="4"/>
  <c r="AC115" i="4"/>
  <c r="AB115" i="4"/>
  <c r="AA115" i="4"/>
  <c r="X115" i="4"/>
  <c r="B115" i="4"/>
  <c r="AE114" i="4"/>
  <c r="AD114" i="4"/>
  <c r="AC114" i="4"/>
  <c r="AB114" i="4"/>
  <c r="AA114" i="4"/>
  <c r="X114" i="4"/>
  <c r="B114" i="4"/>
  <c r="AE113" i="4"/>
  <c r="AD113" i="4"/>
  <c r="AC113" i="4"/>
  <c r="AB113" i="4"/>
  <c r="AA113" i="4"/>
  <c r="X113" i="4"/>
  <c r="B113" i="4"/>
  <c r="AE112" i="4"/>
  <c r="AD112" i="4"/>
  <c r="AC112" i="4"/>
  <c r="AB112" i="4"/>
  <c r="AA112" i="4"/>
  <c r="X112" i="4"/>
  <c r="B112" i="4"/>
  <c r="AE111" i="4"/>
  <c r="AB111" i="4"/>
  <c r="AA111" i="4"/>
  <c r="X111" i="4"/>
  <c r="B111" i="4"/>
  <c r="AE110" i="4"/>
  <c r="AD110" i="4"/>
  <c r="AC110" i="4"/>
  <c r="AB110" i="4"/>
  <c r="AA110" i="4"/>
  <c r="X110" i="4"/>
  <c r="B110" i="4"/>
  <c r="AE109" i="4"/>
  <c r="AD109" i="4"/>
  <c r="AC109" i="4"/>
  <c r="AB109" i="4"/>
  <c r="AA109" i="4"/>
  <c r="X109" i="4"/>
  <c r="B109" i="4"/>
  <c r="AE108" i="4"/>
  <c r="AD108" i="4"/>
  <c r="AC108" i="4"/>
  <c r="AB108" i="4"/>
  <c r="AA108" i="4"/>
  <c r="X108" i="4"/>
  <c r="B108" i="4"/>
  <c r="AE107" i="4"/>
  <c r="AD107" i="4"/>
  <c r="AC107" i="4"/>
  <c r="AB107" i="4"/>
  <c r="AA107" i="4"/>
  <c r="X107" i="4"/>
  <c r="B107" i="4"/>
  <c r="AE106" i="4"/>
  <c r="AD106" i="4"/>
  <c r="AC106" i="4"/>
  <c r="AB106" i="4"/>
  <c r="AA106" i="4"/>
  <c r="X106" i="4"/>
  <c r="B106" i="4"/>
  <c r="AE105" i="4"/>
  <c r="AD105" i="4"/>
  <c r="AC105" i="4"/>
  <c r="AB105" i="4"/>
  <c r="AA105" i="4"/>
  <c r="X105" i="4"/>
  <c r="B105" i="4"/>
  <c r="AE104" i="4"/>
  <c r="AD104" i="4"/>
  <c r="AC104" i="4"/>
  <c r="AB104" i="4"/>
  <c r="AA104" i="4"/>
  <c r="X104" i="4"/>
  <c r="B104" i="4"/>
  <c r="AE103" i="4"/>
  <c r="AD103" i="4"/>
  <c r="AC103" i="4"/>
  <c r="AB103" i="4"/>
  <c r="AA103" i="4"/>
  <c r="X103" i="4"/>
  <c r="B103" i="4"/>
  <c r="AE102" i="4"/>
  <c r="AD102" i="4"/>
  <c r="AC102" i="4"/>
  <c r="AB102" i="4"/>
  <c r="AA102" i="4"/>
  <c r="X102" i="4"/>
  <c r="B102" i="4"/>
  <c r="AE101" i="4"/>
  <c r="AD101" i="4"/>
  <c r="AC101" i="4"/>
  <c r="AB101" i="4"/>
  <c r="AA101" i="4"/>
  <c r="X101" i="4"/>
  <c r="B101" i="4"/>
  <c r="AE100" i="4"/>
  <c r="AD100" i="4"/>
  <c r="AC100" i="4"/>
  <c r="AB100" i="4"/>
  <c r="AA100" i="4"/>
  <c r="X100" i="4"/>
  <c r="B100" i="4"/>
  <c r="AE99" i="4"/>
  <c r="AD99" i="4"/>
  <c r="AC99" i="4"/>
  <c r="AB99" i="4"/>
  <c r="AA99" i="4"/>
  <c r="X99" i="4"/>
  <c r="B99" i="4"/>
  <c r="AD98" i="4"/>
  <c r="AC98" i="4"/>
  <c r="AB98" i="4"/>
  <c r="AA98" i="4"/>
  <c r="X98" i="4"/>
  <c r="B98" i="4"/>
  <c r="AD97" i="4"/>
  <c r="AC97" i="4"/>
  <c r="AB97" i="4"/>
  <c r="AA97" i="4"/>
  <c r="X97" i="4"/>
  <c r="B97" i="4"/>
  <c r="AD96" i="4"/>
  <c r="AC96" i="4"/>
  <c r="AB96" i="4"/>
  <c r="AA96" i="4"/>
  <c r="X96" i="4"/>
  <c r="B96" i="4"/>
  <c r="AD95" i="4"/>
  <c r="AC95" i="4"/>
  <c r="AB95" i="4"/>
  <c r="AA95" i="4"/>
  <c r="X95" i="4"/>
  <c r="B95" i="4"/>
  <c r="AD94" i="4"/>
  <c r="AC94" i="4"/>
  <c r="AB94" i="4"/>
  <c r="AA94" i="4"/>
  <c r="X94" i="4"/>
  <c r="B94" i="4"/>
  <c r="AD93" i="4"/>
  <c r="AC93" i="4"/>
  <c r="AB93" i="4"/>
  <c r="AA93" i="4"/>
  <c r="X93" i="4"/>
  <c r="B93" i="4"/>
  <c r="AD92" i="4"/>
  <c r="AC92" i="4"/>
  <c r="AB92" i="4"/>
  <c r="AA92" i="4"/>
  <c r="X92" i="4"/>
  <c r="B92" i="4"/>
  <c r="AD91" i="4"/>
  <c r="AC91" i="4"/>
  <c r="AB91" i="4"/>
  <c r="AA91" i="4"/>
  <c r="X91" i="4"/>
  <c r="B91" i="4"/>
  <c r="AD90" i="4"/>
  <c r="AC90" i="4"/>
  <c r="AB90" i="4"/>
  <c r="AA90" i="4"/>
  <c r="X90" i="4"/>
  <c r="B90" i="4"/>
  <c r="AD89" i="4"/>
  <c r="AC89" i="4"/>
  <c r="AB89" i="4"/>
  <c r="AA89" i="4"/>
  <c r="X89" i="4"/>
  <c r="B89" i="4"/>
  <c r="AE88" i="4"/>
  <c r="AD88" i="4"/>
  <c r="AC88" i="4"/>
  <c r="AB88" i="4"/>
  <c r="AA88" i="4"/>
  <c r="X88" i="4"/>
  <c r="B88" i="4"/>
  <c r="AE87" i="4"/>
  <c r="AD87" i="4"/>
  <c r="AC87" i="4"/>
  <c r="AB87" i="4"/>
  <c r="AA87" i="4"/>
  <c r="X87" i="4"/>
  <c r="B87" i="4"/>
  <c r="AE86" i="4"/>
  <c r="AD86" i="4"/>
  <c r="AC86" i="4"/>
  <c r="AB86" i="4"/>
  <c r="AA86" i="4"/>
  <c r="X86" i="4"/>
  <c r="B86" i="4"/>
  <c r="AE85" i="4"/>
  <c r="AD85" i="4"/>
  <c r="AC85" i="4"/>
  <c r="AB85" i="4"/>
  <c r="AA85" i="4"/>
  <c r="X85" i="4"/>
  <c r="B85" i="4"/>
  <c r="AE84" i="4"/>
  <c r="AD84" i="4"/>
  <c r="AC84" i="4"/>
  <c r="AB84" i="4"/>
  <c r="AA84" i="4"/>
  <c r="X84" i="4"/>
  <c r="B84" i="4"/>
  <c r="AE83" i="4"/>
  <c r="AD83" i="4"/>
  <c r="AC83" i="4"/>
  <c r="AB83" i="4"/>
  <c r="AA83" i="4"/>
  <c r="X83" i="4"/>
  <c r="B83" i="4"/>
  <c r="AE82" i="4"/>
  <c r="AD82" i="4"/>
  <c r="AC82" i="4"/>
  <c r="AB82" i="4"/>
  <c r="AA82" i="4"/>
  <c r="X82" i="4"/>
  <c r="B82" i="4"/>
  <c r="AE81" i="4"/>
  <c r="AD81" i="4"/>
  <c r="AC81" i="4"/>
  <c r="AB81" i="4"/>
  <c r="AA81" i="4"/>
  <c r="X81" i="4"/>
  <c r="B81" i="4"/>
  <c r="AE80" i="4"/>
  <c r="AD80" i="4"/>
  <c r="AC80" i="4"/>
  <c r="AB80" i="4"/>
  <c r="AA80" i="4"/>
  <c r="X80" i="4"/>
  <c r="B80" i="4"/>
  <c r="AD79" i="4"/>
  <c r="AC79" i="4"/>
  <c r="AB79" i="4"/>
  <c r="AA79" i="4"/>
  <c r="X79" i="4"/>
  <c r="B79" i="4"/>
  <c r="AD78" i="4"/>
  <c r="AC78" i="4"/>
  <c r="AB78" i="4"/>
  <c r="AA78" i="4"/>
  <c r="X78" i="4"/>
  <c r="B78" i="4"/>
  <c r="AD77" i="4"/>
  <c r="AC77" i="4"/>
  <c r="AB77" i="4"/>
  <c r="AA77" i="4"/>
  <c r="X77" i="4"/>
  <c r="B77" i="4"/>
  <c r="AD76" i="4"/>
  <c r="AC76" i="4"/>
  <c r="AB76" i="4"/>
  <c r="AA76" i="4"/>
  <c r="X76" i="4"/>
  <c r="B76" i="4"/>
  <c r="AD75" i="4"/>
  <c r="AC75" i="4"/>
  <c r="AB75" i="4"/>
  <c r="AA75" i="4"/>
  <c r="X75" i="4"/>
  <c r="B75" i="4"/>
  <c r="AD74" i="4"/>
  <c r="AC74" i="4"/>
  <c r="AB74" i="4"/>
  <c r="AA74" i="4"/>
  <c r="X74" i="4"/>
  <c r="B74" i="4"/>
  <c r="AE73" i="4"/>
  <c r="AD73" i="4"/>
  <c r="AC73" i="4"/>
  <c r="AB73" i="4"/>
  <c r="AA73" i="4"/>
  <c r="G73" i="4"/>
  <c r="X73" i="4" s="1"/>
  <c r="B73" i="4"/>
  <c r="AE72" i="4"/>
  <c r="AD72" i="4"/>
  <c r="AC72" i="4"/>
  <c r="AB72" i="4"/>
  <c r="AA72" i="4"/>
  <c r="X72" i="4"/>
  <c r="B72" i="4"/>
  <c r="AE71" i="4"/>
  <c r="AD71" i="4"/>
  <c r="AC71" i="4"/>
  <c r="AB71" i="4"/>
  <c r="AA71" i="4"/>
  <c r="X71" i="4"/>
  <c r="B71" i="4"/>
  <c r="AE70" i="4"/>
  <c r="AD70" i="4"/>
  <c r="AC70" i="4"/>
  <c r="AB70" i="4"/>
  <c r="AA70" i="4"/>
  <c r="X70" i="4"/>
  <c r="B70" i="4"/>
  <c r="AE69" i="4"/>
  <c r="AD69" i="4"/>
  <c r="AC69" i="4"/>
  <c r="AB69" i="4"/>
  <c r="AA69" i="4"/>
  <c r="X69" i="4"/>
  <c r="B69" i="4"/>
  <c r="AE68" i="4"/>
  <c r="AD68" i="4"/>
  <c r="AC68" i="4"/>
  <c r="AB68" i="4"/>
  <c r="AA68" i="4"/>
  <c r="X68" i="4"/>
  <c r="B68" i="4"/>
  <c r="AE67" i="4"/>
  <c r="AD67" i="4"/>
  <c r="AC67" i="4"/>
  <c r="AB67" i="4"/>
  <c r="AA67" i="4"/>
  <c r="X67" i="4"/>
  <c r="B67" i="4"/>
  <c r="AE66" i="4"/>
  <c r="AD66" i="4"/>
  <c r="AC66" i="4"/>
  <c r="AB66" i="4"/>
  <c r="AA66" i="4"/>
  <c r="X66" i="4"/>
  <c r="B66" i="4"/>
  <c r="AE65" i="4"/>
  <c r="AD65" i="4"/>
  <c r="AC65" i="4"/>
  <c r="AB65" i="4"/>
  <c r="AA65" i="4"/>
  <c r="X65" i="4"/>
  <c r="B65" i="4"/>
  <c r="AE64" i="4"/>
  <c r="AD64" i="4"/>
  <c r="AC64" i="4"/>
  <c r="AB64" i="4"/>
  <c r="AA64" i="4"/>
  <c r="X64" i="4"/>
  <c r="B64" i="4"/>
  <c r="AE63" i="4"/>
  <c r="AD63" i="4"/>
  <c r="AC63" i="4"/>
  <c r="AB63" i="4"/>
  <c r="AA63" i="4"/>
  <c r="X63" i="4"/>
  <c r="B63" i="4"/>
  <c r="AE62" i="4"/>
  <c r="AD62" i="4"/>
  <c r="AC62" i="4"/>
  <c r="AB62" i="4"/>
  <c r="AA62" i="4"/>
  <c r="X62" i="4"/>
  <c r="B62" i="4"/>
  <c r="AE61" i="4"/>
  <c r="AD61" i="4"/>
  <c r="AC61" i="4"/>
  <c r="AB61" i="4"/>
  <c r="AA61" i="4"/>
  <c r="X61" i="4"/>
  <c r="B61" i="4"/>
  <c r="AE60" i="4"/>
  <c r="AD60" i="4"/>
  <c r="AC60" i="4"/>
  <c r="AB60" i="4"/>
  <c r="AA60" i="4"/>
  <c r="X60" i="4"/>
  <c r="B60" i="4"/>
  <c r="AE59" i="4"/>
  <c r="AD59" i="4"/>
  <c r="AC59" i="4"/>
  <c r="AB59" i="4"/>
  <c r="AA59" i="4"/>
  <c r="X59" i="4"/>
  <c r="B59" i="4"/>
  <c r="AE58" i="4"/>
  <c r="AD58" i="4"/>
  <c r="AC58" i="4"/>
  <c r="AB58" i="4"/>
  <c r="AA58" i="4"/>
  <c r="X58" i="4"/>
  <c r="B58" i="4"/>
  <c r="AE57" i="4"/>
  <c r="AD57" i="4"/>
  <c r="AC57" i="4"/>
  <c r="AB57" i="4"/>
  <c r="AA57" i="4"/>
  <c r="X57" i="4"/>
  <c r="B57" i="4"/>
  <c r="AE56" i="4"/>
  <c r="AD56" i="4"/>
  <c r="AC56" i="4"/>
  <c r="AB56" i="4"/>
  <c r="AA56" i="4"/>
  <c r="X56" i="4"/>
  <c r="B56" i="4"/>
  <c r="AE55" i="4"/>
  <c r="AD55" i="4"/>
  <c r="AC55" i="4"/>
  <c r="AB55" i="4"/>
  <c r="AA55" i="4"/>
  <c r="X55" i="4"/>
  <c r="B55" i="4"/>
  <c r="AE54" i="4"/>
  <c r="AD54" i="4"/>
  <c r="AC54" i="4"/>
  <c r="AB54" i="4"/>
  <c r="AA54" i="4"/>
  <c r="X54" i="4"/>
  <c r="B54" i="4"/>
  <c r="AE53" i="4"/>
  <c r="AD53" i="4"/>
  <c r="AC53" i="4"/>
  <c r="AB53" i="4"/>
  <c r="AA53" i="4"/>
  <c r="X53" i="4"/>
  <c r="B53" i="4"/>
  <c r="AE52" i="4"/>
  <c r="AD52" i="4"/>
  <c r="AC52" i="4"/>
  <c r="AB52" i="4"/>
  <c r="AA52" i="4"/>
  <c r="X52" i="4"/>
  <c r="B52" i="4"/>
  <c r="AE51" i="4"/>
  <c r="AD51" i="4"/>
  <c r="AC51" i="4"/>
  <c r="AB51" i="4"/>
  <c r="AA51" i="4"/>
  <c r="X51" i="4"/>
  <c r="B51" i="4"/>
  <c r="AE50" i="4"/>
  <c r="AD50" i="4"/>
  <c r="AC50" i="4"/>
  <c r="AB50" i="4"/>
  <c r="AA50" i="4"/>
  <c r="X50" i="4"/>
  <c r="B50" i="4"/>
  <c r="AE49" i="4"/>
  <c r="AD49" i="4"/>
  <c r="AC49" i="4"/>
  <c r="AB49" i="4"/>
  <c r="AA49" i="4"/>
  <c r="G49" i="4"/>
  <c r="X49" i="4" s="1"/>
  <c r="B49" i="4"/>
  <c r="AE48" i="4"/>
  <c r="AD48" i="4"/>
  <c r="AC48" i="4"/>
  <c r="AB48" i="4"/>
  <c r="AA48" i="4"/>
  <c r="X48" i="4"/>
  <c r="B48" i="4"/>
  <c r="AE47" i="4"/>
  <c r="AD47" i="4"/>
  <c r="AC47" i="4"/>
  <c r="AB47" i="4"/>
  <c r="AA47" i="4"/>
  <c r="X47" i="4"/>
  <c r="B47" i="4"/>
  <c r="AE46" i="4"/>
  <c r="AD46" i="4"/>
  <c r="AC46" i="4"/>
  <c r="AB46" i="4"/>
  <c r="AA46" i="4"/>
  <c r="X46" i="4"/>
  <c r="B46" i="4"/>
  <c r="AE45" i="4"/>
  <c r="AD45" i="4"/>
  <c r="AC45" i="4"/>
  <c r="AB45" i="4"/>
  <c r="AA45" i="4"/>
  <c r="X45" i="4"/>
  <c r="B45" i="4"/>
  <c r="AE44" i="4"/>
  <c r="AD44" i="4"/>
  <c r="AC44" i="4"/>
  <c r="AB44" i="4"/>
  <c r="AA44" i="4"/>
  <c r="X44" i="4"/>
  <c r="B44" i="4"/>
  <c r="AE43" i="4"/>
  <c r="AD43" i="4"/>
  <c r="AC43" i="4"/>
  <c r="AB43" i="4"/>
  <c r="AA43" i="4"/>
  <c r="G43" i="4"/>
  <c r="B43" i="4" s="1"/>
  <c r="AE42" i="4"/>
  <c r="AD42" i="4"/>
  <c r="AC42" i="4"/>
  <c r="AB42" i="4"/>
  <c r="AA42" i="4"/>
  <c r="G42" i="4"/>
  <c r="X42" i="4" s="1"/>
  <c r="B42" i="4"/>
  <c r="AE41" i="4"/>
  <c r="AD41" i="4"/>
  <c r="AC41" i="4"/>
  <c r="AB41" i="4"/>
  <c r="AA41" i="4"/>
  <c r="X41" i="4"/>
  <c r="B41" i="4"/>
  <c r="AE40" i="4"/>
  <c r="AD40" i="4"/>
  <c r="AC40" i="4"/>
  <c r="AB40" i="4"/>
  <c r="AA40" i="4"/>
  <c r="X40" i="4"/>
  <c r="B40" i="4"/>
  <c r="AE39" i="4"/>
  <c r="AD39" i="4"/>
  <c r="AC39" i="4"/>
  <c r="AB39" i="4"/>
  <c r="AA39" i="4"/>
  <c r="X39" i="4"/>
  <c r="B39" i="4"/>
  <c r="AE38" i="4"/>
  <c r="AD38" i="4"/>
  <c r="AC38" i="4"/>
  <c r="AB38" i="4"/>
  <c r="AA38" i="4"/>
  <c r="X38" i="4"/>
  <c r="B38" i="4"/>
  <c r="AE37" i="4"/>
  <c r="AD37" i="4"/>
  <c r="AC37" i="4"/>
  <c r="AB37" i="4"/>
  <c r="AA37" i="4"/>
  <c r="X37" i="4"/>
  <c r="B37" i="4"/>
  <c r="AE36" i="4"/>
  <c r="AD36" i="4"/>
  <c r="AC36" i="4"/>
  <c r="AB36" i="4"/>
  <c r="AA36" i="4"/>
  <c r="X36" i="4"/>
  <c r="B36" i="4"/>
  <c r="AD35" i="4"/>
  <c r="AC35" i="4"/>
  <c r="AB35" i="4"/>
  <c r="AA35" i="4"/>
  <c r="X35" i="4"/>
  <c r="B35" i="4"/>
  <c r="AD34" i="4"/>
  <c r="AC34" i="4"/>
  <c r="AB34" i="4"/>
  <c r="AA34" i="4"/>
  <c r="X34" i="4"/>
  <c r="B34" i="4"/>
  <c r="AD33" i="4"/>
  <c r="AC33" i="4"/>
  <c r="AB33" i="4"/>
  <c r="AA33" i="4"/>
  <c r="X33" i="4"/>
  <c r="B33" i="4"/>
  <c r="AD32" i="4"/>
  <c r="AC32" i="4"/>
  <c r="AB32" i="4"/>
  <c r="AA32" i="4"/>
  <c r="X32" i="4"/>
  <c r="B32" i="4"/>
  <c r="AD31" i="4"/>
  <c r="AC31" i="4"/>
  <c r="AB31" i="4"/>
  <c r="AA31" i="4"/>
  <c r="X31" i="4"/>
  <c r="B31" i="4"/>
  <c r="AD30" i="4"/>
  <c r="AC30" i="4"/>
  <c r="AB30" i="4"/>
  <c r="AA30" i="4"/>
  <c r="X30" i="4"/>
  <c r="B30" i="4"/>
  <c r="AD29" i="4"/>
  <c r="AC29" i="4"/>
  <c r="AB29" i="4"/>
  <c r="AA29" i="4"/>
  <c r="X29" i="4"/>
  <c r="B29" i="4"/>
  <c r="AD28" i="4"/>
  <c r="AC28" i="4"/>
  <c r="AB28" i="4"/>
  <c r="AA28" i="4"/>
  <c r="X28" i="4"/>
  <c r="B28" i="4"/>
  <c r="AD27" i="4"/>
  <c r="AC27" i="4"/>
  <c r="AB27" i="4"/>
  <c r="AA27" i="4"/>
  <c r="X27" i="4"/>
  <c r="B27" i="4"/>
  <c r="AD26" i="4"/>
  <c r="AC26" i="4"/>
  <c r="AB26" i="4"/>
  <c r="AA26" i="4"/>
  <c r="X26" i="4"/>
  <c r="B26" i="4"/>
  <c r="AD25" i="4"/>
  <c r="AC25" i="4"/>
  <c r="AB25" i="4"/>
  <c r="AA25" i="4"/>
  <c r="X25" i="4"/>
  <c r="B25" i="4"/>
  <c r="AE24" i="4"/>
  <c r="AD24" i="4"/>
  <c r="AC24" i="4"/>
  <c r="AB24" i="4"/>
  <c r="AA24" i="4"/>
  <c r="X24" i="4"/>
  <c r="B24" i="4"/>
  <c r="AE23" i="4"/>
  <c r="X23" i="4"/>
  <c r="T23" i="4"/>
  <c r="AD23" i="4" s="1"/>
  <c r="S23" i="4"/>
  <c r="AB23" i="4" s="1"/>
  <c r="R23" i="4"/>
  <c r="AC23" i="4" s="1"/>
  <c r="Q23" i="4"/>
  <c r="AA23" i="4" s="1"/>
  <c r="B23" i="4"/>
  <c r="AE22" i="4"/>
  <c r="AD22" i="4"/>
  <c r="AC22" i="4"/>
  <c r="AB22" i="4"/>
  <c r="AA22" i="4"/>
  <c r="X22" i="4"/>
  <c r="B22" i="4"/>
  <c r="AE21" i="4"/>
  <c r="AD21" i="4"/>
  <c r="AC21" i="4"/>
  <c r="AB21" i="4"/>
  <c r="AA21" i="4"/>
  <c r="X21" i="4"/>
  <c r="B21" i="4"/>
  <c r="AE20" i="4"/>
  <c r="AD20" i="4"/>
  <c r="AC20" i="4"/>
  <c r="AB20" i="4"/>
  <c r="AA20" i="4"/>
  <c r="X20" i="4"/>
  <c r="B20" i="4"/>
  <c r="AE19" i="4"/>
  <c r="AD19" i="4"/>
  <c r="AC19" i="4"/>
  <c r="AB19" i="4"/>
  <c r="AA19" i="4"/>
  <c r="X19" i="4"/>
  <c r="B19" i="4"/>
  <c r="AE18" i="4"/>
  <c r="AD18" i="4"/>
  <c r="AC18" i="4"/>
  <c r="AB18" i="4"/>
  <c r="AA18" i="4"/>
  <c r="X18" i="4"/>
  <c r="B18" i="4"/>
  <c r="AE17" i="4"/>
  <c r="AD17" i="4"/>
  <c r="AC17" i="4"/>
  <c r="AB17" i="4"/>
  <c r="AA17" i="4"/>
  <c r="X17" i="4"/>
  <c r="B17" i="4"/>
  <c r="AE16" i="4"/>
  <c r="AD16" i="4"/>
  <c r="AC16" i="4"/>
  <c r="AB16" i="4"/>
  <c r="AA16" i="4"/>
  <c r="X16" i="4"/>
  <c r="B16" i="4"/>
  <c r="AE15" i="4"/>
  <c r="AD15" i="4"/>
  <c r="AC15" i="4"/>
  <c r="AB15" i="4"/>
  <c r="AA15" i="4"/>
  <c r="X15" i="4"/>
  <c r="B15" i="4"/>
  <c r="AE14" i="4"/>
  <c r="AD14" i="4"/>
  <c r="AC14" i="4"/>
  <c r="AB14" i="4"/>
  <c r="AA14" i="4"/>
  <c r="X14" i="4"/>
  <c r="B14" i="4"/>
  <c r="AE13" i="4"/>
  <c r="AD13" i="4"/>
  <c r="AC13" i="4"/>
  <c r="AB13" i="4"/>
  <c r="AA13" i="4"/>
  <c r="X13" i="4"/>
  <c r="B13" i="4"/>
  <c r="AE12" i="4"/>
  <c r="AD12" i="4"/>
  <c r="AC12" i="4"/>
  <c r="AB12" i="4"/>
  <c r="AA12" i="4"/>
  <c r="X12" i="4"/>
  <c r="B12" i="4"/>
  <c r="AM11" i="4"/>
  <c r="AE11" i="4"/>
  <c r="AD11" i="4"/>
  <c r="AC11" i="4"/>
  <c r="AB11" i="4"/>
  <c r="AA11" i="4"/>
  <c r="X11" i="4"/>
  <c r="B11" i="4"/>
  <c r="AE10" i="4"/>
  <c r="AD10" i="4"/>
  <c r="AC10" i="4"/>
  <c r="AB10" i="4"/>
  <c r="AA10" i="4"/>
  <c r="X10" i="4"/>
  <c r="B10" i="4"/>
  <c r="AE9" i="4"/>
  <c r="AD9" i="4"/>
  <c r="AC9" i="4"/>
  <c r="AB9" i="4"/>
  <c r="AA9" i="4"/>
  <c r="X9" i="4"/>
  <c r="B9" i="4"/>
  <c r="AE8" i="4"/>
  <c r="AD8" i="4"/>
  <c r="AC8" i="4"/>
  <c r="AB8" i="4"/>
  <c r="AA8" i="4"/>
  <c r="X8" i="4"/>
  <c r="B8" i="4"/>
  <c r="AE7" i="4"/>
  <c r="AD7" i="4"/>
  <c r="AC7" i="4"/>
  <c r="AB7" i="4"/>
  <c r="AA7" i="4"/>
  <c r="X7" i="4"/>
  <c r="B7" i="4"/>
  <c r="AE6" i="4"/>
  <c r="AD6" i="4"/>
  <c r="AC6" i="4"/>
  <c r="AB6" i="4"/>
  <c r="AA6" i="4"/>
  <c r="X6" i="4"/>
  <c r="B6" i="4"/>
  <c r="AE5" i="4"/>
  <c r="AD5" i="4"/>
  <c r="AC5" i="4"/>
  <c r="AB5" i="4"/>
  <c r="AA5" i="4"/>
  <c r="X5" i="4"/>
  <c r="B5" i="4"/>
  <c r="AE4" i="4"/>
  <c r="AD4" i="4"/>
  <c r="AC4" i="4"/>
  <c r="AB4" i="4"/>
  <c r="AA4" i="4"/>
  <c r="X4" i="4"/>
  <c r="B4" i="4"/>
  <c r="AE3" i="4"/>
  <c r="AD3" i="4"/>
  <c r="AC3" i="4"/>
  <c r="AB3" i="4"/>
  <c r="AA3" i="4"/>
  <c r="X3" i="4"/>
  <c r="B3" i="4"/>
  <c r="AJ2" i="4"/>
  <c r="AE187" i="4" l="1"/>
  <c r="AE644" i="4"/>
  <c r="AE677" i="4"/>
  <c r="B190" i="4"/>
  <c r="B203" i="4"/>
  <c r="AE208" i="4"/>
  <c r="B211" i="4"/>
  <c r="B240" i="4"/>
  <c r="X310" i="4"/>
  <c r="B408" i="4"/>
  <c r="B410" i="4"/>
  <c r="AE411" i="4"/>
  <c r="B467" i="4"/>
  <c r="B808" i="4"/>
  <c r="B811" i="4"/>
  <c r="B185" i="4"/>
  <c r="X190" i="4"/>
  <c r="B225" i="4"/>
  <c r="B230" i="4"/>
  <c r="B399" i="4"/>
  <c r="B427" i="4"/>
  <c r="B469" i="4"/>
  <c r="B791" i="4"/>
  <c r="B184" i="4"/>
  <c r="B189" i="4"/>
  <c r="B200" i="4"/>
  <c r="B206" i="4"/>
  <c r="B208" i="4"/>
  <c r="AE211" i="4"/>
  <c r="B313" i="4"/>
  <c r="B407" i="4"/>
  <c r="AE408" i="4"/>
  <c r="B411" i="4"/>
  <c r="B433" i="4"/>
  <c r="B468" i="4"/>
  <c r="B599" i="4"/>
  <c r="B686" i="4"/>
  <c r="X225" i="4"/>
  <c r="X230" i="4"/>
  <c r="AE185" i="4"/>
  <c r="AE791" i="4"/>
  <c r="AE129" i="4"/>
  <c r="I3" i="1"/>
  <c r="F3" i="1"/>
  <c r="X206" i="4"/>
  <c r="AE399" i="4"/>
  <c r="AE427" i="4"/>
  <c r="AE469" i="4"/>
  <c r="AE196" i="4"/>
  <c r="AE293" i="4"/>
  <c r="AE202" i="4"/>
  <c r="AE311" i="4"/>
  <c r="AE405" i="4"/>
  <c r="AE466" i="4"/>
  <c r="AE601" i="4"/>
  <c r="X43" i="4"/>
  <c r="B201" i="4"/>
  <c r="AE201" i="4"/>
  <c r="AE312" i="4"/>
  <c r="X312" i="4"/>
  <c r="X470" i="4"/>
  <c r="X201" i="4"/>
  <c r="X793" i="4"/>
  <c r="X404" i="4"/>
  <c r="X413" i="4"/>
  <c r="X467" i="4"/>
  <c r="X678" i="4"/>
  <c r="X203" i="4"/>
  <c r="X429" i="4"/>
  <c r="X790" i="4"/>
  <c r="X564" i="4"/>
  <c r="X599" i="4"/>
  <c r="X410" i="4"/>
  <c r="X646" i="4"/>
  <c r="X200" i="4"/>
  <c r="AE409" i="4"/>
  <c r="X409" i="4"/>
  <c r="AE645" i="4"/>
  <c r="X645" i="4"/>
  <c r="B210" i="4"/>
  <c r="AE210" i="4"/>
  <c r="X418" i="4"/>
  <c r="X482" i="4"/>
  <c r="X681" i="4"/>
  <c r="X130" i="4"/>
  <c r="X210" i="4"/>
  <c r="X227" i="4"/>
  <c r="B295" i="4"/>
  <c r="AE295" i="4"/>
  <c r="B133" i="4"/>
  <c r="AE133" i="4"/>
  <c r="X189" i="4"/>
  <c r="X194" i="4"/>
  <c r="X295" i="4"/>
  <c r="AE406" i="4"/>
  <c r="X406" i="4"/>
  <c r="B198" i="4"/>
  <c r="AE198" i="4"/>
  <c r="B207" i="4"/>
  <c r="AE207" i="4"/>
  <c r="X415" i="4"/>
  <c r="X812" i="4"/>
  <c r="X186" i="4"/>
  <c r="X207" i="4"/>
  <c r="X297" i="4"/>
  <c r="B483" i="4"/>
  <c r="AE483" i="4"/>
  <c r="X687" i="4"/>
  <c r="X401" i="4"/>
  <c r="X483" i="4"/>
  <c r="X131" i="4"/>
  <c r="X209" i="4"/>
  <c r="AE403" i="4"/>
  <c r="X403" i="4"/>
  <c r="AE412" i="4"/>
  <c r="X412" i="4"/>
  <c r="X490" i="4"/>
  <c r="AE648" i="4"/>
  <c r="X648" i="4"/>
  <c r="X810" i="4"/>
  <c r="B195" i="4"/>
  <c r="AE195" i="4"/>
  <c r="B204" i="4"/>
  <c r="AE204" i="4"/>
  <c r="X426" i="4"/>
  <c r="X195" i="4"/>
  <c r="X204" i="4"/>
  <c r="X294" i="4"/>
  <c r="B416" i="4"/>
  <c r="AE416" i="4"/>
  <c r="AE428" i="4"/>
  <c r="X428" i="4"/>
  <c r="AE131" i="4"/>
  <c r="B298" i="4"/>
  <c r="AE298" i="4"/>
  <c r="X407" i="4"/>
  <c r="B409" i="4"/>
  <c r="X416" i="4"/>
  <c r="B418" i="4"/>
  <c r="B470" i="4"/>
  <c r="B482" i="4"/>
  <c r="X643" i="4"/>
  <c r="B645" i="4"/>
  <c r="B681" i="4"/>
  <c r="X684" i="4"/>
  <c r="X808" i="4"/>
  <c r="X132" i="4"/>
  <c r="X686" i="4"/>
  <c r="X809" i="4"/>
  <c r="X811" i="4"/>
  <c r="I14" i="1" l="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4" i="1"/>
  <c r="I5" i="1"/>
  <c r="I6" i="1"/>
  <c r="I7" i="1"/>
  <c r="I8" i="1"/>
  <c r="I9" i="1"/>
  <c r="I10" i="1"/>
  <c r="I11" i="1"/>
  <c r="I12" i="1"/>
  <c r="I13" i="1"/>
</calcChain>
</file>

<file path=xl/sharedStrings.xml><?xml version="1.0" encoding="utf-8"?>
<sst xmlns="http://schemas.openxmlformats.org/spreadsheetml/2006/main" count="9830" uniqueCount="3447">
  <si>
    <t>Field List:</t>
  </si>
  <si>
    <t>Item 1</t>
  </si>
  <si>
    <t>Data Format and rounding requirements:</t>
  </si>
  <si>
    <t>Excel pivot table - Unrounded</t>
  </si>
  <si>
    <t>HESA Dataset</t>
  </si>
  <si>
    <t>Total to be provided:</t>
  </si>
  <si>
    <t>FPE</t>
  </si>
  <si>
    <t>Enquiry Number</t>
  </si>
  <si>
    <t>Organisation Name</t>
  </si>
  <si>
    <t>Format</t>
  </si>
  <si>
    <t>Dataset</t>
  </si>
  <si>
    <t>Totals</t>
  </si>
  <si>
    <t>Excel spreadsheet format - Unrounded</t>
  </si>
  <si>
    <t>Excel spreadsheet format - Data rounded to the nearest 5</t>
  </si>
  <si>
    <t>Count</t>
  </si>
  <si>
    <t>FTE</t>
  </si>
  <si>
    <t>Excel pivot table - Data rounded to the nearest 5</t>
  </si>
  <si>
    <t>FPE and FTE (apportioned)</t>
  </si>
  <si>
    <t>Tab delimited text file format - Unrounded</t>
  </si>
  <si>
    <t>Unistats</t>
  </si>
  <si>
    <t>FPE and FTE</t>
  </si>
  <si>
    <t>Tab delimited text file format - Data rounded to the nearest 5</t>
  </si>
  <si>
    <t>Count and FTE</t>
  </si>
  <si>
    <t xml:space="preserve">Tab delimited labeled file format </t>
  </si>
  <si>
    <t>Percentages of FPE</t>
  </si>
  <si>
    <t xml:space="preserve">CSV labeled file format </t>
  </si>
  <si>
    <t>Destinations of Leavers from Higher Education (DLHE) Survey</t>
  </si>
  <si>
    <t>Percentages</t>
  </si>
  <si>
    <t>CSV file format - Unrounded</t>
  </si>
  <si>
    <t>AP Destinations of Leavers from Higher Education (DLHE) Survey</t>
  </si>
  <si>
    <t>Count and Percentages</t>
  </si>
  <si>
    <t>CSV file format - Data rounded to the nearest 5</t>
  </si>
  <si>
    <t>FPE and Percentages</t>
  </si>
  <si>
    <t>FTE and Percentages</t>
  </si>
  <si>
    <t>Average salary</t>
  </si>
  <si>
    <t>HE-BCI Record</t>
  </si>
  <si>
    <t>Average tariff</t>
  </si>
  <si>
    <t>Estates Management Record</t>
  </si>
  <si>
    <t>FPE and Weighted FPE</t>
  </si>
  <si>
    <t xml:space="preserve">Headcount and Weighted headcount </t>
  </si>
  <si>
    <t>T3 population (full-time, undergraduate, entrants)</t>
  </si>
  <si>
    <t>Headcount</t>
  </si>
  <si>
    <t>Not applicable</t>
  </si>
  <si>
    <t>HeadcountX</t>
  </si>
  <si>
    <t>HeacountDS</t>
  </si>
  <si>
    <t>HeadcountSCS</t>
  </si>
  <si>
    <t>HeadcountSW</t>
  </si>
  <si>
    <t>HeadcountSSC</t>
  </si>
  <si>
    <t>FTE (apportioned)</t>
  </si>
  <si>
    <t>REF and CON FTE</t>
  </si>
  <si>
    <t>Fill in the information below from the contract. Please do not add new lines or the tool will break.</t>
  </si>
  <si>
    <t>Please select data format</t>
  </si>
  <si>
    <t>Please select dataset</t>
  </si>
  <si>
    <t>Please select total</t>
  </si>
  <si>
    <t>Warnings:</t>
  </si>
  <si>
    <t>Year(s):</t>
  </si>
  <si>
    <t>Andy Tetlow</t>
  </si>
  <si>
    <t>UniqueID</t>
  </si>
  <si>
    <t>Field + Options combined</t>
  </si>
  <si>
    <t>Collection</t>
  </si>
  <si>
    <t>Field</t>
  </si>
  <si>
    <t>Options for supplying the Field</t>
  </si>
  <si>
    <t>Fieldname</t>
  </si>
  <si>
    <t>Warnings</t>
  </si>
  <si>
    <t>Complexity (1-10)</t>
  </si>
  <si>
    <t>Data value score</t>
  </si>
  <si>
    <t>Identification risk</t>
  </si>
  <si>
    <t>Sensitivity</t>
  </si>
  <si>
    <t>In Heidi?</t>
  </si>
  <si>
    <t>Link to definition</t>
  </si>
  <si>
    <t>Parent</t>
  </si>
  <si>
    <t>DW SQL</t>
  </si>
  <si>
    <t>DW label</t>
  </si>
  <si>
    <t>DW Join</t>
  </si>
  <si>
    <t>Field label exclusion</t>
  </si>
  <si>
    <t>Field format</t>
  </si>
  <si>
    <t>Search String</t>
  </si>
  <si>
    <t>Date Added</t>
  </si>
  <si>
    <t>Added by?</t>
  </si>
  <si>
    <t>GroupBy</t>
  </si>
  <si>
    <t>Label GroupBy</t>
  </si>
  <si>
    <t>Label Fieldname</t>
  </si>
  <si>
    <t>MaxUniqueID</t>
  </si>
  <si>
    <t>Estates</t>
  </si>
  <si>
    <t>1 Field (Estates)</t>
  </si>
  <si>
    <t>external.chris westlake</t>
  </si>
  <si>
    <t>Student</t>
  </si>
  <si>
    <t>A Level Marker</t>
  </si>
  <si>
    <t>ZALEV_MARKER</t>
  </si>
  <si>
    <t>No</t>
  </si>
  <si>
    <t xml:space="preserve">Case when d.F_ZALEV_HIGH_MARKER in ('1','3') then 'A-level' else 'Other' end </t>
  </si>
  <si>
    <t xml:space="preserve"> </t>
  </si>
  <si>
    <t>d</t>
  </si>
  <si>
    <t/>
  </si>
  <si>
    <t>varchar(7)</t>
  </si>
  <si>
    <t>Rebecca.Hobbs</t>
  </si>
  <si>
    <t>ABB marker</t>
  </si>
  <si>
    <t>ABB_MARKER</t>
  </si>
  <si>
    <t>CASE WHEN SUBSTRING(d.f_ztop_alevels, 1, 3) IN ('***', '**A', '**B', '*AA', '*AB', '*BB', 'AAA', 'AAB', 'ABB') THEN 'ABB'  WHEN SUBSTRING(d.f_ztop_highers, 1, 5) IN ('AAAAA', 'AAAAB', 'AAABB', 'AABBB', 'AAAAC', 'AAABC', 'AAACC', 'AABBC') THEN 'ABB' ELSE 'Not ABB' END</t>
  </si>
  <si>
    <t>External.Vicky Duxbury</t>
  </si>
  <si>
    <t>Staff</t>
  </si>
  <si>
    <t>Academic discipline 1</t>
  </si>
  <si>
    <t>Andy.Tetlow</t>
  </si>
  <si>
    <t>Academic employment function</t>
  </si>
  <si>
    <t>(Research only/ Teaching &amp; research/ Teaching only/ Neither teaching nor research/ [Not applicable/Unknown])</t>
  </si>
  <si>
    <t>F_ACEMPFUN</t>
  </si>
  <si>
    <t>Yes</t>
  </si>
  <si>
    <t>CASE WHEN ISNULL(C.F_ACEMPFUN, 'X') IN ('X','', ' ') THEN 'X' ELSE ISNULL(C.F_ACEMPFUN, 'X') END</t>
  </si>
  <si>
    <t>ISNULL((SELECT TOP 1 DW_CurrentLabel FROM Staff.C025_Meta_Data AS f with(nolock) WHERE c.F_ACEMPFUN=F.Entry AND FieldName='ACEMPFUN' ORDER BY DW_FromDate DESC), 'Not applicable/Not required (Default code)')</t>
  </si>
  <si>
    <t>varchar(1)</t>
  </si>
  <si>
    <t>Academic employment marker</t>
  </si>
  <si>
    <t>F_XACMRK01</t>
  </si>
  <si>
    <t>IIF(c.F_XACMRK01 IN ('0','9'),'2',cast(c.F_XACMRK01 as varchar))</t>
  </si>
  <si>
    <t>IIF(c.F_XACMRK01 IN ('0','9','2'),'Not an academic contract/Not applicable','Academic contract')</t>
  </si>
  <si>
    <t>varchar(30)</t>
  </si>
  <si>
    <t>Academic leavers marker</t>
  </si>
  <si>
    <t>- 2006/07 onwards</t>
  </si>
  <si>
    <t>F_ZACLEAV02</t>
  </si>
  <si>
    <t>CASE WHEN cc.DW_FromDate &lt;=20050801 THEN 'Not applicable (2005/06 and prior)' WHEN sd.F_ZACLEAV02 IS NULL THEN '0' ELSE CAST(sd.F_ZACLEAV02 AS VARCHAR) END</t>
  </si>
  <si>
    <t>CASE WHEN cc.DW_FromDate &lt;=20050801 THEN 'Not applicable (2005/06 and prior)' WHEN ISNULL(sd.F_ZACLEAV02, '0') = '1' THEN 'Academic contract belongs to an academic leaver' WHEN ISNULL(sd.F_ZACLEAV02, '0') = '0' THEN 'Contract is not academic or does not belong to an academic leaver' WHEN ISNULL(sd.F_ZACLEAV02, '0') = '9' THEN 'Not applicable (HE provider left the HE sector)' ELSE CAST(sd.F_ZACLEAV02 AS VARCHAR) END</t>
  </si>
  <si>
    <t>sd</t>
  </si>
  <si>
    <t>Academic leaving destination</t>
  </si>
  <si>
    <t>(UK employment/ Non-UK employment/ No longer in employment/ Unknown destination)</t>
  </si>
  <si>
    <t>(Full) - 2006/07 onwards</t>
  </si>
  <si>
    <t>F_ZDEST01</t>
  </si>
  <si>
    <t>CASE WHEN cc.DW_FromDate &lt;=20050801 THEN 'Not applicable (2005/06 and prior)' WHEN sd.F_ZDEST01 IS NULL THEN '$$' ELSE CAST(sd.F_ZDEST01 AS VARCHAR) END</t>
  </si>
  <si>
    <t>CASE WHEN cc.DW_FromDate &lt;=20050801 THEN 'Not applicable (2005/06 and prior)' WHEN ISNULL(sd.F_ZDEST01, '$$') = '01' THEN 'Another higher education provider in UK' WHEN ISNULL(sd.F_ZDEST01, '$$') = '02' THEN 'Higher education provider in an overseas country' WHEN ISNULL(sd.F_ZDEST01, '$$') = '03' THEN 'Other education provider in UK' WHEN ISNULL(sd.F_ZDEST01, '$$') = '04' THEN 'Other education provider in an overseas country' WHEN ISNULL(sd.F_ZDEST01, '$$') = '05' THEN 'Research institution in the UK' WHEN ISNULL(sd.F_ZDEST01, '$$') = '06' THEN 'Research institution overseas' WHEN ISNULL(sd.F_ZDEST01, '$$') = '07' THEN 'Student in UK' WHEN ISNULL(sd.F_ZDEST01, '$$') = '08' THEN 'Student in an overseas country' WHEN ISNULL(sd.F_ZDEST01, '$$') = '09' THEN 'NHS/General medical or general dental practice in UK' WHEN ISNULL(sd.F_ZDEST01, '$$') = '10' THEN 'Health service in an overseas country' WHEN ISNULL(sd.F_ZDEST01, '$$') = '11' THEN 'Other public sector in UK' WHEN ISNULL(sd.F_ZDEST01, '$$') = '12' THEN 'Private industry/commerce in UK' WHEN ISNULL(sd.F_ZDEST01, '$$') = '13' THEN 'Self-employed in UK' WHEN ISNULL(sd.F_ZDEST01, '$$') = '14' THEN 'Other employment in UK (prior to 2012/13 only)' WHEN ISNULL(sd.F_ZDEST01, '$$') = '15' THEN 'Other employment in an overseas country (prior to 2012/13 only)' WHEN ISNULL(sd.F_ZDEST01, '$$') = '16' THEN 'Voluntary sector in the UK (from 2012/13 onwards)' WHEN ISNULL(sd.F_ZDEST01, '$$') = '17' THEN 'Other public sector in an overseas country (from 2012/13 onwards)' WHEN ISNULL(sd.F_ZDEST01, '$$') = '18' THEN 'Private industry/commerce in an overseas country (from 2012/13 onwards)' WHEN ISNULL(sd.F_ZDEST01, '$$') = '19' THEN 'Self-employed in an overseas country (from 2012/13 onwards)' WHEN ISNULL(sd.F_ZDEST01, '$$') = '20' THEN 'Voluntary sector in an overseas country (from 2012/13 onwards)' WHEN ISNULL(sd.F_ZDEST01, '$$') = '21' THEN 'Not in regular employment' WHEN ISNULL(sd.F_ZDEST01, '$$') = '22' THEN 'Retirement' WHEN ISNULL(sd.F_ZDEST01, '$$') = '31' THEN 'Death' WHEN ISNULL(sd.F_ZDEST01, '$$') = '99' THEN 'Not known' WHEN ISNULL(sd.F_ZDEST01, '$$') = '$$' THEN 'Not applicable' ELSE CAST(sd.F_ZDEST01 AS VARCHAR) END</t>
  </si>
  <si>
    <t>Academic starter marker</t>
  </si>
  <si>
    <t>F_ZACSTAR02</t>
  </si>
  <si>
    <t>CASE WHEN C.F_XACMRK01 ='2' THEN '9' ELSE cast(sd.f_zacstar02 as varchar) END</t>
  </si>
  <si>
    <t>Academic teaching qualification marker</t>
  </si>
  <si>
    <t>(2012/13 onwards)</t>
  </si>
  <si>
    <t>F_ACTCHQUAL</t>
  </si>
  <si>
    <t>CASE when c.dw_fromdate &lt; 20120801 then 'Not applicable before 2012/13' WHEN C.F_XACMRK01 = '2' THEN 'N/A'   WHEN P.F_ACTCHQUAL1 IN ('01', '02', '03', '04', '05', '06', '07', '08', '09', '10') THEN 'Yes'  WHEN P.F_ACTCHQUAL1 = '90' THEN 'Not Known'  WHEN P.F_ACTCHQUAL1 = '99' THEN 'No qualification' ELSE 'Not Known' END</t>
  </si>
  <si>
    <t>varchar(20)</t>
  </si>
  <si>
    <t>Vicky Duxbury</t>
  </si>
  <si>
    <t>Academic year</t>
  </si>
  <si>
    <t>ACYEAR</t>
  </si>
  <si>
    <t>First year marker is useful</t>
  </si>
  <si>
    <t>will.joice</t>
  </si>
  <si>
    <t>Access programmes</t>
  </si>
  <si>
    <t>F_ACCESS</t>
  </si>
  <si>
    <t>CASE WHEN e.F_ACCESS IN ('',' ','U') THEN 'UNK' WHEN e.F_ACCESS IS NULL THEN 'UNK' ELSE ISNULL(e.F_ACCESS,'UNK') END</t>
  </si>
  <si>
    <t>CASE WHEN e.f_access = 1 THEN 'Entered HE via the SWAP' WHEN e.f_access = 2 THEN 'Entered HE via other access programme excluding SWAP' ELSE 'Unknown' end</t>
  </si>
  <si>
    <t>e</t>
  </si>
  <si>
    <t>varchar(3)</t>
  </si>
  <si>
    <t>DLHE</t>
  </si>
  <si>
    <t>Activity (2011/12 - 2016/17)</t>
  </si>
  <si>
    <t>F_XACTIV02</t>
  </si>
  <si>
    <t>Partial - Emp and FS markers only</t>
  </si>
  <si>
    <t>varchar(2)</t>
  </si>
  <si>
    <t>Graduate Outcomes</t>
  </si>
  <si>
    <t>Activity</t>
  </si>
  <si>
    <t>(Paid work for an employer) [ALLACT01]</t>
  </si>
  <si>
    <t>ALLACT01</t>
  </si>
  <si>
    <t>Provider &gt; Graduate:</t>
  </si>
  <si>
    <t xml:space="preserve">CASE WHEN ISNULL(g.ZRESPSTATUS, '02')='02' OR ISNULL(g.XACTIVITY, '99')='99' THEN 'Not in GO publication population' else ISNULL(g.ALLACT01,'NA/UNK') end </t>
  </si>
  <si>
    <t xml:space="preserve">CASE WHEN ISNULL(g.ZRESPSTATUS, '02')='02' OR ISNULL(g.XACTIVITY, '99')='99' THEN 'Not in GO publication population' else ISNULL(ALLACT01.label,'NA/UNK') end </t>
  </si>
  <si>
    <t>allact01</t>
  </si>
  <si>
    <t>William.Joice</t>
  </si>
  <si>
    <t>(Self-employment/freelancing) [ALLACT02]</t>
  </si>
  <si>
    <t>ALLACT02</t>
  </si>
  <si>
    <t>CASE WHEN ISNULL(g.ZRESPSTATUS, '02')='02' OR ISNULL(g.XACTIVITY, '99')='99' THEN 'Not in GO publication population' else ISNULL(g.ALLACT02,'NA/UNK') end</t>
  </si>
  <si>
    <t>CASE WHEN ISNULL(g.ZRESPSTATUS, '02')='02' OR ISNULL(g.XACTIVITY, '99')='99' THEN 'Not in GO publication population' else ISNULL(ALLACT02.label,'NA/UNK') end</t>
  </si>
  <si>
    <t>allact02</t>
  </si>
  <si>
    <t>(Running my own business) [ALLACT03]</t>
  </si>
  <si>
    <t>ALLACT03</t>
  </si>
  <si>
    <t>CASE WHEN ISNULL(g.ZRESPSTATUS, '02')='02' OR ISNULL(g.XACTIVITY, '99')='99' THEN 'Not in GO publication population' else ISNULL(g.ALLACT03,'NA/UNK') end</t>
  </si>
  <si>
    <t>CASE WHEN ISNULL(g.ZRESPSTATUS, '02')='02' OR ISNULL(g.XACTIVITY, '99')='99' THEN 'Not in GO publication population' else ISNULL(ALLACT03.label,'NA/UNK') end</t>
  </si>
  <si>
    <t>allact03</t>
  </si>
  <si>
    <t>(Developing a creative, artistic or professional portfolio) [ALLACT04]</t>
  </si>
  <si>
    <t>ALLACT04</t>
  </si>
  <si>
    <t>CASE WHEN ISNULL(g.ZRESPSTATUS, '02')='02' OR ISNULL(g.XACTIVITY, '99')='99' THEN 'Not in GO publication population' else ISNULL(g.ALLACT04,'NA/UNK') end</t>
  </si>
  <si>
    <t>CASE WHEN ISNULL(g.ZRESPSTATUS, '02')='02' OR ISNULL(g.XACTIVITY, '99')='99' THEN 'Not in GO publication population' else ISNULL(ALLACT04.label,'NA/UNK') end</t>
  </si>
  <si>
    <t>allact04</t>
  </si>
  <si>
    <t>(Voluntary/unpaid work for an employer) [ALLACT05]</t>
  </si>
  <si>
    <t>ALLACT05</t>
  </si>
  <si>
    <t>CASE WHEN ISNULL(g.ZRESPSTATUS, '02')='02' OR ISNULL(g.XACTIVITY, '99')='99' THEN 'Not in GO publication population' else ISNULL(g.ALLACT05,'NA/UNK') end</t>
  </si>
  <si>
    <t>CASE WHEN ISNULL(g.ZRESPSTATUS, '02')='02' OR ISNULL(g.XACTIVITY, '99')='99' THEN 'Not in GO publication population' else ISNULL(ALLACT05.label,'NA/UNK') end</t>
  </si>
  <si>
    <t>allact05</t>
  </si>
  <si>
    <t>(Engaged in a course of study, training or research) [ALLACT06]</t>
  </si>
  <si>
    <t>ALLACT06</t>
  </si>
  <si>
    <t>CASE WHEN ISNULL(g.ZRESPSTATUS, '02')='02' OR ISNULL(g.XACTIVITY, '99')='99' THEN 'Not in GO publication population' else ISNULL(g.ALLACT06,'NA/UNK') end</t>
  </si>
  <si>
    <t>CASE WHEN ISNULL(g.ZRESPSTATUS, '02')='02' OR ISNULL(g.XACTIVITY, '99')='99' THEN 'Not in GO publication population' else ISNULL(ALLACT06.label,'NA/UNK') end</t>
  </si>
  <si>
    <t>allact06</t>
  </si>
  <si>
    <t>(Taking time out to travel - this does not include short-term holidays) [ALLACT07]</t>
  </si>
  <si>
    <t>ALLACT07</t>
  </si>
  <si>
    <t>CASE WHEN ISNULL(g.ZRESPSTATUS, '02')='02' OR ISNULL(g.XACTIVITY, '99')='99' THEN 'Not in GO publication population' else ISNULL(g.ALLACT07,'NA/UNK') end</t>
  </si>
  <si>
    <t>CASE WHEN ISNULL(g.ZRESPSTATUS, '02')='02' OR ISNULL(g.XACTIVITY, '99')='99' THEN 'Not in GO publication population' else ISNULL(ALLACT07.label,'NA/UNK') end</t>
  </si>
  <si>
    <t>allact07</t>
  </si>
  <si>
    <t>(Caring for someone (unpaid)) [ALLACT08]</t>
  </si>
  <si>
    <t>ALLACT08</t>
  </si>
  <si>
    <t>CASE WHEN ISNULL(g.ZRESPSTATUS, '02')='02' OR ISNULL(g.XACTIVITY, '99')='99' THEN 'Not in GO publication population' else ISNULL(g.ALLACT08,'NA/UNK') end</t>
  </si>
  <si>
    <t>CASE WHEN ISNULL(g.ZRESPSTATUS, '02')='02' OR ISNULL(g.XACTIVITY, '99')='99' THEN 'Not in GO publication population' else ISNULL(ALLACT08.label,'NA/UNK') end</t>
  </si>
  <si>
    <t>allact08</t>
  </si>
  <si>
    <t>(Retired) [ALLACT09]</t>
  </si>
  <si>
    <t>ALLACT09</t>
  </si>
  <si>
    <t>CASE WHEN ISNULL(g.ZRESPSTATUS, '02')='02' OR ISNULL(g.XACTIVITY, '99')='99' THEN 'Not in GO publication population' else ISNULL(g.ALLACT09,'NA/UNK') end</t>
  </si>
  <si>
    <t>CASE WHEN ISNULL(g.ZRESPSTATUS, '02')='02' OR ISNULL(g.XACTIVITY, '99')='99' THEN 'Not in GO publication population' else ISNULL(ALLACT09.label,'NA/UNK') end</t>
  </si>
  <si>
    <t>allact09</t>
  </si>
  <si>
    <t>(Unemployed and looking for work) [ALLACT10]</t>
  </si>
  <si>
    <t>ALLACT10</t>
  </si>
  <si>
    <t>CASE WHEN ISNULL(g.ZRESPSTATUS, '02')='02' OR ISNULL(g.XACTIVITY, '99')='99' THEN 'Not in GO publication population' else ISNULL(g.ALLACT10,'NA/UNK') end</t>
  </si>
  <si>
    <t>CASE WHEN ISNULL(g.ZRESPSTATUS, '02')='02' OR ISNULL(g.XACTIVITY, '99')='99' THEN 'Not in GO publication population' else ISNULL(ALLACT10.label,'NA/UNK') end</t>
  </si>
  <si>
    <t>allact10</t>
  </si>
  <si>
    <t>(Doing something else) [ALLACT11]</t>
  </si>
  <si>
    <t>ALLACT11</t>
  </si>
  <si>
    <t>CASE WHEN ISNULL(g.ZRESPSTATUS, '02')='02' OR ISNULL(g.XACTIVITY, '99')='99' THEN 'Not in GO publication population' else ISNULL(g.ALLACT11,'NA/UNK') end</t>
  </si>
  <si>
    <t>CASE WHEN ISNULL(g.ZRESPSTATUS, '02')='02' OR ISNULL(g.XACTIVITY, '99')='99' THEN 'Not in GO publication population' else ISNULL(ALLACT11.label,'NA/UNK') end</t>
  </si>
  <si>
    <t>allact11</t>
  </si>
  <si>
    <t>(Full - 2011/12 and prior)</t>
  </si>
  <si>
    <t>F_ACT</t>
  </si>
  <si>
    <t>CASE WHEN cc.DW_FromDate &gt;= 20120801 THEN 'Not applicable (2012/13 onwards)' ELSE cc.F_ACT END</t>
  </si>
  <si>
    <t>CASE WHEN cc.DW_FromDate &gt;= 20120801 THEN 'Not applicable (2012/13 onwards)' ELSE ACT.label END</t>
  </si>
  <si>
    <t>act</t>
  </si>
  <si>
    <t>Activity (SOC major groups)</t>
  </si>
  <si>
    <t xml:space="preserve"> - 2012/13 onwards</t>
  </si>
  <si>
    <t>F_XACTSOC01</t>
  </si>
  <si>
    <t>Yes - Activity prior to 1213 also available</t>
  </si>
  <si>
    <t>cc</t>
  </si>
  <si>
    <t>Activity after leaving</t>
  </si>
  <si>
    <t xml:space="preserve"> - Not applicable 2011/12 and prior</t>
  </si>
  <si>
    <t>F_ACTLEAVE</t>
  </si>
  <si>
    <t>CASE when c.dw_fromdate &lt;= 20110801 then 'Not applicable (2011/12 and prior)'  else iif(P.F_ACTLEAVE='', 'na',p.F_ACTLEAVE) END</t>
  </si>
  <si>
    <t>ACTLEAVE</t>
  </si>
  <si>
    <t>sarah.durso</t>
  </si>
  <si>
    <t>Activity check</t>
  </si>
  <si>
    <t>[ACTCHECK]</t>
  </si>
  <si>
    <t>ACTCHECK</t>
  </si>
  <si>
    <t>CASE WHEN ISNULL(g.ZRESPSTATUS, '02')='02' OR ISNULL(g.XACTIVITY, '99')='99' THEN 'Not in GO publication population' else IIF(isnull(g.ACTCHECK,'')='','N/A',g.ACTCHECK) end</t>
  </si>
  <si>
    <t>CASE WHEN ISNULL(g.ZRESPSTATUS, '02')='02' OR ISNULL(g.XACTIVITY, '99')='99' THEN 'Not in GO publication population' else IIF(isnull(g.ACTCHECK,'')='','N/A',ACTCHECK.label) end</t>
  </si>
  <si>
    <t>actcheck</t>
  </si>
  <si>
    <t>Activity is meaningful</t>
  </si>
  <si>
    <t>F_XWRKMEAN</t>
  </si>
  <si>
    <t>Provider &gt; Official Stats Derived Field &gt; All</t>
  </si>
  <si>
    <t>CASE WHEN ISNULL(g.ZRESPSTATUS, '02')='02' OR ISNULL(g.XACTIVITY, '99')='99' THEN 'Not in GO publication population'  WHEN ISNULL(g.XACTMEAN, '-1') IN ('-1', '', ' ','NA','NR') THEN 'Not applicable' ELSE g.xactmean END</t>
  </si>
  <si>
    <t>CASE WHEN ISNULL(g.ZRESPSTATUS, '02')='02' OR ISNULL(g.XACTIVITY, '99')='99' THEN 'Not in GO publication population' WHEN ISNULL(g.XACTMEAN, '-1') IN ('-1', '', ' ','NA','NR') THEN 'Not applicable' else xWRKMEAN.label end</t>
  </si>
  <si>
    <t>xwrkmean</t>
  </si>
  <si>
    <t>Activity is on track</t>
  </si>
  <si>
    <t>F_XWRKONTRACK</t>
  </si>
  <si>
    <t>CASE WHEN ISNULL(g.ZRESPSTATUS, '02')='02' OR ISNULL(g.XACTIVITY, '99')='99' THEN 'Not in GO publication population' WHEN ISNULL(g.xactontrack, '-1') IN ('-1', '', ' ','NA') THEN 'Not applicable' ELSE isnull(g.xactontrack,'NA') END</t>
  </si>
  <si>
    <t>CASE WHEN ISNULL(g.ZRESPSTATUS, '02')='02' OR ISNULL(g.XACTIVITY, '99')='99' THEN 'Not in GO publication population' WHEN ISNULL(g.xactontrack, '-1') IN ('-1', '', ' ','NA') THEN 'Not applicable' else xWRKONTRACK.label end</t>
  </si>
  <si>
    <t>xwrkontrack</t>
  </si>
  <si>
    <t>Activity markers 1 to 8</t>
  </si>
  <si>
    <t>Activity meaningful</t>
  </si>
  <si>
    <t>[ACTMEAN]</t>
  </si>
  <si>
    <t>ACTMEAN</t>
  </si>
  <si>
    <t>Derived field available</t>
  </si>
  <si>
    <t>Provider &gt; Graduate &gt; Activity Reflection:</t>
  </si>
  <si>
    <t>CASE WHEN ISNULL(g.ZRESPSTATUS, '02')='02' OR ISNULL(g.XACTIVITY, '99')='99' THEN 'Not in GO publication population' else IIF(ISNULL(g.ACTMEAN,'')='','N/A',g.ACTMEAN) end</t>
  </si>
  <si>
    <t>CASE WHEN ISNULL(g.ZRESPSTATUS, '02')='02' OR ISNULL(g.XACTIVITY, '99')='99' THEN 'Not in GO publication population' else IIF(isnull(g.ACTMEAN,'')='','N/A',ACTMEAN.label) end</t>
  </si>
  <si>
    <t>actmean</t>
  </si>
  <si>
    <t>Activity on-track</t>
  </si>
  <si>
    <t>[ACTONTRACK]</t>
  </si>
  <si>
    <t>ACTONTRACK</t>
  </si>
  <si>
    <t xml:space="preserve">CASE WHEN ISNULL(g.ZRESPSTATUS, '02')='02'OR ISNULL(g.XACTIVITY, '99')='99' THEN 'Not in GO publication population'ELSE IIF(ISNULL(g.ACTONTRACK,'')='', 'N/A', g.ACTONTRACK)END </t>
  </si>
  <si>
    <t>CASE WHEN ISNULL(g.ZRESPSTATUS, '02')='02' OR ISNULL(g.XACTIVITY, '99')='99' THEN 'Not in GO publication population' else  IIF(isnull(g.ACTONTRACK,'')='','N/A',ACTONTRACK.label) end</t>
  </si>
  <si>
    <t>actontrack</t>
  </si>
  <si>
    <t>Activity skills</t>
  </si>
  <si>
    <t>[ACTSKILLS]</t>
  </si>
  <si>
    <t>ACTSKILLS</t>
  </si>
  <si>
    <t>CASE WHEN ISNULL(g.ZRESPSTATUS, '02')='02' OR ISNULL(g.XACTIVITY, '99')='99' THEN 'Not in GO publication population' else IIF(ISNULL(g.ACTSKILLS,'')='','N/A',g.ACTSKILLS) end</t>
  </si>
  <si>
    <t>CASE WHEN ISNULL(g.ZRESPSTATUS, '02')='02' OR ISNULL(g.XACTIVITY, '99')='99' THEN 'Not in GO publication population' else IIF(isnull(g.ACTSKILLS,'')='','N/A',ACTSKILLS.label) end</t>
  </si>
  <si>
    <t>actskills</t>
  </si>
  <si>
    <t>Activity Standard Occupational Classification (3 digit)</t>
  </si>
  <si>
    <t>F_ACTSOC</t>
  </si>
  <si>
    <t>cc.F_ACTSOC</t>
  </si>
  <si>
    <t xml:space="preserve">(SELECT TOP 1 '('+entry + ') ' + DW_CurrentLabel FROM Staff.C025_Meta_Data AS f with(nolock) WHERE CC.F_ACTSOC=F.Entry AND FieldName='ACTSOC' ORDER BY DW_FromDate DESC) </t>
  </si>
  <si>
    <t>Activity uses skills</t>
  </si>
  <si>
    <t>F_XWRKSKILLS</t>
  </si>
  <si>
    <t>CASE WHEN ISNULL(g.ZRESPSTATUS, '02')='02' OR ISNULL(g.XACTIVITY, '99')='99' THEN 'Not in GO publication population' WHEN g.dw_fromdate=20170801 then IIF(gd.f_XWRKSKILLS='UN','NA',gd.f_XWRKSKILLS) ELSE isnull(g.xactskills,'NA') END</t>
  </si>
  <si>
    <t xml:space="preserve">CASE WHEN ISNULL(g.ZRESPSTATUS, '02')='02' OR ISNULL(g.XACTIVITY, '99')='99' THEN 'Not in GO publication population' else isnull(xWRKSKILLS.label,'Unknown') END </t>
  </si>
  <si>
    <t>xwrkskills</t>
  </si>
  <si>
    <t>Age of leaver</t>
  </si>
  <si>
    <t>(17 &amp; under/ 18-20/ 21-24/ 25-29/ 30 &amp; over/ Unknown)</t>
  </si>
  <si>
    <t>(17 &amp; under/ Individual year/ 75 &amp; over/ Unknown)</t>
  </si>
  <si>
    <t>(21 &amp; under/ 22-25 years/ 26-35 years/ 36 &amp; over/ Unknown)</t>
  </si>
  <si>
    <t>(Full)</t>
  </si>
  <si>
    <t>Age of qualifier</t>
  </si>
  <si>
    <t>F_XAGEJ01</t>
  </si>
  <si>
    <t>Qualifiers</t>
  </si>
  <si>
    <t>case when s.F_XAGEJ01 &lt;= 17 then '17 and under' when s.F_XAGEJ01 = '99' then 'Age unknown' when s.F_XAGEJ01 &gt; 74 then '75 and over' ELSE CAST(s.F_XAGEJ01 AS VARCHAR(2)) END</t>
  </si>
  <si>
    <t>varchar(12)</t>
  </si>
  <si>
    <t>F_XAGRPJ01</t>
  </si>
  <si>
    <t>Yes - DLHE age slightly different groups</t>
  </si>
  <si>
    <t>cast(s.F_XAGRPJ01 as varchar)</t>
  </si>
  <si>
    <t>(select top 1 DW_CurrentLabel From Student.C051_Meta_Data f with(nolock) where s.f_xagrpj01 =F.Entry AND fieldname = 'XAGRPJ01' order by dw_fromdate desc)</t>
  </si>
  <si>
    <t>Age of Staff</t>
  </si>
  <si>
    <t>AGEFULL</t>
  </si>
  <si>
    <t>CASE WHEN p.F_XAGEA01 IN ('00', '99') THEN 'UNK' WHEN p.F_XAGEA01 &lt;= '20' THEN '20 and under' WHEN p.F_XAGEA01 &lt;= '65' THEN CAST(p.F_XAGEA01 AS VARCHAR(2)) WHEN p.F_XAGEA01 &lt;= '98' THEN '66 and over' ELSE 'Error' END</t>
  </si>
  <si>
    <t>CASE WHEN p.F_XAGEA01 IN ('00', '99') THEN 'Unknown' WHEN p.F_XAGEA01 &lt;= '20' THEN '20 and under' WHEN p.F_XAGEA01 &lt;= '65' THEN CAST(p.F_XAGEA01 AS VARCHAR(2)) WHEN p.F_XAGEA01 &lt;= '98' THEN '66 and over' ELSE 'ERROR' END</t>
  </si>
  <si>
    <t>(34 years &amp; under/ 35-49/ 50-65/ 66 years &amp; over/ Age unknown)</t>
  </si>
  <si>
    <t>AGEGRP</t>
  </si>
  <si>
    <t>CASE WHEN p.F_XAGEA01 IN ('00', '99') THEN 'Unknown' WHEN p.F_XAGEA01 &lt;= '34' THEN '34 and under' WHEN p.F_XAGEA01 &lt;= '49' THEN '35 - 49' WHEN p.F_XAGEA01 &lt;= '65' THEN '50 - 65' WHEN p.F_XAGEA01 &lt;= '98' THEN '66 and over' ELSE 'ERROR' END</t>
  </si>
  <si>
    <t>(20 years &amp; under/21-25/ 26-30/ 31-35/ 36-40/ 41-45/ 46-50/ 51-55/ 56-60/ 61-65/ 66 years &amp; over/ Age unknown)</t>
  </si>
  <si>
    <t>f_xagrpb01</t>
  </si>
  <si>
    <t>p.f_xagrpb01</t>
  </si>
  <si>
    <t>Age of student</t>
  </si>
  <si>
    <t>F_XAGEA01</t>
  </si>
  <si>
    <t>CASE WHEN s.F_XAGEA01 &lt;= 17 THEN '17 and under' WHEN s.F_XAGEA01 = '99' THEN 'Age unknown' WHEN s.F_XAGEA01 &gt; 74 THEN '75 and over' ELSE CAST(s.F_XAGEA01 AS VARCHAR(2)) END</t>
  </si>
  <si>
    <t>F_XAGRP601</t>
  </si>
  <si>
    <t>Partial - 18 to 20 category shown as individual years</t>
  </si>
  <si>
    <t>CAST(s.F_XAGRP601 AS VARCHAR(1))</t>
  </si>
  <si>
    <t>(select top 1 DW_CurrentLabel From Student.C051_Meta_Data f with(nolock) where s.f_xagrp601 =F.Entry AND fieldname = 'XAGRP601' order by dw_fromdate desc)</t>
  </si>
  <si>
    <t>Age on entry</t>
  </si>
  <si>
    <t>AOE</t>
  </si>
  <si>
    <t xml:space="preserve">case when dbo.SP_Age(s.F_BIRTHDTE,s.F_COMDATE)  in ('-1','0') then 'Unknown' when dbo.SP_Age(s.F_BIRTHDTE,s.F_COMDATE) &lt;= 17 then '17 and under' when dbo.SP_Age(s.F_BIRTHDTE,s.F_COMDATE) between 21 and 24 then '21-24' when dbo.SP_Age(s.F_BIRTHDTE,s.F_COMDATE) between 18 and 20 then '18-20' when dbo.SP_Age(s.F_BIRTHDTE,s.F_COMDATE) between 25 and 29 then '25-29' when dbo.SP_Age(s.F_BIRTHDTE,s.F_COMDATE) &gt;= 30 then '30 and over' else 'Unknown' end </t>
  </si>
  <si>
    <t>CASE WHEN CAST(dbo.SP_Age(s.F_BIRTHDTE, s.F_COMDATE) AS VARCHAR(3)) IS NULL THEN 'Unknown' WHEN CAST(dbo.SP_Age(s.F_BIRTHDTE, s.F_COMDATE) AS VARCHAR(3))  IN ('-1', '0')  then 'Unknown'  WHEN CAST(dbo.SP_Age(s.F_BIRTHDTE,s.F_COMDATE) AS varchar(3)) BETWEEN 1 AND 16 THEN '&lt;17' WHEN CAST(dbo.SP_Age(s.F_BIRTHDTE,s.F_COMDATE) AS varchar(3)) BETWEEN 75 AND 100 THEN '&gt;74' ELSE CAST(dbo.SP_Age(s.F_BIRTHDTE,s.F_COMDATE) AS varchar(3)) END</t>
  </si>
  <si>
    <t>CASE WHEN CAST(dbo.SP_Age(s.F_BIRTHDTE, s.F_COMDATE) AS VARCHAR(3)) IS NULL THEN 'Unknown' WHEN CAST(dbo.SP_Age(s.F_BIRTHDTE, s.F_COMDATE) AS VARCHAR(3))  IN ('-1', '0') then 'Unknown' WHEN CAST(dbo.SP_Age(s.F_BIRTHDTE,s.F_COMDATE) AS varchar(3)) BETWEEN 1 AND 16 THEN '16 and under' WHEN CAST(dbo.SP_Age(s.F_BIRTHDTE,s.F_COMDATE) AS varchar(3)) BETWEEN 75 AND 100 THEN '75 and over' ELSE CAST(dbo.SP_Age(s.F_BIRTHDTE,s.F_COMDATE) AS varchar(3)) END</t>
  </si>
  <si>
    <t>A-levels and Scottish Highers marker</t>
  </si>
  <si>
    <t>F_ZALEV_HIGH_MARKER</t>
  </si>
  <si>
    <t xml:space="preserve">CAST(d.F_ZALEV_HIGH_MARKER AS VARCHAR(1)) </t>
  </si>
  <si>
    <t>(select top 1 DW_CurrentLabel From Student.C051_Meta_Data f with(nolock) where d.F_ZALEV_HIGH_MARKER =F.Entry AND fieldname = 'ZALEV_HIGH_MARKER' order by dw_fromdate desc)</t>
  </si>
  <si>
    <t>A-levels/Highers and BTEC/vocational marker</t>
  </si>
  <si>
    <t>F_ZALEV_VOC_MARKER</t>
  </si>
  <si>
    <t>CAST(d.F_ZALEV_VOC_MARKER AS VARCHAR(1))</t>
  </si>
  <si>
    <t>(select top 1 DW_CurrentLabel From Student.C051_Meta_Data f with(nolock) where d.F_ZALEV_VOC_MARKER =F.Entry AND fieldname = 'ZALEV_VOC_MARKER' order by dw_fromdate desc)</t>
  </si>
  <si>
    <t>Anxious yesterday</t>
  </si>
  <si>
    <t>[ANXYEST]</t>
  </si>
  <si>
    <t>Only available at country of HEP level</t>
  </si>
  <si>
    <t>Provider &gt; Graduate &gt; Subjective Wellbeing:</t>
  </si>
  <si>
    <t>Anxious yesterday grouping</t>
  </si>
  <si>
    <t>[XANXYESTGRP]</t>
  </si>
  <si>
    <t>Provider &gt; Derived Field</t>
  </si>
  <si>
    <t>Applicable tariff marker</t>
  </si>
  <si>
    <t>APP_TARIFF</t>
  </si>
  <si>
    <t>Apprenticeship marker</t>
  </si>
  <si>
    <t>(Staff)</t>
  </si>
  <si>
    <t>F_APPRENTICESHIP</t>
  </si>
  <si>
    <t>ISNULL(c.f_apprenticeship,'UNK')</t>
  </si>
  <si>
    <t xml:space="preserve">(select top 1 DW_CurrentLabel From staff.C025_Meta_Data as f with(nolock) where c.f_apprenticeship =F.Entry AND fieldname = 'apprenticeship' order by dw_fromdate desc) </t>
  </si>
  <si>
    <t>F_XAPP01</t>
  </si>
  <si>
    <t>CASE when s.DW_CollectionYear &gt;= 2019 then CASE WHEN (IIF(s.F_INITIATIVES1 = ' ','UNK',s.F_INITIATIVES1) IN ('K', 'Z') OR IIF(s.F_INITIATIVES2 = ' ','UNK',s.F_INITIATIVES2) IN ('K', 'Z') OR IIF(s.F_INITIATIVES3 = ' ','UNK',s.F_INITIATIVES3) IN ('K', 'Z')) THEN 'Apprenticeship' ELSE 'Not Apprenticeship' END WHEN s.DW_CollectionYear &gt;= 2016 then CASE WHEN s.F_XAPP01 not in ('99') THEN 'Apprenticeship' WHEN  s.f_initiatives1 = 'K' THEN 'Apprenticeship' WHEN s.f_initiatives2 = 'K' THEN 'Apprenticeship' ELSE 'Not Apprenticeship' END ELSE 'Not Applicable' END</t>
  </si>
  <si>
    <t>Articulation</t>
  </si>
  <si>
    <t>F_ARTICLN</t>
  </si>
  <si>
    <t>CASE WHEN s.F_XINSTCOU01 = 'S' THEN CASE WHEN e.F_ARTICLN IN ('',' ') THEN 'n' ELSE ISNULL(e.F_ARTICLN,'n') END ELSE 'n'END</t>
  </si>
  <si>
    <t>CASE WHEN s.F_XINSTCOU01 = 'S' THEN CASE WHEN e.F_ARTICLN IN ('',' ') THEN 'Unknown' ELSE ISNULL(art.dw_currentlabel,'Unknown') END ELSE 'Unknown' END</t>
  </si>
  <si>
    <t>art</t>
  </si>
  <si>
    <t>British Sign Language user</t>
  </si>
  <si>
    <t>F_BSLUSER</t>
  </si>
  <si>
    <t>case when s.dw_fromdate &lt; 20200801 then 'Not applicable before 2020/21' else isnull(stu.f_bsluser,'99') end</t>
  </si>
  <si>
    <t>stu</t>
  </si>
  <si>
    <t>BTEC marker</t>
  </si>
  <si>
    <t>ZBTEC_MARKER</t>
  </si>
  <si>
    <t>cast(d.f_zbtec_marker as varchar)</t>
  </si>
  <si>
    <t>(SELECT top 1 DW_CurrentLabel From Student.C051_Meta_Data f with(nolock) where d.F_ZBTEC_MARKER =F.Entry and fieldname = 'ZBTEC_MARKER' order by dw_fromdate desc)</t>
  </si>
  <si>
    <t>Business funded</t>
  </si>
  <si>
    <t>F_XBUSCOMPFUND</t>
  </si>
  <si>
    <t>Provider &gt; Official Stats Derived Field &gt; Business Funded</t>
  </si>
  <si>
    <t>CASE WHEN ISNULL(g.ZRESPSTATUS, '02')='02' OR ISNULL(g.XACTIVITY, '99')='99' THEN 'Not in GO publication population' else isnull(g.XBUSCOMPFUND,'NA/UNK') end</t>
  </si>
  <si>
    <t>CASE WHEN ISNULL(g.ZRESPSTATUS, '02')='02' OR ISNULL(g.XACTIVITY, '99')='99' THEN 'Not in GO publication population' else isnull(XBUSCOMPFUND.label,'NA/UNK') end</t>
  </si>
  <si>
    <t>xbuscompfund</t>
  </si>
  <si>
    <t>Business, self-employment or portfolio company funding</t>
  </si>
  <si>
    <t>(Self/family) [BUSCOMPFUND1]</t>
  </si>
  <si>
    <t>BUSCOMPFUND1</t>
  </si>
  <si>
    <t>Provider &gt; Graduate &gt; Self Employment, Running Own Business, Portfolio:</t>
  </si>
  <si>
    <t>buscompfund1</t>
  </si>
  <si>
    <t>(Crowdfunding) [BUSCOMPFUND2]</t>
  </si>
  <si>
    <t>BUSCOMPFUND2</t>
  </si>
  <si>
    <t>buscompfund2</t>
  </si>
  <si>
    <t>(Loan) [BUSCOMPFUND3]</t>
  </si>
  <si>
    <t>BUSCOMPFUND3</t>
  </si>
  <si>
    <t>buscompfund3</t>
  </si>
  <si>
    <t>(Venture Capital) [BUSCOMPFUND4]</t>
  </si>
  <si>
    <t>BUSCOMPFUND4</t>
  </si>
  <si>
    <t>buscompfund4</t>
  </si>
  <si>
    <t>(University business incubation) [BUSCOMPFUND5]</t>
  </si>
  <si>
    <t>BUSCOMPFUND5</t>
  </si>
  <si>
    <t>buscompfund5</t>
  </si>
  <si>
    <t>(Other) [BUSCOMPFUND6]</t>
  </si>
  <si>
    <t>BUSCOMPFUND6</t>
  </si>
  <si>
    <t>buscompfund6</t>
  </si>
  <si>
    <t>Business, self-employment or portfolio employees</t>
  </si>
  <si>
    <t>[BUSOWNEMP]</t>
  </si>
  <si>
    <t>BUSOWNEMP</t>
  </si>
  <si>
    <t>busownemp</t>
  </si>
  <si>
    <t>Business, self-employment or portfolio employer city</t>
  </si>
  <si>
    <t>BUSEMPCITY</t>
  </si>
  <si>
    <t>Free text field</t>
  </si>
  <si>
    <t>Business, self-employment or portfolio employer country</t>
  </si>
  <si>
    <t>[BUSEMPCOUNTRY]</t>
  </si>
  <si>
    <t>BUSEMPCOUNTRY</t>
  </si>
  <si>
    <t>CASE WHEN ISNULL(g.ZRESPSTATUS, '02')='02' OR ISNULL(g.XACTIVITY, '99')='99' THEN 'Not in GO publication population' else IIF(g.BUSEMPCOUNTRY='' OR g.BUSEMPCOUNTRY IS NULL,'N/A',g.BUSEMPCOUNTRY) end</t>
  </si>
  <si>
    <t>CASE WHEN ISNULL(g.ZRESPSTATUS, '02')='02' OR ISNULL(g.XACTIVITY, '99')='99' THEN 'Not in GO publication population' else IIF(g.BUSEMPCOUNTRY='' OR g.BUSEMPCOUNTRY IS NULL,'N/A',BUSEMPCOUNTRY.label) end</t>
  </si>
  <si>
    <t>busempcountry</t>
  </si>
  <si>
    <t>Business, self-employment or portfolio employer location</t>
  </si>
  <si>
    <t>[BUSEMPPLOC]</t>
  </si>
  <si>
    <t>BUSEMPPLOC</t>
  </si>
  <si>
    <t>CASE WHEN ISNULL(g.ZRESPSTATUS, '02')='02' OR ISNULL(g.XACTIVITY, '99')='99' THEN 'Not in GO publication population' else IIF(isnull(g.BUSEMPPLOC,'')='','N/A',g.BUSEMPPLOC) end</t>
  </si>
  <si>
    <t>CASE WHEN ISNULL(g.ZRESPSTATUS, '02')='02' OR ISNULL(g.XACTIVITY, '99')='99' THEN 'Not in GO publication population' else IIF(isnull(g.BUSEMPPLOC,'')='','N/A',BUSEMPPLOC.label) end</t>
  </si>
  <si>
    <t>busempploc</t>
  </si>
  <si>
    <t>Business, self-employment or portfolio employer postcode</t>
  </si>
  <si>
    <t>[BUSEMPPCODE]</t>
  </si>
  <si>
    <t>BUSEMPPCODE</t>
  </si>
  <si>
    <t>CASE WHEN ISNULL(g.ZRESPSTATUS, '02') = '02' OR ISNULL(g.XACTIVITY, '99') = '99' THEN 'Not in GO publication population' WHEN ISNULL(g.BUSEMPPCODE,'99999999') IN ('99999999', '', ' ', '.', '8') THEN '99999999' ELSE UPPER(g.BUSEMPPCODE) END</t>
  </si>
  <si>
    <t>Business, self-employment or portfolio employer postcode unknown</t>
  </si>
  <si>
    <t>[BUSEMPPCODE_UNKNOWN]</t>
  </si>
  <si>
    <t>BUSEMPPCODE_UNKNOWN</t>
  </si>
  <si>
    <t>CASE WHEN ISNULL(g.ZRESPSTATUS, '02')='02' OR ISNULL(g.XACTIVITY, '99')='99' THEN 'Not in GO publication population' else IIF(isnull(g.BUSEMPPCODE_UNKNOWN,'')='','N/A',g.BUSEMPPCODE_UNKNOWN) end</t>
  </si>
  <si>
    <t>CASE WHEN ISNULL(g.ZRESPSTATUS, '02')='02' OR ISNULL(g.XACTIVITY, '99')='99' THEN 'Not in GO publication population' else IIF(isnull(g.BUSEMPPCODE_UNKNOWN,'')='','N/A',BUSEMPPCODE.label) end</t>
  </si>
  <si>
    <t>busemppcode</t>
  </si>
  <si>
    <t>Business, self-employment or portfolio intensity</t>
  </si>
  <si>
    <t>[BUSEMPINTENSITY]</t>
  </si>
  <si>
    <t>BUSEMPINTENSITY</t>
  </si>
  <si>
    <t>CASE WHEN ISNULL(g.ZRESPSTATUS, '02')='02' OR ISNULL(g.XACTIVITY, '99')='99' THEN 'Not in GO publication population' else IIF(isnull(g.BUSEMPINTENSITY,'')  IN ('','03'),'N/A',g.BUSEMPINTENSITY) end</t>
  </si>
  <si>
    <t>CASE WHEN ISNULL(g.ZRESPSTATUS, '02')='02' OR ISNULL(g.XACTIVITY, '99')='99' THEN 'Not in GO publication population' else IIF(isnull(g.BUSEMPINTENSITY,'')  IN ('','03'),'N/A',BUSEMPINTENSITY.label) end</t>
  </si>
  <si>
    <t>busempintensity</t>
  </si>
  <si>
    <t>Business, self-employment or portfolio main reason for taking the job</t>
  </si>
  <si>
    <t>[BUSJOBRSNMAIN]</t>
  </si>
  <si>
    <t>BUSJOBRSNMAIN</t>
  </si>
  <si>
    <t>CASE WHEN ISNULL(g.ZRESPSTATUS, '02')='02' OR ISNULL(g.XACTIVITY, '99')='99' THEN 'Not in GO publication population' else IIF(isnull(g.BUSJOBRSNMAIN,'')='','N/A',g.BUSJOBRSNMAIN) end</t>
  </si>
  <si>
    <t>CASE WHEN ISNULL(g.ZRESPSTATUS, '02')='02' OR ISNULL(g.XACTIVITY, '99')='99' THEN 'Not in GO publication population' else IIF(isnull(g.BUSJOBRSNMAIN,'')='','N/A',BUSJOBRSNMAIN.label) end</t>
  </si>
  <si>
    <t>Business, self-employment or portfolio reason for taking the job</t>
  </si>
  <si>
    <t>(It fitted into my career plan/it was exactly the type of work I wanted) [BUSJOBRSNALL1]</t>
  </si>
  <si>
    <t>BUSJOBRSNALL1</t>
  </si>
  <si>
    <t>(To work in my family business) [BUSJOBRSNALL10]</t>
  </si>
  <si>
    <t>BUSJOBRSNALL10</t>
  </si>
  <si>
    <t>(It was the best job offer I received) [BUSJOBRSNALL2]</t>
  </si>
  <si>
    <t>BUSJOBRSNALL2</t>
  </si>
  <si>
    <t>(It was an opportunity to progress in the organisation) [BUSJOBRSNALL3]</t>
  </si>
  <si>
    <t>BUSJOBRSNALL3</t>
  </si>
  <si>
    <t>(To see if I would like the type of work it involved) [BUSJOBRSNALL4]</t>
  </si>
  <si>
    <t>BUSJOBRSNALL4</t>
  </si>
  <si>
    <t>(To gain and broaden my experience in order to get the type of job I really want) [BUSJOBRSNALL5]</t>
  </si>
  <si>
    <t>BUSJOBRSNALL5</t>
  </si>
  <si>
    <t>(It was the right location) [BUSJOBRSNALL6]</t>
  </si>
  <si>
    <t>BUSJOBRSNALL6</t>
  </si>
  <si>
    <t>(The job was well paid) [BUSJOBRSNALL7]</t>
  </si>
  <si>
    <t>BUSJOBRSNALL7</t>
  </si>
  <si>
    <t>(In order to earn a living) [BUSJOBRSNALL8]</t>
  </si>
  <si>
    <t>BUSJOBRSNALL8</t>
  </si>
  <si>
    <t>(In order to pay off debts) [BUSJOBRSNALL9]</t>
  </si>
  <si>
    <t>BUSJOBRSNALL9</t>
  </si>
  <si>
    <t>Business, self-employment or portfolio supervising responsibility</t>
  </si>
  <si>
    <t>[BUSSUPERVISE]</t>
  </si>
  <si>
    <t>BUSSUPERVISE</t>
  </si>
  <si>
    <t>Care leaver</t>
  </si>
  <si>
    <t>(Care leaver/ Not a care leaver)</t>
  </si>
  <si>
    <t>F_CARELEAVER</t>
  </si>
  <si>
    <t>Justification needed from customer!</t>
  </si>
  <si>
    <t>case when s.f_careleaver in ('01','02','03','04') then 'Care leaver' WHEN s.F_CARELEAVER IN ('98','99') THEN 'Unknown' else 'Not a care leaver' end</t>
  </si>
  <si>
    <t>varchar(17)</t>
  </si>
  <si>
    <t>case WHEN s.F_CARELEAVER IN ('98','99') THEN 'Unknown' else s.F_CARELEAVER end</t>
  </si>
  <si>
    <t>case WHEN s.F_CARELEAVER IN ('98','99') THEN 'Unknown' else care.dw_currentlabel end</t>
  </si>
  <si>
    <t>care</t>
  </si>
  <si>
    <t>Career support</t>
  </si>
  <si>
    <t>[CAREERSERV] -opt in question</t>
  </si>
  <si>
    <t>Opt in question</t>
  </si>
  <si>
    <t>Provider &gt; Graduate &gt; Opt in questions:</t>
  </si>
  <si>
    <t>Carer</t>
  </si>
  <si>
    <t>- 2017/18 onwards</t>
  </si>
  <si>
    <t>F_CARER</t>
  </si>
  <si>
    <t>Justification needed from customer! Students at Welsh providers. And students at Scottish providers who are domiciled from Scotland</t>
  </si>
  <si>
    <t>Provider &gt; student:</t>
  </si>
  <si>
    <t>CASE WHEN s.DW_FromDate &lt;=20160801 THEN 'Not applicable (2016/17 and prior)' WHEN s.F_XINSTC01 = 'W' OR (s.F_XINSTC01 = 'S' AND s.F_XDOMREG01 = 'XH') THEN CASE WHEN stu.F_CARER IN ('98', '99' ) THEN 'Unknown' ELSE ISNULL(stu.F_CARER, 'Unknown') END ELSE 'Not applicable' END</t>
  </si>
  <si>
    <t>CASE WHEN s.DW_FromDate &lt;=20160801 THEN 'Not applicable (2016/17 and prior)' WHEN s.F_XINSTC01 = 'W' OR (s.F_XINSTC01 = 'S' AND s.F_XDOMREG01 = 'XH') THEN CASE WHEN ISNULL(stu.F_CARER, '-1') IN ('98', '99', '-1') THEN 'Unknown' WHEN stu.F_CARER = '01' THEN 'Not a carer' WHEN stu.F_CARER = '02' THEN 'Carer' ELSE stu.F_CARER END ELSE 'Not applicable' END</t>
  </si>
  <si>
    <t>Category of previous employment 1 to 7</t>
  </si>
  <si>
    <t>(Raw fields)</t>
  </si>
  <si>
    <t>Category of previous employment markers 1 to 7</t>
  </si>
  <si>
    <t>Census</t>
  </si>
  <si>
    <t>[CENSUS]</t>
  </si>
  <si>
    <t>CENSUS</t>
  </si>
  <si>
    <t>Provider:</t>
  </si>
  <si>
    <t>CASE WHEN ISNULL(g.ZRESPSTATUS, '02')='02' OR ISNULL(g.XACTIVITY, '99')='99' THEN 'Not in GO publication population' else g.CENSUS end</t>
  </si>
  <si>
    <t>CASE WHEN ISNULL(g.ZRESPSTATUS, '02')='02' OR ISNULL(g.XACTIVITY, '99')='99' THEN 'Not in GO publication population' else CENSUS.label end</t>
  </si>
  <si>
    <t>census</t>
  </si>
  <si>
    <t>Class of first degree</t>
  </si>
  <si>
    <t>F_XCLASS01</t>
  </si>
  <si>
    <t>CASE WHEN s.F_XQLEV501 = '3' AND s.F_XPQUAL01 = '1' THEN s.F_XCLASS01  ELSE 'N/A'   END</t>
  </si>
  <si>
    <t>CASE WHEN s.F_XQLEV501 = '3' AND s.F_XPQUAL01 = '1' THEN  xclass01.DW_CurrentLabel ELSE 'Not applicable' END</t>
  </si>
  <si>
    <t>xclass01</t>
  </si>
  <si>
    <t>Clinical status</t>
  </si>
  <si>
    <t xml:space="preserve">F_CLINICAL </t>
  </si>
  <si>
    <t>CAST(C.F_CLINICAL AS VARCHAR(2))</t>
  </si>
  <si>
    <t xml:space="preserve">(select top 1 DW_CurrentLabel From staff.C025_Meta_Data as f with(nolock) where c.f_clinical =F.Entry AND fieldname = 'clinical' order by dw_fromdate desc) </t>
  </si>
  <si>
    <t>Closed course (only applicable for students in England)</t>
  </si>
  <si>
    <t>F_CLSDCRS</t>
  </si>
  <si>
    <t>ISNULL((select top 1 DW_CurrentLabel From Student.C051_Meta_Data f with(nolock) where c.F_CLSDCRS =F.Entry AND fieldname = 'CLSDCRS' order by dw_fromdate desc),'Unknown')</t>
  </si>
  <si>
    <t>c</t>
  </si>
  <si>
    <t>Collaborating organisation (English HEPs only)</t>
  </si>
  <si>
    <t>F_COLLORG</t>
  </si>
  <si>
    <t>ISNULL((select top 1 DW_CurrentLabel From Student.C051_Meta_Data f with(nolock) where c.F_COLLORG =F.Entry AND fieldname = 'COLLORG' order by dw_fromdate desc),'Unknown')</t>
  </si>
  <si>
    <t>varchar(4)</t>
  </si>
  <si>
    <t>Collaborating with others in different subject</t>
  </si>
  <si>
    <t>[COLLSUBDIFF] -opt in question</t>
  </si>
  <si>
    <t>Collaborating with others outside HE research</t>
  </si>
  <si>
    <t>[COLLOUT] -opt in question</t>
  </si>
  <si>
    <t>Commencement date</t>
  </si>
  <si>
    <t>(YYYY/MM)</t>
  </si>
  <si>
    <t>F_COMDATE</t>
  </si>
  <si>
    <t>SUBSTRING(CAST(s.F_COMDATE AS VARCHAR(10)),1,4)+'/'+SUBSTRING(CAST(s.F_COMDATE AS VARCHAR(10)),6,2)</t>
  </si>
  <si>
    <t>Completely different course</t>
  </si>
  <si>
    <t>[COMPDIFF] -opt in question</t>
  </si>
  <si>
    <t>Completion of year of instance</t>
  </si>
  <si>
    <t>F_FUNDCOMP</t>
  </si>
  <si>
    <t>CASE WHEN s.F_FUNDCOMP IN ('', ' ') THEN 'Unknown' ELSE ISNULL(s.F_FUNDCOMP, 'Unknown')END</t>
  </si>
  <si>
    <t>isnull((select top 1 DW_CurrentLabel From student.C051_Meta_Data as f with(nolock) where s.f_fundcomp =F.Entry AND fieldname = 'fundcomp' order by dw_fromdate desc),'Unknown')</t>
  </si>
  <si>
    <t>Conduct research</t>
  </si>
  <si>
    <t>[CONDRSCH] -opt in question</t>
  </si>
  <si>
    <t>Contains the key for the business employment activity to enable linking to the raw SIC / SOC derived data.</t>
  </si>
  <si>
    <t>[ZBUSSICSOCKEY]</t>
  </si>
  <si>
    <t>ZBUSSICSOCKEY</t>
  </si>
  <si>
    <t>Provider &gt; Processing Field</t>
  </si>
  <si>
    <t>CASE WHEN ISNULL(g.ZRESPSTATUS, '02')='02' OR ISNULL(g.XACTIVITY, '99')='99' THEN 'Not in GO publication population' else ISNULL(g.ZBUSSICSOCKEY,'$$$$$') end</t>
  </si>
  <si>
    <t>varchar(10)</t>
  </si>
  <si>
    <t>Contains the key for the employment activity to enable linking to the raw SIC / SOC derived data.</t>
  </si>
  <si>
    <t>[ZEMPSICSOCKEY]</t>
  </si>
  <si>
    <t>ZEMPSICSOCKEY</t>
  </si>
  <si>
    <t>CASE WHEN ISNULL(g.ZRESPSTATUS, '02')='02' OR ISNULL(g.XACTIVITY, '99')='99' THEN 'Not in GO publication population' else isnull(g.ZEMPSICSOCKEY,'$$$$$') end</t>
  </si>
  <si>
    <t>Continuation status</t>
  </si>
  <si>
    <t>(UNISTATS methodology) - not available for latest year</t>
  </si>
  <si>
    <t>F_ZCONT_STAT</t>
  </si>
  <si>
    <t>Contract level</t>
  </si>
  <si>
    <t>(Full) - 2012/13 onwards</t>
  </si>
  <si>
    <t>F_LEVELS</t>
  </si>
  <si>
    <t>case WHEN cc.DW_FromDate &lt;= 20110801 THEN 'Not applicable (2011/12 and prior)' ELSE ISNULL(C.F_LEVELS,'Unknown') END</t>
  </si>
  <si>
    <t>case WHEN cc.DW_FromDate &lt;= 20110801 THEN 'Not applicable (2011/12 and prior)' ELSE LEVELS2.dw_currentlabel end</t>
  </si>
  <si>
    <t>levels2</t>
  </si>
  <si>
    <t>(Grouped) - 2012/13 onwards</t>
  </si>
  <si>
    <t>Partial - Only as a 4 way marker</t>
  </si>
  <si>
    <t xml:space="preserve">CASE WHEN cc.DW_FromDate &lt;= 20110801 THEN 'Not applicable (2011/12 and prior)' WHEN c.f_levels IN ('A0','B1','B0','B2','C1','C2') THEN 'A0 to C2 Senior management' WHEN c.f_levels IN ('D1','D2','D3','E1','E2') THEN 'D &amp; E Head of schools/Senior function head' ELSE c.F_LEVELS END </t>
  </si>
  <si>
    <t>case WHEN cc.DW_FromDate &lt;= 20110801 THEN 'Not applicable (2011/12 and prior)' ELSE LEVELS.dw_currentlabel end</t>
  </si>
  <si>
    <t>levels</t>
  </si>
  <si>
    <t>varchar(42)</t>
  </si>
  <si>
    <t>Contract start</t>
  </si>
  <si>
    <t>(Contracted to start a job in the next month) [CONSTART01]</t>
  </si>
  <si>
    <t>CONSTART01</t>
  </si>
  <si>
    <t>constart01</t>
  </si>
  <si>
    <t>(Due to start studying in the next month) [CONSTART02]</t>
  </si>
  <si>
    <t>CONSTART02</t>
  </si>
  <si>
    <t>constart02</t>
  </si>
  <si>
    <t>(No) [CONSTART03]</t>
  </si>
  <si>
    <t>CONSTART03</t>
  </si>
  <si>
    <t>constart03</t>
  </si>
  <si>
    <t>Cost centre</t>
  </si>
  <si>
    <t>F_COSTCN</t>
  </si>
  <si>
    <t>Total needs to be FTE and not FPE</t>
  </si>
  <si>
    <t>cc.F_COSTCN</t>
  </si>
  <si>
    <t>(select top 1 DW_CurrentLabel From Student.C051_Meta_Data f with(nolock) where cc.F_COSTCN =F.Entry AND fieldname = 'COSTCN' order by dw_fromdate desc)</t>
  </si>
  <si>
    <t>Cost centre (Staff)</t>
  </si>
  <si>
    <t>F_CCENTRE</t>
  </si>
  <si>
    <t>CASE WHEN cc.DW_FromDate &gt;= 20120801 THEN CAST(cc.F_CCENTRE AS VARCHAR) ELSE 'Not applicable (2011/12 and prior)' END</t>
  </si>
  <si>
    <t>CASE WHEN cc.DW_FromDate &gt;= 20120801 THEN CCENTRE.dw_currentlabel ELSE 'Not applicable (2011/12 and prior)' END</t>
  </si>
  <si>
    <t>CCENTRE</t>
  </si>
  <si>
    <t>(London/ England exc. London/ Wales/ Scotland/ Northern Ireland)</t>
  </si>
  <si>
    <t>F_XINSTC01</t>
  </si>
  <si>
    <t>Partial - no London split for England</t>
  </si>
  <si>
    <t>case when s.f_xinstg01='H' then 'London'  WHEN s.F_XINSTC01 = 'E' THEN 'England exc. London'  ELSE s.f_xinstc01 END</t>
  </si>
  <si>
    <t>CASE WHEN s.f_xinstg01='H' then 'London' WHEN s.F_XINSTC01 = 'E' THEN 'England exc. London' WHEN s.F_XINSTC01 = 'N' THEN 'Northern Ireland' WHEN s.F_XINSTC01 = 'S' THEN 'Scotland' WHEN s.F_XINSTC01 = 'W' THEN 'Wales' ELSE s.F_XINSTC01 END</t>
  </si>
  <si>
    <t>varchar(6)</t>
  </si>
  <si>
    <t>s.F_XINSTC01</t>
  </si>
  <si>
    <t>(select top 1 DW_CurrentLabel From Student.C051_Meta_Data f with(nolock) where s.f_XINSTC01 =F.Entry AND fieldname = 'XINSTC01' order by dw_fromdate desc)</t>
  </si>
  <si>
    <t>(London/ England exc. London/ Wales/ Scotland/ Northern Ireland) (OU split)</t>
  </si>
  <si>
    <t>F_XINSTCOU01</t>
  </si>
  <si>
    <t>No - only standard available</t>
  </si>
  <si>
    <t>case when s.dw_fromdate &gt;= 20140801 AND s.f_xinstg01='H' then 'London'  WHEN s.dw_fromdate &gt;= 20140801 AND s.f_xinstcou01 = 'E' THEN 'England exc. London'  WHEN s.dw_fromdate &gt;= 20140801 THEN s.f_xinstcou01 WHEN s.F_XINSTID01 = '0001' AND s.F_CAMPID = 'A' THEN 'England exc. London' WHEN s.F_XINSTID01 = '0001' AND s.F_CAMPID = 'N' THEN 'N' WHEN s.F_XINSTID01 = '0001' AND s.F_CAMPID = 'S' THEN 'S' WHEN s.F_XINSTID01 = '0001' AND s.F_CAMPID = 'W' THEN 'W' WHEN s.f_xinstg01='H' then 'London'  WHEN s.f_xinstc01 = 'E' THEN 'England exc. London' ELSE s.f_xinstc01 END</t>
  </si>
  <si>
    <t>case when s.dw_fromdate &gt;= 20140801 AND s.f_xinstg01='H' then 'London'  WHEN s.dw_fromdate &gt;= 20140801 AND s.f_xinstcou01 = 'E' THEN 'England exc. London' WHEN s.dw_fromdate &gt;= 20140801 AND s.f_xinstc01 = 'N' THEN 'Northern Ireland' WHEN s.dw_fromdate &gt;= 20140801 AND s.f_xinstc01 = 'S' THEN 'Scotland' WHEN s.dw_fromdate &gt;= 20140801 AND s.f_xinstc01 = 'W' THEN 'Wales' WHEN s.F_XINSTID01 = '0001' AND s.F_CAMPID = 'A' THEN 'England exc. London' WHEN s.F_XINSTID01 = '0001' AND s.F_CAMPID = 'N' THEN 'Northern Ireland' WHEN s.F_XINSTID01 = '0001' AND s.F_CAMPID = 'S' THEN 'Scotland' WHEN s.F_XINSTID01 = '0001' AND s.F_CAMPID = 'W' THEN 'Wales' WHEN s.f_xinstg01='H' then 'London'  WHEN s.f_xinstc01 = 'E' THEN 'England exc. London' WHEN s.f_xinstc01 = 'N' THEN 'Northern Ireland' WHEN s.f_xinstc01 = 'S' THEN 'Scotland' WHEN s.f_xinstc01 = 'W' THEN 'Wales' ELSE s.f_xinstc01 END</t>
  </si>
  <si>
    <t>(OU split)</t>
  </si>
  <si>
    <t>s.F_XINSTCOU01</t>
  </si>
  <si>
    <t>(select top 1 DW_CurrentLabel From Student.C051_Meta_Data f with(nolock) where s.f_xinstcou01 =F.Entry AND fieldname = 'XINSTCOU01' order by dw_fromdate desc)</t>
  </si>
  <si>
    <t>p.F_XINSTC01</t>
  </si>
  <si>
    <t>(select top 1 DW_CurrentLabel From Staff.C025_Meta_Data f with(nolock) where p.f_xinstc01 =F.Entry AND fieldname = 'XINSTC01' order by dw_fromdate desc)</t>
  </si>
  <si>
    <t>AOR</t>
  </si>
  <si>
    <t>Country of provision</t>
  </si>
  <si>
    <t>F_COUNTRY</t>
  </si>
  <si>
    <t>a.F_COUNTRY</t>
  </si>
  <si>
    <t xml:space="preserve">(SELECT top 1 DW_CurrentLabel From Student.C051_Meta_Data f with(nolock) where a.F_COUNTRY =F.Entry and fieldname = 'XDOMUC01' order by dw_fromdate desc) </t>
  </si>
  <si>
    <t>a</t>
  </si>
  <si>
    <t>Course aim</t>
  </si>
  <si>
    <t>F_COURSEAIM</t>
  </si>
  <si>
    <t>s.F_COURSEAIM</t>
  </si>
  <si>
    <t>(select top 1 '('+entry+') '+DW_CurrentLabel From Student.C051_Meta_Data f with(nolock) where s.f_courseaim =F.Entry AND fieldname = 'COURSEAIM' order by dw_fromdate desc)</t>
  </si>
  <si>
    <t>Course ID</t>
  </si>
  <si>
    <t>F_COURSEID</t>
  </si>
  <si>
    <t>c.F_COURSEID</t>
  </si>
  <si>
    <t>Course title</t>
  </si>
  <si>
    <t>F_CTITLE</t>
  </si>
  <si>
    <t>external.will.joice</t>
  </si>
  <si>
    <t>(Specified courses*/ Other)</t>
  </si>
  <si>
    <t>case when c.f_ctitle like '%%' then c.f_ctitle else 'Other' end</t>
  </si>
  <si>
    <t>varchar(255)</t>
  </si>
  <si>
    <t>c.F_CTITLE</t>
  </si>
  <si>
    <t xml:space="preserve">Credit value of module </t>
  </si>
  <si>
    <t>(CRDTPTS)</t>
  </si>
  <si>
    <t>F_CRDTPTS</t>
  </si>
  <si>
    <t>mod.f_crdtpts</t>
  </si>
  <si>
    <t>mod</t>
  </si>
  <si>
    <t>int</t>
  </si>
  <si>
    <t>Josh.Chaplin</t>
  </si>
  <si>
    <t>Currency location</t>
  </si>
  <si>
    <t>F_XWRKCURRLOC</t>
  </si>
  <si>
    <t>Provider &gt; Official Stats Derived Field &gt; Salary Work</t>
  </si>
  <si>
    <t>CASE WHEN ISNULL(g.ZRESPSTATUS, '02')='02' OR ISNULL(g.XACTIVITY, '99')='99' THEN 'Not in GO publication population' else isnull(g.XWRKCURRLOC,'NA') end</t>
  </si>
  <si>
    <t>CASE WHEN ISNULL(g.ZRESPSTATUS, '02')='02' OR ISNULL(g.XACTIVITY, '99')='99' THEN 'Not in GO publication population' else isnull(XWRKCURRLOC.label,'NA') end</t>
  </si>
  <si>
    <t>xwrkcurrloc</t>
  </si>
  <si>
    <t>Current academic discipline 1</t>
  </si>
  <si>
    <t>(CAH1 2019/20 onwards)</t>
  </si>
  <si>
    <t>F_CAD1_CAH1</t>
  </si>
  <si>
    <t>Case when p.dw_fromdate &lt; 20190801 then 'Not applicable before 2019/20' else isnull(sbj1.[cah1 (code only)],'Not applicable') end</t>
  </si>
  <si>
    <t>Case when p.dw_fromdate &lt; 20190801 then 'Not applicable before 2019/20' else isnull(sbj1.[cah1],'Not applicable') end</t>
  </si>
  <si>
    <t>curcah1</t>
  </si>
  <si>
    <t>(CAH2 2019/20 onwards)</t>
  </si>
  <si>
    <t>F_CAD1_CAH2</t>
  </si>
  <si>
    <t>Case when p.dw_fromdate &lt; 20190801 then 'Not applicable before 2019/20' else isnull(sbj1.[cah2 (code only)],'Not applicable') end</t>
  </si>
  <si>
    <t>Case when p.dw_fromdate &lt; 20190801 then 'Not applicable before 2019/20' else isnull(sbj1.[cah2],'Not applicable') end</t>
  </si>
  <si>
    <t>(CAH3 2019/20 onwards)</t>
  </si>
  <si>
    <t>F_CAD1_CAH3</t>
  </si>
  <si>
    <t>Case when p.dw_fromdate &lt; 20190801 then 'Not applicable before 2019/20' else isnull(sbj1.[cah3 (code only)],'Not applicable') end</t>
  </si>
  <si>
    <t>Case when p.dw_fromdate &lt; 20190801 then 'Not applicable before 2019/20' else isnull(sbj1.[cah3],'Not applicable') end</t>
  </si>
  <si>
    <t>(HECoS 2019/20 onwards)</t>
  </si>
  <si>
    <t>F_CAD1_HECOS</t>
  </si>
  <si>
    <t>Case when p.dw_fromdate &lt; 20190801 then 'Not applicable before 2019/20' else isnull(p.f_curaccdis1,'Not applicable') end</t>
  </si>
  <si>
    <t>Case when p.dw_fromdate &lt; 20190801 then 'Not applicable before 2019/20' else isnull(hcad1.dw_currentlabel,'Not applicable') end</t>
  </si>
  <si>
    <t>hcad1</t>
  </si>
  <si>
    <t>(4-digit JACS) - 2012/13 to 2018/19 only</t>
  </si>
  <si>
    <t>F_CURACCDIS1</t>
  </si>
  <si>
    <t>Case when p.dw_fromdate &gt;= 20190801 then 'Not applicable 2019/20, 2011/12 and prior' when p.dw_fromdate &lt;= 20110801 then 'Not applicable 2019/20, 2011/12 and prior' else IIF(p.f_curaccdis1='','Not applicable',p.f_curaccdis1) end</t>
  </si>
  <si>
    <t>Case when p.dw_fromdate &gt;= 20190801 then 'Not applicable 2019/20, 2011/12 and prior' when p.dw_fromdate &lt;= 20110801 then 'Not applicable 2019/20, 2011/12 and prior' else IIF(p.f_curaccdis1='','Not applicable',jcad1.dw_currentlabel) end</t>
  </si>
  <si>
    <t>jcad1</t>
  </si>
  <si>
    <t>(Principal subject) - 2012/13 to 2018/19 only</t>
  </si>
  <si>
    <t>Case when p.dw_fromdate &gt;= 20190801 then 'Not applicable 2019/20, 2011/12 and prior' when p.dw_fromdate &lt;= 20110801 then 'Not applicable 2019/20, 2011/12 and prior' else IIF(p.f_curaccdis1='','Not applicable',SUBSTRING(p.f_curaccdis1,1,2)) end</t>
  </si>
  <si>
    <t>Case when p.dw_fromdate &gt;= 20190801 then 'Not applicable 2019/20, 2011/12 and prior' when p.dw_fromdate &lt;= 20110801 then 'Not applicable 2019/20, 2011/12 and prior' else IIF(p.f_curaccdis1='','Not applicable', jpcad1.dw_currentlabel) end</t>
  </si>
  <si>
    <t>jpcad1</t>
  </si>
  <si>
    <t>(Subject area) - 2012/13 to 2018/19 only</t>
  </si>
  <si>
    <t>Case when p.dw_fromdate &gt;= 20190801 then 'Not applicable 2019/20, 2011/12 and prior' when p.dw_fromdate &lt;= 20110801 then 'Not applicable 2019/20, 2011/12 and prior' else IIF(p.f_curaccdis1='','Not applicable',SUBSTRING(p.f_curaccdis1,1,1)) end</t>
  </si>
  <si>
    <t>Case when p.dw_fromdate &gt;= 20190801 then 'Not applicable 2019/20, 2011/12 and prior' when p.dw_fromdate &lt;= 20110801 then 'Not applicable 2019/20, 2011/12 and prior' else IIF(p.f_curaccdis1='','Not applicable', jacad1.dw_currentlabel) end</t>
  </si>
  <si>
    <t>jacad1</t>
  </si>
  <si>
    <t>Current academic discipline 2</t>
  </si>
  <si>
    <t>F_CAD2_CAH1</t>
  </si>
  <si>
    <t>Case when p.dw_fromdate &lt; 20190801 then 'Not applicable before 2019/20' else isnull(sbj2.[cah1 (code only)],'Not applicable') end</t>
  </si>
  <si>
    <t>Case when p.dw_fromdate &lt; 20190801 then 'Not applicable before 2019/20' else isnull(sbj2.[cah1],'Not applicable') end</t>
  </si>
  <si>
    <t>curcah2</t>
  </si>
  <si>
    <t>F_CAD2_CAH2</t>
  </si>
  <si>
    <t>Case when p.dw_fromdate &lt; 20190801 then 'Not applicable before 2019/20' else isnull(sbj2.[cah2 (code only)],'Not applicable') end</t>
  </si>
  <si>
    <t>Case when p.dw_fromdate &lt; 20190801 then 'Not applicable before 2019/20' else isnull(sbj2.[cah2],'Not applicable') end</t>
  </si>
  <si>
    <t>F_CAD2_CAH3</t>
  </si>
  <si>
    <t>Case when p.dw_fromdate &lt; 20190801 then 'Not applicable before 2019/20' else isnull(sbj2.[cah3 (code only)],'Not applicable') end</t>
  </si>
  <si>
    <t>Case when p.dw_fromdate &lt; 20190801 then 'Not applicable before 2019/20' else isnull(sbj2.[cah3],'Not applicable') end</t>
  </si>
  <si>
    <t>F_CAD2_HECOS</t>
  </si>
  <si>
    <t>Case when p.dw_fromdate &lt; 20190801 then 'Not applicable before 2019/20' else  IIF(p.f_curaccdis2='','Not applicable',p.f_curaccdis2) end</t>
  </si>
  <si>
    <t>Case when p.dw_fromdate &lt; 20190801 then 'Not applicable before 2019/20' else  IIF(p.f_curaccdis2='','Not applicable',hcad2.dw_currentlabel) end</t>
  </si>
  <si>
    <t>hcad2</t>
  </si>
  <si>
    <t>F_CURACCDIS2</t>
  </si>
  <si>
    <t>Case when p.dw_fromdate &gt;= 20190801 then 'Not applicable 2019/20, 2011/12 and prior' when p.dw_fromdate &lt;= 20110801 then 'Not applicable 2019/20, 2011/12 and prior' else IIF(p.f_curaccdis2='','Not applicable',p.f_curaccdis2)  end</t>
  </si>
  <si>
    <t>Case when p.dw_fromdate &gt;= 20190801 then 'Not applicable 2019/20, 2011/12 and prior' when p.dw_fromdate &lt;= 20110801 then 'Not applicable 2019/20, 2011/12 and prior' else IIF(p.f_curaccdis2='','Not applicable',jcad2.dw_currentlabel) end</t>
  </si>
  <si>
    <t>jcad2</t>
  </si>
  <si>
    <t>Case when p.dw_fromdate &gt;= 20190801 then 'Not applicable 2019/20, 2011/12 and prior' when p.dw_fromdate &lt;= 20110801 then 'Not applicable 2019/20, 2011/12 and prior' else  IIF(p.f_curaccdis2='','Not applicable',SUBSTRING(p.f_curaccdis2,1,2))  end</t>
  </si>
  <si>
    <t>Case when p.dw_fromdate &gt;= 20190801 then 'Not applicable 2019/20, 2011/12 and prior' when p.dw_fromdate &lt;= 20110801 then 'Not applicable 2019/20, 2011/12 and prior' else  IIF(p.f_curaccdis2='','Not applicable',jpcad2.dw_currentlabel)  end</t>
  </si>
  <si>
    <t>jpcad2</t>
  </si>
  <si>
    <t>Case when p.dw_fromdate &gt;= 20190801 then 'Not applicable 2019/20, 2011/12 and prior' when p.dw_fromdate &lt;= 20110801 then 'Not applicable 2019/20, 2011/12 and prior' else  IIF(p.f_curaccdis2='','Not applicable',SUBSTRING(p.f_curaccdis2,1,1))  end</t>
  </si>
  <si>
    <t>Case when p.dw_fromdate &gt;= 20190801 then 'Not applicable 2019/20, 2011/12 and prior' when p.dw_fromdate &lt;= 20110801 then 'Not applicable 2019/20, 2011/12 and prior' else  IIF(p.f_curaccdis2='','Not applicable',jacad2.dw_currentlabel)  end</t>
  </si>
  <si>
    <t>jacad2</t>
  </si>
  <si>
    <t>Current academic discipline 3</t>
  </si>
  <si>
    <t>F_CAD3_CAH1</t>
  </si>
  <si>
    <t>Case when p.dw_fromdate &lt; 20190801 then 'Not applicable before 2019/20' else isnull(sbj3.[cah1 (code only)],'Not applicable') end</t>
  </si>
  <si>
    <t>Case when p.dw_fromdate &lt; 20190801 then 'Not applicable before 2019/20' else isnull(sbj3.[cah1],'Not applicable') end</t>
  </si>
  <si>
    <t>curcah3</t>
  </si>
  <si>
    <t>F_CAD3_CAH2</t>
  </si>
  <si>
    <t>Case when p.dw_fromdate &lt; 20190801 then 'Not applicable before 2019/20' else isnull(sbj3.[cah2 (code only)],'Not applicable') end</t>
  </si>
  <si>
    <t>Case when p.dw_fromdate &lt; 20190801 then 'Not applicable before 2019/20' else isnull(sbj3.[cah2],'Not applicable') end</t>
  </si>
  <si>
    <t>F_CAD3_CAH3</t>
  </si>
  <si>
    <t>Case when p.dw_fromdate &lt; 20190801 then 'Not applicable before 2019/20' else isnull(sbj3.[cah3 (code only)],'Not applicable') end</t>
  </si>
  <si>
    <t>Case when p.dw_fromdate &lt; 20190801 then 'Not applicable before 2019/20' else isnull(sbj3.[cah3],'Not applicable') end</t>
  </si>
  <si>
    <t>F_CAD3_HECOS</t>
  </si>
  <si>
    <t>Case when p.dw_fromdate &lt; 20190801 then 'Not applicable before 2019/20' else IIF(isnull(p.f_curaccdis3,'')='','Not applicable',p.f_curaccdis3) end</t>
  </si>
  <si>
    <t>Case when p.dw_fromdate &lt; 20190801 then 'Not applicable before 2019/20' else IIF(isnull(p.f_curaccdis3,'')='','Not applicable',hcad3.dw_currentlabel) end</t>
  </si>
  <si>
    <t>hcad3</t>
  </si>
  <si>
    <t>F_CURACCDIS3</t>
  </si>
  <si>
    <t>Case when p.dw_fromdate &gt;= 20190801 then 'Not applicable 2019/20, 2011/12 and prior' when p.dw_fromdate &lt;= 20110801 then 'Not applicable 2019/20, 2011/12 and prior' else IIF(isnull(p.f_curaccdis3,'')='','Not applicable',p.f_curaccdis3) end</t>
  </si>
  <si>
    <t>Case when p.dw_fromdate &gt;= 20190801 then 'Not applicable 2019/20, 2011/12 and prior' when p.dw_fromdate &lt;= 20110801 then 'Not applicable 2019/20, 2011/12 and prior' else IIF(isnull(p.f_curaccdis3,'')='','Not applicable',jcad3.dw_currentlabel) end</t>
  </si>
  <si>
    <t>jcad3</t>
  </si>
  <si>
    <t>Case when p.dw_fromdate &gt;= 20190801 then 'Not applicable 2019/20, 2011/12 and prior' when p.dw_fromdate &lt;= 20110801 then 'Not applicable 2019/20, 2011/12 and prior' else IIF(isnull(p.f_curaccdis3,'')='','Not applicable',SUBSTRING(p.f_curaccdis3,1,2)) end</t>
  </si>
  <si>
    <t>Case when p.dw_fromdate &gt;= 20190801 then 'Not applicable 2019/20, 2011/12 and prior' when p.dw_fromdate &lt;= 20110801 then 'Not applicable 2019/20, 2011/12 and prior' else IIF(isnull(p.f_curaccdis3,'')='','Not applicable',jpcad3.dw_currentlabel) end</t>
  </si>
  <si>
    <t>jpcad3</t>
  </si>
  <si>
    <t>Case when p.dw_fromdate &gt;= 20190801 then 'Not applicable 2019/20, 2011/12 and prior' when p.dw_fromdate &lt;= 20110801 then 'Not applicable 2019/20, 2011/12 and prior' else IIF(isnull(p.f_curaccdis3,'')='','Not applicable',SUBSTRING(p.f_curaccdis3,1,1))  end</t>
  </si>
  <si>
    <t>Case when p.dw_fromdate &gt;= 20190801 then 'Not applicable 2019/20, 2011/12 and prior' when p.dw_fromdate &lt;= 20110801 then 'Not applicable 2019/20, 2011/12 and prior' else IIF(isnull(p.f_curaccdis3,'')='','Not applicable',jacad3.dw_currentlabel)  end</t>
  </si>
  <si>
    <t>jacad3</t>
  </si>
  <si>
    <t>Current academic discipline 4</t>
  </si>
  <si>
    <t>F_CAD4_CAH1</t>
  </si>
  <si>
    <t>Case when p.dw_fromdate &lt; 20190801 then 'Not applicable before 2019/20' else isnull(sbj4.[cah1 (code only)],'Not applicable') end</t>
  </si>
  <si>
    <t>Case when p.dw_fromdate &lt; 20190801 then 'Not applicable before 2019/20' else isnull(sbj4.[cah1],'Not applicable') end</t>
  </si>
  <si>
    <t>curcah4</t>
  </si>
  <si>
    <t>F_CAD4_CAH2</t>
  </si>
  <si>
    <t>Case when p.dw_fromdate &lt; 20190801 then 'Not applicable before 2019/20' else isnull(sbj4.[cah2 (code only)],'Not applicable') end</t>
  </si>
  <si>
    <t>Case when p.dw_fromdate &lt; 20190801 then 'Not applicable before 2019/20' else isnull(sbj4.[cah2],'Not applicable') end</t>
  </si>
  <si>
    <t>F_CAD4_CAH3</t>
  </si>
  <si>
    <t>Case when p.dw_fromdate &lt; 20190801 then 'Not applicable before 2019/20' else isnull(sbj4.[cah3 (code only)],'Not applicable') end</t>
  </si>
  <si>
    <t>Case when p.dw_fromdate &lt; 20190801 then 'Not applicable before 2019/20' else isnull(sbj4.[cah3],'Not applicable') end</t>
  </si>
  <si>
    <t>F_CAD4_HECOS</t>
  </si>
  <si>
    <t>Case when p.dw_fromdate &lt; 20190801 then 'Not applicable before 2019/20' else isnull(p.f_curaccdis4,'Not applicable') end</t>
  </si>
  <si>
    <t>Case when p.dw_fromdate &lt; 20190801 then 'Not applicable before 2019/20' else isnull(hcad4.dw_currentlabel,'Not applicable') end</t>
  </si>
  <si>
    <t>hcad4</t>
  </si>
  <si>
    <t>Current academic discipline 5</t>
  </si>
  <si>
    <t>Case when p.dw_fromdate &lt; 20190801 then 'Not applicable before 2019/20' else isnull(sbj5.[cah1 (code only)],'Not applicable') end</t>
  </si>
  <si>
    <t>Case when p.dw_fromdate &lt; 20190801 then 'Not applicable before 2019/20' else isnull(sbj5.[cah1],'Not applicable') end</t>
  </si>
  <si>
    <t>curcah5</t>
  </si>
  <si>
    <t>Case when p.dw_fromdate &lt; 20190801 then 'Not applicable before 2019/20' else isnull(sbj5.[cah2 (code only)],'Not applicable') end</t>
  </si>
  <si>
    <t>Case when p.dw_fromdate &lt; 20190801 then 'Not applicable before 2019/20' else isnull(sbj5.[cah2],'Not applicable') end</t>
  </si>
  <si>
    <t>Case when p.dw_fromdate &lt; 20190801 then 'Not applicable before 2019/20' else isnull(sbj5.[cah3 (code only)],'Not applicable') end</t>
  </si>
  <si>
    <t>Case when p.dw_fromdate &lt; 20190801 then 'Not applicable before 2019/20' else isnull(sbj5.[cah3],'Not applicable') end</t>
  </si>
  <si>
    <t>F_CAD5_HECOS</t>
  </si>
  <si>
    <t>Case when p.dw_fromdate &lt; 20190801 then 'Not applicable before 2019/20' else isnull(p.f_curaccdis5,'Not applicable') end</t>
  </si>
  <si>
    <t>Case when p.dw_fromdate &lt; 20190801 then 'Not applicable before 2019/20' else isnull(hcad5.dw_currentlabel,'Not applicable') end</t>
  </si>
  <si>
    <t>hcad5</t>
  </si>
  <si>
    <t>Date appointed at current HE provider</t>
  </si>
  <si>
    <t>F_DATEFHEI</t>
  </si>
  <si>
    <t>SUBSTRING(CAST(P.F_DATEFHEI AS VARCHAR(10)),1,4)+'/'+SUBSTRING(CAST(P.F_DATEFHEI AS VARCHAR(10)),6,2)</t>
  </si>
  <si>
    <t>Date left HE provider</t>
  </si>
  <si>
    <t>F_DATELEFT</t>
  </si>
  <si>
    <t>SUBSTRING(CAST(p.F_DATELEFT AS VARCHAR(10)), 1, 4) + '/' + SUBSTRING(CAST(p.F_DATELEFT AS VARCHAR(10)), 6, 2)</t>
  </si>
  <si>
    <t>Dependants</t>
  </si>
  <si>
    <t>(Full)(F_SDEPEND)</t>
  </si>
  <si>
    <t>F_SDEPEND</t>
  </si>
  <si>
    <t>Justification needed from customer! Providers in Scotland only</t>
  </si>
  <si>
    <t>provider &gt; student:</t>
  </si>
  <si>
    <t>CASE WHEN s.F_XINSTC01='S' THEN IIF(stu.F_SDEPEND='', '99', stu.F_SDEPEND) ELSE 'N/A' END F_SDEPEND</t>
  </si>
  <si>
    <t>Designation marker</t>
  </si>
  <si>
    <t>(Designated/ Non-designated)</t>
  </si>
  <si>
    <t>F_XDEISG03</t>
  </si>
  <si>
    <t>CASE WHEN S.F_XDESIG03 IN ('1','2','3','4') THEN 'Designated' else 'Non-Designated' end</t>
  </si>
  <si>
    <t>Different provider</t>
  </si>
  <si>
    <t>[DIFFPROV] -opt in question</t>
  </si>
  <si>
    <t>Different qualification</t>
  </si>
  <si>
    <t>[DIFFQUAL] -opt in question</t>
  </si>
  <si>
    <t>Different subject</t>
  </si>
  <si>
    <t>[DIFFSUB] -opt in question</t>
  </si>
  <si>
    <t>Disability</t>
  </si>
  <si>
    <t>marker (Known disability/ No known disability)</t>
  </si>
  <si>
    <t>DW_ZSTUDIS_MARKER</t>
  </si>
  <si>
    <t>Special Category of Personal data. Justification needed from customer! Not to be crosstabulated with other Special Category of Personal data.</t>
  </si>
  <si>
    <t>Yes - with different labels</t>
  </si>
  <si>
    <t xml:space="preserve">cast(s.dw_zstudis_marker as varchar) </t>
  </si>
  <si>
    <t>(SELECT top 1 DW_CurrentLabel From Student.C051_Meta_Data f with(nolock) where s.dw_zstudis_marker =F.Entry and fieldname = 'ZSTUDIS_MARKER' order by dw_fromdate desc)</t>
  </si>
  <si>
    <t>F_XSTUDIS01</t>
  </si>
  <si>
    <t>IIF(s.f_xstudis01 in ('L','M','N','X'),'A', s.f_xstudis01)</t>
  </si>
  <si>
    <t>IIF(s.f_xstudis01 in ('L','M','N','X','A'),'No known disability (including unknowns)', xstudis01.DW_CurrentLabel)</t>
  </si>
  <si>
    <t>xstudis</t>
  </si>
  <si>
    <t>Disability (Staff)</t>
  </si>
  <si>
    <t>f_disabled</t>
  </si>
  <si>
    <t>case when p.F_DISABLED  in ( '97' ,'99') then 'Unknown/Not available' else p.F_DISABLED end</t>
  </si>
  <si>
    <t>case when p.F_DISABLED  in ( '97' ,'99') then 'Unknown/Not available' else  DISABLED.dw_currentlabel end</t>
  </si>
  <si>
    <t>disabled</t>
  </si>
  <si>
    <t>CASE WHEN p.dw_fromdate &gt;= 20080801 AND P.F_DISABLED IN ( '00' ) THEN 'No known disability' WHEN p.DW_FromDate &lt;= 20070801 AND p.F_DISABLED = '1' THEN 'No known disability' WHEN p.dw_fromdate &gt;= 20080801 AND P.F_DISABLED in ( '97' ,'99')THEN 'Unknown/Not available' WHEN p.DW_FromDate &lt;= 20070801 AND p.F_DISABLED = '9' THEN 'Unknown' WHEN p.dw_fromdate &gt;= 20080801 AND P.F_DISABLED IN ( '08', '51', '52', '53', '54', '55', '56', '57', '58', '96', '97' ) THEN 'Known disability' WHEN p.DW_FromDate &lt;= 20070801 AND p.F_DISABLED = '2' THEN'Known disability' ELSE 'error' END</t>
  </si>
  <si>
    <t>CASE WHEN p.dw_fromdate &gt;= 20080801 AND P.F_DISABLED IN ( '00' ) THEN 'No known disability' WHEN p.DW_FromDate &lt;= 20070801 AND p.F_DISABLED = '1' THEN 'No known disability' WHEN p.dw_fromdate &gt;= 20080801 AND P.F_DISABLED  in ( '97' ,'99') THEN 'Unknown/Not available' WHEN p.DW_FromDate &lt;= 20070801 AND p.F_DISABLED = '9' THEN 'Unknown' WHEN p.dw_fromdate &gt;= 20080801 AND P.F_DISABLED IN ( '08', '51', '52', '53', '54', '55', '56', '57', '58', '96', '97' ) THEN 'Known disability' WHEN p.DW_FromDate &lt;= 20070801 AND p.F_DISABLED = '2' THEN'Known disability' ELSE 'error' END</t>
  </si>
  <si>
    <t>varchar(19)</t>
  </si>
  <si>
    <t>Disabled student allowance</t>
  </si>
  <si>
    <t>F_DISALL</t>
  </si>
  <si>
    <t>IIF(S.F_DISALL in (' ','-1'),'9',S.F_DISALL)</t>
  </si>
  <si>
    <t>DISALL.DW_CurrentLabel</t>
  </si>
  <si>
    <t>disall</t>
  </si>
  <si>
    <t>Distance learning marker</t>
  </si>
  <si>
    <t>(Distance learning - UK based/ Distance learning - Non-UK based (funded)/ Not a distance learning student)</t>
  </si>
  <si>
    <t>DL_MKR</t>
  </si>
  <si>
    <t>CASE when s.f_locsdy in ('6','9') then s.f_locsdy else 'NDL' end</t>
  </si>
  <si>
    <t>(Distance learning student/ Not a distance learning student)</t>
  </si>
  <si>
    <t>CASE when s.f_locsdy in ('6','9') then 'DL' else 'NDL' end</t>
  </si>
  <si>
    <t>CASE when s.f_locsdy in ('6','9') then 'Distance learning student' else 'Not a distance learning student' end</t>
  </si>
  <si>
    <t>(Domicile postcode to employment postcode)</t>
  </si>
  <si>
    <t>(Term time postcode to employment postcode)</t>
  </si>
  <si>
    <t>(Domicile postcode to campus postcode)</t>
  </si>
  <si>
    <t>DIST_TRAV</t>
  </si>
  <si>
    <t>dbo.SP_Distance_NotApplicable(s.f_xdomgr01, pk.f_country, s.f_xinstid01, s.f_xfyrsr01, s.f_locsdy, d.f_zpropfran, dbo.SP_Distance(pk.F_EASTING,pk.F_NORTHING,PC.F_OSEAST1M,PC.F_OSNRTH1M,'M'))</t>
  </si>
  <si>
    <t>REPLACE(REPLACE(dbo.SP_Distance_NotApplicable(s.F_XDOMGR01, pk.f_country, s.F_XINSTID01, s.F_XFYRSR01, s.F_LOCSDY, d.F_ZPROPFRAN, dbo.SP_Distance(pk.F_EASTING, pk.F_NORTHING, PC.F_OSEAST1M, PC.F_OSNRTH1M, 'M')),-9999,'Unknown'),-8888,'Not applicable')</t>
  </si>
  <si>
    <t>dtcamp</t>
  </si>
  <si>
    <t>varchar(50)</t>
  </si>
  <si>
    <t>(Domicile postcode to HE provider postcode)</t>
  </si>
  <si>
    <t>dbo.SP_Distance_NotApplicable(s.f_xdomgr01, s.f_xinstc01, s.f_xinstid01, s.f_xfyrsr01, s.f_locsdy, d.f_zpropfran, dbo.SP_Distance(A.F_EASTING, A.F_NORTHING, PC.F_OSEAST1M, PC.F_OSNRTH1M, 'M'))</t>
  </si>
  <si>
    <t>REPLACE(REPLACE(dbo.SP_Distance_NotApplicable(s.F_XDOMGR01, s.f_xinstc01, s.F_XINSTID01, s.F_XFYRSR01, s.F_LOCSDY, d.F_ZPROPFRAN, dbo.SP_Distance(a.F_EASTING, a.F_NORTHING, PC.F_OSEAST1M, PC.F_OSNRTH1M, 'M')),-9999,'Unknown'),-8888,'Not applicable')</t>
  </si>
  <si>
    <t>dthe</t>
  </si>
  <si>
    <t>(Domicile postcode to term time postcode)</t>
  </si>
  <si>
    <t>dbo.SP_Distance_NotApplicable(  s.F_XDOMGR01,   tt.F_CTRY,    s.F_XINSTID01,  s.F_XFYRSR01, s.F_LOCSDY,  d.F_ZPROPFRAN, dbo.SP_Distance(tt.F_OSEAST1M, tt.F_OSNRTH1M, PC.F_OSEAST1M, PC.F_OSNRTH1M, 'M'))</t>
  </si>
  <si>
    <t>REPLACE(REPLACE(dbo.SP_Distance_NotApplicable(  s.F_XDOMGR01,   tt.F_CTRY,    s.F_XINSTID01,  s.F_XFYRSR01, s.F_LOCSDY,  d.F_ZPROPFRAN, dbo.SP_Distance(tt.F_OSEAST1M, tt.F_OSNRTH1M, PC.F_OSEAST1M, PC.F_OSNRTH1M, 'M')),-9999,'Unknown'),-8888,'Not applicable')</t>
  </si>
  <si>
    <t>ttpc</t>
  </si>
  <si>
    <t>(Term time postcode to campus postcode)</t>
  </si>
  <si>
    <t>dbo.SP_Distance_NotApplicable(pt.f_gor, pk.f_country, s.f_xinstid01, s.f_xfyrsr01, s.f_locsdy, d.f_zpropfran, dbo.SP_Distance(pk.F_EASTING,pk.F_NORTHING,Pt.F_OSEAST1M,Pt.F_OSNRTH1M,'M'))</t>
  </si>
  <si>
    <t>dttcamp</t>
  </si>
  <si>
    <t>Will Joice</t>
  </si>
  <si>
    <t>(Term time postcode to HE provider postcode)</t>
  </si>
  <si>
    <t>dbo.SP_Distance_NotApplicable(pt.f_gor,  s.f_xinstc01, s.f_xinstid01, s.f_xfyrsr01, s.f_locsdy, d.f_zpropfran, dbo.SP_Distance(a.F_EASTING,a.F_NORTHING,Pt.F_OSEAST1M,Pt.F_OSNRTH1M,'M'))</t>
  </si>
  <si>
    <t>REPLACE(REPLACE(dbo.SP_Distance_NotApplicable(pt.f_gor,  s.f_xinstc01, s.F_XINSTID01, s.F_XFYRSR01, s.F_LOCSDY, d.F_ZPROPFRAN, dbo.SP_Distance(a.F_EASTING, a.F_NORTHING, Pt.F_OSEAST1M, Pt.F_OSNRTH1M, 'M')),-9999,'Unknown'),-8888,'Not applicable')</t>
  </si>
  <si>
    <t>dttt</t>
  </si>
  <si>
    <t>DLHE Qualification obtained</t>
  </si>
  <si>
    <t>Domicile</t>
  </si>
  <si>
    <t>(Outward postcode)</t>
  </si>
  <si>
    <t>F_OUTPCODE</t>
  </si>
  <si>
    <t>CASE WHEN ltrim(s.f_postcode) IN ('ZZ', 'XK', 'XL', 'IM', 'XF', 'XG', 'XH', 'XI', '99999999')
OR ltrim(s.f_postcode) IS NULL
OR ltrim(s.f_postcode) IN ('',' ') THEN 'Unknown'
WHEN SUBSTRING(ltrim(s.f_postcode), 1, 3)='___'
OR SUBSTRING(ltrim(s.f_postcode), 1, 3)='###'
OR SUBSTRING(ltrim(s.f_postcode), 1, 3)='$$$' THEN 'Unknown'
WHEN CHARINDEX(' ', LTRIM(ltrim(s.f_postcode)))=0 THEN CASE WHEN LEN(ltrim(s.f_postcode))&gt;=5 THEN 'Unknown' ELSE ltrim(s.f_postcode) END
WHEN ((ltrim(s.f_postcode) LIKE '%  %') OR (ltrim(s.f_postcode) LIKE '% %')) THEN SUBSTRING(ltrim(s.f_postcode), 1, CHARINDEX(' ', ltrim(s.f_postcode)) - 1)
ELSE 'Unknown' END</t>
  </si>
  <si>
    <t>varchar(8)</t>
  </si>
  <si>
    <t>(UK sector postcode/ Non-UK)</t>
  </si>
  <si>
    <t>F_SECTORPCODE</t>
  </si>
  <si>
    <t>No - Outward postcode is!</t>
  </si>
  <si>
    <t xml:space="preserve">case WHEN s.F_XHOOS01='3' THEN 'zzzzUnknown' WHEN s.F_XHOOS01='2' THEN 'Non-UK' WHEN s.F_POSTCODE IN ('ZZ', 'GB', 'JE', 'XL', 'XK', 'GG', 'IM', 'XF', 'XI', 'XH', 'XG', '99999999',  '1782', '2826', '3826', '4826', '5826', '6826', '7826', '8826') OR s.F_POSTCODE IS NULL OR s.F_POSTCODE='' THEN 'zzzzUnknown' WHEN SUBSTRING(s.F_POSTCODE,1,3)='___' OR SUBSTRING(s.F_POSTCODE,1,3)='###' OR SUBSTRING(s.F_POSTCODE,1,3)='$$$' THEN 'zzzzUnknown' WHEN CHARINDEX(' ',s.F_POSTCODE)=0 THEN   CASE WHEN LEN(s.F_POSTCODE)&gt;=5 THEN 'zzzzUnknown' ELSE s.F_POSTCODE END WHEN s.F_POSTCODE LIKE '%  %' THEN CASE WHEN SUBSTRING(s.F_POSTCODE,CHARINDEX(' ',s.F_POSTCODE)+2,1) IN ('0', '1', '2', '3', '4', '5', '6', '7', '8', '9') THEN SUBSTRING(s.F_POSTCODE,1,CHARINDEX(' ',s.F_POSTCODE)-1)+' '+SUBSTRING(s.F_POSTCODE,CHARINDEX(' ',s.F_POSTCODE)+2,1) WHEN SUBSTRING(s.F_POSTCODE,CHARINDEX(' ',s.F_POSTCODE)+2,1)='O' THEN SUBSTRING(s.F_POSTCODE,1,CHARINDEX(' ',s.F_POSTCODE)-1)+' '+'0' ELSE SUBSTRING(s.F_POSTCODE,1,CHARINDEX(' ',s.F_POSTCODE)-1) END WHEN s.F_POSTCODE LIKE '% %' THEN CASE WHEN SUBSTRING(s.F_POSTCODE,CHARINDEX(' ',s.F_POSTCODE)+1,1) IN ('0', '1', '2', '3', '4', '5', '6', '7', '8', '9') THEN SUBSTRING(s.F_POSTCODE,1,CHARINDEX(' ',s.F_POSTCODE)-1)+' '+SUBSTRING(s.F_POSTCODE,CHARINDEX(' ',s.F_POSTCODE)+1,1) WHEN SUBSTRING(s.F_POSTCODE,CHARINDEX(' ',s.F_POSTCODE)+1,1)='O' THEN SUBSTRING(s.F_POSTCODE,1,CHARINDEX(' ',s.F_POSTCODE)-1)+' '+'0' ELSE SUBSTRING(s.F_POSTCODE,1,CHARINDEX(' ',s.F_POSTCODE)-1) END ELSE 'zzzzUnknown' END </t>
  </si>
  <si>
    <t>varchar(11)</t>
  </si>
  <si>
    <t>(Casward/Non-UK/ Unknown)</t>
  </si>
  <si>
    <t>F_CASWARD</t>
  </si>
  <si>
    <t>z</t>
  </si>
  <si>
    <t>(Ward/ Non-UK/ Unknown)</t>
  </si>
  <si>
    <t>F_ELECWARD</t>
  </si>
  <si>
    <t>case when s.f_xhoos01='2' then 'Non-UK'  when ISNULL(z.F_ELECWARD, '') in ('') then 'Unknown' else z.F_ELECWARD end</t>
  </si>
  <si>
    <t>varchar(9)</t>
  </si>
  <si>
    <t>(Local authority district)</t>
  </si>
  <si>
    <t>F_FULL_LAUA</t>
  </si>
  <si>
    <t>CASE WHEN s.F_XHOOS01 = '2' THEN 'Non-UK' ELSE IIF(z.F_FULL_LAUA = '', 'Unknown', ISNULL(z.F_FULL_LAUA, 'Unknown')) END</t>
  </si>
  <si>
    <t>CASE WHEN s.F_XHOOS01 = '2' THEN 'Non-UK' ELSE IIF(z.F_FULL_LAUA = '', 'Unknown', ISNULL(ons.label, 'Unknown')) END</t>
  </si>
  <si>
    <t>laua</t>
  </si>
  <si>
    <t>(UK Lower super output area (LSOA)/ Non-UK/ Unknown)</t>
  </si>
  <si>
    <t>F_LSOA11</t>
  </si>
  <si>
    <t>CASE when s.f_xhoos01='2' then 'Non-UK' WHEN z.F_LSOA11 IN ('-3') THEN 'Unknown' ELSE ISNULL(z.F_LSOA11,'Unknown') END</t>
  </si>
  <si>
    <t>CASE when s.f_xhoos01='2' then 'Non-UK'  WHEN z.F_LSOA11 IN ('-3') THEN 'Unknown' ELSE ISNULL(z.F_LSOA11,'Unknown') END</t>
  </si>
  <si>
    <t>(UK Middle super output area (MSOA)/ Non-UK/ Unknown)</t>
  </si>
  <si>
    <t>F_MSOA11</t>
  </si>
  <si>
    <t>CASE when s.f_xhoos01='2' then 'Non-UK'  WHEN z.F_MSOA11 IN ('-3') THEN 'Unknown' ELSE ISNULL(z.F_MSOA11,'Unknown') END</t>
  </si>
  <si>
    <t>(UK NUTS 2/ Non-UK/ Unknown)</t>
  </si>
  <si>
    <t>F_NUTS2</t>
  </si>
  <si>
    <t>CASE WHEN s.F_XHOOS01 = '2' THEN 'Non-UK' ELSE ISNULL(ndom.f_nuts2, 'Unknown') END</t>
  </si>
  <si>
    <t>NDOM</t>
  </si>
  <si>
    <t>(UK NUTS 3/ Non-UK/ Unknown)</t>
  </si>
  <si>
    <t>F_NUTS3</t>
  </si>
  <si>
    <t>(Country)</t>
  </si>
  <si>
    <t>F_XDOM</t>
  </si>
  <si>
    <t>Partial - UK grouped</t>
  </si>
  <si>
    <t>case WHEN s.F_XDOMREG01 ='XL' THEN 'XL' when s.f_xhoos01 = 1 then s.F_XDOMREG01 else s.F_XDOMUC01 END</t>
  </si>
  <si>
    <t>case WHEN s.F_XDOMREG01 ='XL' THEN 'Channel Islands'  when s.f_xhoos01='1' then xdomreg01.dw_currentlabel when s.F_XDOMREG01 = 'XK' then 'United Kingdom, not otherwise specified' ELSE xdomuc01.DW_CurrentLabel end</t>
  </si>
  <si>
    <t>domc</t>
  </si>
  <si>
    <t>(Region)</t>
  </si>
  <si>
    <t>F_XDOMGR01</t>
  </si>
  <si>
    <t>Partial - Non-UK and Unknown grouped</t>
  </si>
  <si>
    <t>s.F_XDOMGR01</t>
  </si>
  <si>
    <t>(select top 1 DW_CurrentLabel From Student.C051_Meta_Data f with(nolock) where s.F_XDOMGR01 =F.Entry AND fieldname = 'XDOMGR01' order by dw_fromdate desc)</t>
  </si>
  <si>
    <t>emily.raven</t>
  </si>
  <si>
    <t>(UK/ EU/ Non EU/ Unknown)</t>
  </si>
  <si>
    <t>F_XDOMGR401</t>
  </si>
  <si>
    <t>s.F_XDOMGR401</t>
  </si>
  <si>
    <t>(select top 1 DW_CurrentLabel From Student.C051_Meta_Data f with(nolock) where s.f_XDOMGR401 =F.Entry AND fieldname = 'XDOMGR401' order by dw_fromdate desc)</t>
  </si>
  <si>
    <t>(UK region/ EU/ Non-EU/ Unknown)</t>
  </si>
  <si>
    <t>F_XDOMREG01</t>
  </si>
  <si>
    <t>Partial - EU and Non-EU grouped</t>
  </si>
  <si>
    <t>case when s.f_xhoos01='1' then s.f_xdomgr01 else CAST(s.f_xdomgr401 AS VARCHAR) end</t>
  </si>
  <si>
    <t>case when s.f_xhoos01='1' then xdomgr01.dw_currentlabel else CAST(s.f_xdomgr401 AS VARCHAR) end</t>
  </si>
  <si>
    <t>domg</t>
  </si>
  <si>
    <t>(UK region/ Non-UK by country/ Unknown)</t>
  </si>
  <si>
    <t>Partial - split over 2 fields</t>
  </si>
  <si>
    <t>CASE WHEN s.F_XHOOS01 = '1' THEN s.F_XDOMGR01 WHEN s.F_XHOOS01 = '2' THEN s.F_XDOMUC01 ELSE 'Unknown' END</t>
  </si>
  <si>
    <t>domrc</t>
  </si>
  <si>
    <t>(UK: England/ Wales/ Scotland/ Northern Ireland/ Non UK: Country)</t>
  </si>
  <si>
    <t>([UK county/Unitary authority]/ Non-UK grouped/ Unknown)</t>
  </si>
  <si>
    <t>F_XDOMUC01</t>
  </si>
  <si>
    <t>CASE WHEN s.F_XDOMREG01='XL' THEN 'XL' WHEN s.F_XHOOS01 = 1 THEN s.F_XDOMUC01 WHEN s.F_XHOOS01 = 2 THEN 'Non UK' else 'NOTK' END</t>
  </si>
  <si>
    <t>domcc</t>
  </si>
  <si>
    <t>varchar(16)</t>
  </si>
  <si>
    <t>(England/ Wales/ Scotland/ Northern Ireland/ Guernsey, Jersey and the Isle of Man/ EU/ Non-EU/ Unknown)</t>
  </si>
  <si>
    <t>case when s.f_xhoos01='1' then s.f_xdomreg01 else CAST(s.f_XDOMGR401 AS VARCHAR) end</t>
  </si>
  <si>
    <t>case when s.f_xhoos01='1' then xdomreg01.dw_currentlabel else CAST(s.f_XDOMGR401 AS VARCHAR) end</t>
  </si>
  <si>
    <t>domr</t>
  </si>
  <si>
    <t>(UK county/ Non-UK by country/ Unknown)</t>
  </si>
  <si>
    <t>CASE when  s.F_XDOMREG01 ='XL' THEN 'XL' ELSE s.F_XDOMUC01 END</t>
  </si>
  <si>
    <t>case WHEN s.f_XDOMUC01 = 'XF' THEN 'England (county/unitary authority unknown)' WHEN s.f_XDOMUC01 = 'XI' THEN 'Wales (unitary authority unknown)' WHEN s.f_xdomuc01 = 'XH' THEN 'Scotland (council area unknown)' WHEN s.f_xdomuc01 = 'XG' THEN 'Northern Ireland (district council area unknown)' WHEN s.F_XDOMREG01 ='XL' THEN 'Channel islands' else XDOMUC01.DW_CurrentLabel END</t>
  </si>
  <si>
    <t>(UK/ Non-UK by country/ Unknown)</t>
  </si>
  <si>
    <t>case WHEN s.F_XDOMREG01 ='XL' THEN 'XL' when s.f_xhoos01 = 1 then 'UK' else s.F_XDOMUC01 END</t>
  </si>
  <si>
    <t>case WHEN s.F_XDOMREG01 ='XL' THEN 'Channel Islands' when s.f_xhoos01 = 1 then 'UK Total' ELSE xdomuc01.DW_CurrentLabel end</t>
  </si>
  <si>
    <t>(UK/ Non-UK/ Unknown)</t>
  </si>
  <si>
    <t>F_XHOOS01</t>
  </si>
  <si>
    <t>Partial - Non-UK split over two categories</t>
  </si>
  <si>
    <t>cast(s.F_XHOOS01 as varchar)</t>
  </si>
  <si>
    <t>(select top 1 DW_CurrentLabel From Student.C051_Meta_Data f with(nolock) where s.f_xhoos01 =F.Entry AND fieldname = 'XHOOS01' order by dw_fromdate desc)</t>
  </si>
  <si>
    <t>(UK/ Other/ Unknown)</t>
  </si>
  <si>
    <t>Early career research status</t>
  </si>
  <si>
    <t>(2012/13, 2013/14 and 2019/20 only)</t>
  </si>
  <si>
    <t>F_ECRSTAT</t>
  </si>
  <si>
    <t>ECRSTAT</t>
  </si>
  <si>
    <t>Employed as a teacher</t>
  </si>
  <si>
    <t>[EMPLDTEACH] -opt in question</t>
  </si>
  <si>
    <t>Employed during course</t>
  </si>
  <si>
    <t>Employer city</t>
  </si>
  <si>
    <t>EMPCITY</t>
  </si>
  <si>
    <t>Provider &gt; Graduate &gt; Employment:</t>
  </si>
  <si>
    <t>Employer country</t>
  </si>
  <si>
    <t>[EMPCOUNTRY]</t>
  </si>
  <si>
    <t>EMPCOUNTRY</t>
  </si>
  <si>
    <t>CASE WHEN ISNULL(g.ZRESPSTATUS, '02') = '02' OR ISNULL(g.XACTIVITY, '99') = '99' THEN 'Not in GO publication population' WHEN ISNULL(g.EMPCOUNTRY, 'UNK') IN ('UNK', '', ' ') THEN 'Unknown/ not applicable' ELSE g.EMPCOUNTRY END</t>
  </si>
  <si>
    <t>CASE WHEN ISNULL(g.ZRESPSTATUS, '02') = '02' OR ISNULL(g.XACTIVITY, '99') = '99' THEN 'Not in GO publication population' WHEN ISNULL(g.EMPCOUNTRY, 'UNK') IN ('UNK', '', ' ') THEN 'Unknown/ not applicable' ELSE EMPCOUNTRY.label END</t>
  </si>
  <si>
    <t>Employer location</t>
  </si>
  <si>
    <t>[EMPPLOC]</t>
  </si>
  <si>
    <t>EMPPLOC</t>
  </si>
  <si>
    <t>CASE WHEN ISNULL(g.ZRESPSTATUS, '02')='02' OR ISNULL(g.XACTIVITY, '99')='99' THEN 'Not in GO publication population' else IIF(isnull(g.EMPPLOC,'')='','N/A',g.EMPPLOC) end</t>
  </si>
  <si>
    <t>CASE WHEN ISNULL(g.ZRESPSTATUS, '02')='02' OR ISNULL(g.XACTIVITY, '99')='99' THEN 'Not in GO publication population' else IIF(isnull(g.EMPPLOC,'')='','N/A',EMPPLOC.label) end</t>
  </si>
  <si>
    <t>empploc</t>
  </si>
  <si>
    <t>Employer name</t>
  </si>
  <si>
    <t>(restricted to show only those employers with 3 or more leavers in employment)</t>
  </si>
  <si>
    <t>(restricted to show only those employers with 3 or more leavers in employment) [ZSUPEMPNAME]</t>
  </si>
  <si>
    <t>EMPNAME</t>
  </si>
  <si>
    <t>Free text field. Update join to match population!</t>
  </si>
  <si>
    <t>CASE WHEN ISNULL(g.ZRESPSTATUS, '02')='02' OR ISNULL(g.XACTIVITY, '99')='99' THEN 'Not in GO publication population' WHEN t.counter &gt;= 3 THEN IIF(t.ZSUPEMPNAME='','Not applicable',t.ZSUPEMPNAME) ELSE 'Not applicable' END</t>
  </si>
  <si>
    <t>CASE WHEN t.counter &gt;= 3 THEN IIF(t.ZSUPEMPNAME='','Not applicable',t.ZSUPEMPNAME) ELSE 'Not applicable' END</t>
  </si>
  <si>
    <t>empname</t>
  </si>
  <si>
    <t>Employer postcode</t>
  </si>
  <si>
    <t>[EMPPCODE]</t>
  </si>
  <si>
    <t>EMPPCODE</t>
  </si>
  <si>
    <t>CASE WHEN ISNULL(g.ZRESPSTATUS, '02') = '02' OR ISNULL(g.XACTIVITY, '99') = '99' THEN 'Not in GO publication population' WHEN ISNULL(g.EMPPCODE, '99999999') IN ('99999999', '', ' ', '#', '.', '.3.3.3.3','[DC prefers not to say]', ']', 'did not want to reveal the rest','-cb') THEN '99999999' WHEN SUBSTRING(g.EMPPCODE,1,4) = ' Don' THEN '99999999' WHEN SUBSTRING(g.EMPPCODE,1,1) = ' ' THEN SUBSTRING(g.EMPPCODE,2,100) ELSE g.EMPPCODE END</t>
  </si>
  <si>
    <t>CASE WHEN ISNULL(g.ZRESPSTATUS, '02') = '02' OR ISNULL(g.XACTIVITY, '99') = '99' THEN 'Not in GO publication population' WHEN ISNULL(g.EMPPCODE, '99999999') IN ('99999999', '', ' ', '#', '.', '.3.3.3.3', '[DC prefers not to say]', ']', 'did not want to reveal the rest','-cb') THEN '99999999' WHEN SUBSTRING(g.EMPPCODE,1,4) = ' Don' THEN '99999999' WHEN SUBSTRING(g.EMPPCODE,1,1) = ' ' THEN SUBSTRING(g.EMPPCODE,2,100) ELSE g.EMPPCODE END</t>
  </si>
  <si>
    <t>Employer postcode unknown</t>
  </si>
  <si>
    <t>[EMPPCODE_UNKNOWN]</t>
  </si>
  <si>
    <t>EMPPCODE_UNKNOWN</t>
  </si>
  <si>
    <t>CASE WHEN ISNULL(g.ZRESPSTATUS, '02')='02' OR ISNULL(g.XACTIVITY, '99')='99' THEN 'Not in GO publication population' else IIF(isnull(g.EMPPCODE_UNKNOWN,'')='','N/A',g.EMPPCODE_UNKNOWN) end</t>
  </si>
  <si>
    <t>CASE WHEN ISNULL(g.ZRESPSTATUS, '02')='02' OR ISNULL(g.XACTIVITY, '99')='99' THEN 'Not in GO publication population' else IIF(isnull(g.EMPPCODE_UNKNOWN,'')='','N/A',EMPPCODE.label) end</t>
  </si>
  <si>
    <t>emppcode</t>
  </si>
  <si>
    <t>Employer size</t>
  </si>
  <si>
    <t>(4 digit) [XEMP2007SIC]</t>
  </si>
  <si>
    <t>XEMP2007SIC</t>
  </si>
  <si>
    <t>CASE WHEN ISNULL(g.ZRESPSTATUS, '02')='02' OR ISNULL(g.XACTIVITY, '99')='99' THEN 'Not in GO publication population' when isnull(g.XEMP2007SIC,'9999') IN ('$$$$','9999') THEN 'NA/UNK' else ISNULL(g.XEMP2007SIC,'NA/UNK') END</t>
  </si>
  <si>
    <t>CASE WHEN ISNULL(g.ZRESPSTATUS, '02')='02' OR ISNULL(g.XACTIVITY, '99')='99' THEN 'Not in GO publication population' when isnull(g.XEMP2007SIC,'9999') IN ('$$$$','9999') THEN 'NA/UNK' else ISNULL(XEMP2007SIC.label,'NA/UNK') END</t>
  </si>
  <si>
    <t>(1 digit) [XEMP2007SIC1]</t>
  </si>
  <si>
    <t>XEMP2007SIC1</t>
  </si>
  <si>
    <t>CASE WHEN ISNULL(g.ZRESPSTATUS, '02')='02' OR ISNULL(g.XACTIVITY, '99')='99' THEN 'Not in GO publication population' WHEN isnull(g.XEMP2007SIC1,'9') IN ('$','9','_','V') THEN 'V' else ISNULL(g.XEMP2007SIC1,'NA/UNK') END</t>
  </si>
  <si>
    <t>(2 digit) [XEMP2007SIC2]</t>
  </si>
  <si>
    <t>XEMP2007SIC2</t>
  </si>
  <si>
    <t>CASE WHEN ISNULL(g.ZRESPSTATUS, '02')='02' OR ISNULL(g.XACTIVITY, '99')='99' THEN 'Not in GO publication population' WHEN isnull(g.XEMP2007SIC2,'__') IN ('$$','__') THEN 'NA/UNK' else ISNULL(g.XEMP2007SIC2,'NA/UNK') END</t>
  </si>
  <si>
    <t>CASE WHEN ISNULL(g.ZRESPSTATUS, '02')='02' OR ISNULL(g.XACTIVITY, '99')='99' THEN 'Not in GO publication population' WHEN isnull(g.XEMP2007SIC2,'__') IN ('$$','__') THEN 'NA/UNK' else ISNULL(XEMP2007SIC2.label,'NA/UNK') END</t>
  </si>
  <si>
    <t>(5 digit) [XEMP2010SOC]</t>
  </si>
  <si>
    <t>XEMP2010SOC</t>
  </si>
  <si>
    <t>CASE WHEN ISNULL(g.ZRESPSTATUS, '02')='02' OR ISNULL(g.XACTIVITY, '99')='99' THEN 'Not in GO publication population' WHEN g.DW_FromDate &gt;= 20180801 THEN 'Not applicable 2018/19 onwards' WHEN g.XEMP2010SOC IN ('00010','$$$$$','-3') THEN 'NA/UNK' else ISNULL(g.XEMP2010SOC,'NA/UNK') END</t>
  </si>
  <si>
    <t>CASE WHEN ISNULL(g.ZRESPSTATUS, '02')='02' OR ISNULL(g.XACTIVITY, '99')='99' THEN 'Not in GO publication population' WHEN g.DW_FromDate &gt;= 20180801 THEN 'Not applicable 2018/19 onwards' WHEN g.XEMP2010SOC IN ('00010','$$$$$','-3') THEN 'NA/UNK' else ISNULL(XEMP2010SOC.label,'NA/UNK') END</t>
  </si>
  <si>
    <t>(major grouping) [XEMP2010SOC1]</t>
  </si>
  <si>
    <t>XEMP2010SOC1</t>
  </si>
  <si>
    <t>CASE WHEN ISNULL(g.ZRESPSTATUS, '02')='02' OR ISNULL(g.XACTIVITY, '99')='99' THEN 'Not in GO publication population' WHEN g.DW_FromDate &gt;= 20180801 THEN 'Not applicable 2018/19 onwards' WHEN g.XEMP2010SOC1 = '-3' THEN 'X ' else g.XEMP2010SOC1 end</t>
  </si>
  <si>
    <t>CASE WHEN ISNULL(g.ZRESPSTATUS, '02')='02' OR ISNULL(g.XACTIVITY, '99')='99' THEN 'Not in GO publication population' WHEN g.DW_FromDate &gt;= 20180801 THEN 'Not applicable 2018/19 onwards' WHEN g.XEMP2010SOC1 = '-3' THEN 'Not known/Not applicable' else XEMP2010SOC1.label end</t>
  </si>
  <si>
    <t>(minor grouping) [XEMP2010SOC3]</t>
  </si>
  <si>
    <t>XEMP2010SOC3</t>
  </si>
  <si>
    <t>CASE WHEN ISNULL(g.ZRESPSTATUS, '02')='02' OR ISNULL(g.XACTIVITY, '99')='99' THEN 'Not in GO publication population'  WHEN g.DW_FromDate &gt;= 20180801 THEN 'Not applicable 2018/19 onwards' WHEN G.XEMP2010SOC3 IN ('$$$','___','-3') THEN 'NA/UNK' else ISNULL(G.XEMP2010SOC3,'NA/UNK') END</t>
  </si>
  <si>
    <t>CASE WHEN ISNULL(g.ZRESPSTATUS, '02')='02' OR ISNULL(g.XACTIVITY, '99')='99' THEN 'Not in GO publication population'  WHEN g.DW_FromDate &gt;= 20180801 THEN 'Not applicable 2018/19 onwards' WHEN G.XEMP2010SOC3 IN ('$$$','___','-3') THEN 'NA/UNK' else ISNULL(XEMP2010SOC3.label,'NA/UNK') END</t>
  </si>
  <si>
    <t>Employment - Standard Occupational Classification (SOC) 2020⁽¹⁾</t>
  </si>
  <si>
    <t>(4 digit) [XEMP2020SOC]</t>
  </si>
  <si>
    <t>F_XEMP2020SOC</t>
  </si>
  <si>
    <t xml:space="preserve">CASE WHEN ISNULL(g.ZRESPSTATUS, '02')='02'   OR ISNULL(g.XACTIVITY, '99')='99' THEN 'Not in GO publication population'   WHEN ISNULL(g.Xemp2020SOC, '$') IN ('$', '_','$$','__','$$$$','____','0001') THEN 'NA/UNK'   ELSE ISNULL(g.Xemp2020SOC, 'NA/UNK')END </t>
  </si>
  <si>
    <t xml:space="preserve">CASE WHEN ISNULL(g.ZRESPSTATUS, '02')='02'   OR ISNULL(g.XACTIVITY, '99')='99' THEN 'Not in GO publication population'   WHEN ISNULL(g.Xemp2020SOC, '$') IN ('$', '_','$$','__','$$$$','____','0001') THEN 'NA/UNK'   ELSE ISNULL(Xemp2020SOC.label, 'NA/UNK')END </t>
  </si>
  <si>
    <t>XEMP2020SOC</t>
  </si>
  <si>
    <t>(major grouping) [XEMP2020SOC1]</t>
  </si>
  <si>
    <t>F_XEMP2020SOC1</t>
  </si>
  <si>
    <t xml:space="preserve">CASE WHEN ISNULL(g.ZRESPSTATUS, '02')='02'   OR ISNULL(g.XACTIVITY, '99')='99' THEN 'Not in GO publication population'  WHEN ISNULL(g.Xemp2020SOC1, '$') IN ('$', '_','$$','__','X') THEN 'NA/UNK'  ELSE ISNULL(g.Xemp2020SOC1, 'NA/UNK')END </t>
  </si>
  <si>
    <t xml:space="preserve">CASE WHEN ISNULL(g.ZRESPSTATUS, '02')='02'   OR ISNULL(g.XACTIVITY, '99')='99' THEN 'Not in GO publication population'  WHEN ISNULL(g.Xemp2020SOC1, '$') IN ('$', '_','$$','__','X') THEN 'NA/UNK'  ELSE ISNULL(Xemp2020SOC1.label, 'NA/UNK')END </t>
  </si>
  <si>
    <t>XEMP2020SOC1</t>
  </si>
  <si>
    <t>(minor grouping) [XEMP2020SOC3]</t>
  </si>
  <si>
    <t>F_XEMP2020SOC3</t>
  </si>
  <si>
    <t xml:space="preserve">CASE WHEN ISNULL(g.ZRESPSTATUS, '02')='02'   OR ISNULL(g.XACTIVITY, '99')='99' THEN 'Not in GO publication population'   WHEN ISNULL(g.Xemp2020SOC3, '$') IN ('$', '_','$$','__','$$$','___') THEN 'NA/UNK'   ELSE ISNULL(g.Xemp2020SOC3, 'NA/UNK')END </t>
  </si>
  <si>
    <t xml:space="preserve">CASE WHEN ISNULL(g.ZRESPSTATUS, '02')='02'   OR ISNULL(g.XACTIVITY, '99')='99' THEN 'Not in GO publication population'   WHEN ISNULL(g.Xemp2020SOC3, '$') IN ('$', '_','$$','__','$$$','___') THEN 'NA/UNK'   ELSE ISNULL(Xemp2020SOC3.label, 'NA/UNK')END </t>
  </si>
  <si>
    <t>XEMP2020SOC3</t>
  </si>
  <si>
    <t>Employment basis</t>
  </si>
  <si>
    <t>[EMPBASIS]</t>
  </si>
  <si>
    <t>EMPBASIS</t>
  </si>
  <si>
    <t>CASE WHEN ISNULL(g.ZRESPSTATUS, '02')='02' OR ISNULL(g.XACTIVITY, '99')='99' THEN 'Not in GO publication population' else IIF(isnull(g.EMPBASIS,'')='', '09', g.EMPBASIS) end</t>
  </si>
  <si>
    <t>CASE WHEN ISNULL(g.ZRESPSTATUS, '02')='02' OR ISNULL(g.XACTIVITY, '99')='99' THEN 'Not in GO publication population' else IIF(isnull(g.EMPBASIS,'')='','Not known',EMPBASIS.label) end</t>
  </si>
  <si>
    <t>empbasis</t>
  </si>
  <si>
    <t>F_XEMPBASIS</t>
  </si>
  <si>
    <t>Provider &gt; Official Stats Derived Field &gt; Work</t>
  </si>
  <si>
    <t>CASE WHEN ISNULL(g.ZRESPSTATUS, '02')='02' OR ISNULL(g.XACTIVITY, '99')='99' THEN 'Not in GO publication population' else iif(isnull(g.XEMPBASIS,'UN') in ('UN','09'),'Unknown',g.Xempbasis) end</t>
  </si>
  <si>
    <t>CASE WHEN ISNULL(g.ZRESPSTATUS, '02')='02' OR ISNULL(g.XACTIVITY, '99')='99' THEN 'Not in GO publication population' else iif(g.XEMPBASIS='NA','Not applicable',iif(isnull(g.XEMPBASIS,'99') IN ('UN','09'),'Unknown',XEMPBASIS.label)) end</t>
  </si>
  <si>
    <t>xempbasis</t>
  </si>
  <si>
    <t>Employment intensity</t>
  </si>
  <si>
    <t>[EMPINTENSITY]</t>
  </si>
  <si>
    <t>EMPINTENSITY</t>
  </si>
  <si>
    <t>CASE WHEN ISNULL(g.ZRESPSTATUS, '02')='02' OR ISNULL(g.XACTIVITY, '99')='99' THEN 'Not in GO publication population' else IIF(isnull(g.EMPINTENSITY,'')  IN ('','03'),'N/A',g.EMPINTENSITY) end</t>
  </si>
  <si>
    <t>CASE WHEN ISNULL(g.ZRESPSTATUS, '02')='02' OR ISNULL(g.XACTIVITY, '99')='99' THEN 'Not in GO publication population' else IIF(isnull(g.EMPINTENSITY,'')  IN ('','03'),'N/A',EMPINTENSITY.label) end</t>
  </si>
  <si>
    <t>empintensity</t>
  </si>
  <si>
    <t>Employment length</t>
  </si>
  <si>
    <t>EMPYEAR</t>
  </si>
  <si>
    <t>empyear</t>
  </si>
  <si>
    <t>Employment marker</t>
  </si>
  <si>
    <t>F_XWRKMARKER</t>
  </si>
  <si>
    <t>CASE WHEN ISNULL(g.ZRESPSTATUS, '02')='02' OR ISNULL(g.XACTIVITY, '99')='99' THEN 'Not in GO publication population' else isnull(g.XWRKMARKER,'NA/UNK') end</t>
  </si>
  <si>
    <t>CASE WHEN ISNULL(g.ZRESPSTATUS, '02')='02' OR ISNULL(g.XACTIVITY, '99')='99' THEN 'Not in GO publication population' else isnull(XWRKMARKER.label,'NA/UNK') end</t>
  </si>
  <si>
    <t>xwrkmarker</t>
  </si>
  <si>
    <t>Employment mode</t>
  </si>
  <si>
    <t>F_XWRKINTENSITY</t>
  </si>
  <si>
    <t>CASE WHEN ISNULL(g.ZRESPSTATUS, '02')='02' OR ISNULL(g.XACTIVITY, '99')='99' THEN 'Not in GO publication population' else iif(isnull(g.XWRKINTENSITY,'03') in ('03','na','NR'),'03',g.XWRKINTENSITY) end</t>
  </si>
  <si>
    <t>CASE WHEN ISNULL(g.ZRESPSTATUS, '02')='02' OR ISNULL(g.XACTIVITY, '99')='99' THEN 'Not in GO publication population' WHEN g.XWRKINTENSITY in ('','NR') or g.XWRKINTENSITY is null then '(NA) Not applicable' else isnull(XWRKINTENSITY.label,'(NA) Not applicable') end</t>
  </si>
  <si>
    <t>xwrkintensity</t>
  </si>
  <si>
    <t>End date of contract</t>
  </si>
  <si>
    <t>F_ENDCON</t>
  </si>
  <si>
    <t xml:space="preserve">IIF(C.F_ENDCON='', '9999/12', SUBSTRING(CAST(C.F_ENDCON AS VARCHAR(10)), 1, 4) + '/' + SUBSTRING(CAST(C.F_ENDCON AS VARCHAR(10)), 6, 2)) </t>
  </si>
  <si>
    <t>End date of instance</t>
  </si>
  <si>
    <t>F_ENDDATE</t>
  </si>
  <si>
    <t xml:space="preserve">ISNULL(SUBSTRING(CONVERT(VARCHAR(11),s.f_enddate,101),7,10)+'/'+SUBSTRING(CONVERT(VARCHAR(11),s.f_enddate,101),1,2),'9999/12') </t>
  </si>
  <si>
    <t>varchar(13)</t>
  </si>
  <si>
    <t>Entire record (Estates)</t>
  </si>
  <si>
    <t>Estranged Student</t>
  </si>
  <si>
    <t>F_ESTRANGED</t>
  </si>
  <si>
    <t>case when s.dw_fromdate &lt; 20200801 then 'Not applicable before 2020/21' else isnull(e.f_estranged,'99') end</t>
  </si>
  <si>
    <t>Ethnicity</t>
  </si>
  <si>
    <t>(White/ Black - Caribbean/ Black - African/ Other Black background/ Asian - Indian/ Asian - Pakistani/ Asian - Bangladeshi/ Chinese/ Other Asian background/ Mixed/ Other/ [Unknown/Not applicable])</t>
  </si>
  <si>
    <t>F_ETHNIC</t>
  </si>
  <si>
    <t>Partial - Mixed not split out</t>
  </si>
  <si>
    <t xml:space="preserve">case when s.F_XETHNIC01 in ('-2', '-6','-3','99','UN','NA') then 'UNK/NA' WHEN (s.f_xhoos01 = '1' and s.F_ETHNIC IN ('41','42','43','49')) THEN 'Mixed' when s.f_xethnic01 = '40' then 'Other' else s.F_XETHNIC01 end </t>
  </si>
  <si>
    <t>case when s.F_XETHNIC01 in ('-2', '-6','-3','99','UN','NA') then 'Unknown/Not applicable' WHEN (s.f_xhoos01 = '1' and s.F_ETHNIC IN ('41','42','43','49')) THEN 'Mixed' when s.f_xethnic01 = '40' then 'Other' else XETHNIC01.dw_currentlabel end</t>
  </si>
  <si>
    <t>Xethnic</t>
  </si>
  <si>
    <t>(White/ Black/ Asian/ Mixed/ Other/ [Unknown/Not applicable])</t>
  </si>
  <si>
    <t>F_XETHNIC01</t>
  </si>
  <si>
    <t>case when s.f_xethnic01 in ('10') then 'W' when s.f_xethnic01 in ('21','22','29') then 'B' when s.f_xethnic01 in ('31','32','33','34','39') then 'A' WHEN (s.f_xhoos01 = '1' and s.F_ETHNIC IN ('41','42','43','49')) THEN 'Mixed' when s.f_xethnic01 in ('40') then 'O' else 'U' end</t>
  </si>
  <si>
    <t>case when s.f_xethnic01 in ('10') then 'White' when s.f_xethnic01 in ('21','22','29') then 'Black' when s.f_xethnic01 in ('31','32','33','34','39') then 'Asian' WHEN (s.f_xhoos01 = '1' and s.F_ETHNIC IN ('41','42','43','49')) THEN 'Mixed' when s.f_xethnic01 in ('40') then 'Other' else 'Unknown/Not applicable' end</t>
  </si>
  <si>
    <t>varchar(5)</t>
  </si>
  <si>
    <t>(White/ BME/ [Unknown/Not applicable])</t>
  </si>
  <si>
    <t>case when s.f_xethnic01 in ('10') then 'W' when s.f_xethnic01 in ('21','22','29') then 'BME' when s.f_xethnic01 in ('31','32','33','34','39') then 'BME' WHEN (s.f_xhoos01 = '1' and s.F_ETHNIC IN ('41','42','43','49')) THEN 'BME' when s.f_xethnic01 in ('40') then 'BME' else 'U' end</t>
  </si>
  <si>
    <t>case when s.f_xethnic01 in ('10') then 'White' when s.f_xethnic01 in ('21','22','29') then 'BME' when s.f_xethnic01 in ('31','32','33','34','39') then 'BME' WHEN (s.f_xhoos01 = '1' and s.F_ETHNIC IN ('41','42','43','49')) THEN 'BME' when s.f_xethnic01 in ('40') then 'BME' else 'Unknown/Not applicable' end</t>
  </si>
  <si>
    <t>Ethnicity (Staff)</t>
  </si>
  <si>
    <t>Case when p.f_ethnic in ('10','13','14','15','19','11','12') then 'White' when p.f_ethnic in ('90','98','99') then 'Unknown/Not available' else 'BME' end</t>
  </si>
  <si>
    <t>Case when p.f_ethnic in ('10','13','14','15','19','11','12') then 'White'when p.f_ethnic in ('41','42','43','49') then 'Mixed'when p.f_ethnic in ('50','80') then 'Other'when p.f_ethnic in ('90','98','99') then 'Unknown/Not available'else CAST(p.f_ethnic AS VARCHAR)end</t>
  </si>
  <si>
    <t>Case when p.f_ethnic in ('10','13','14','15','19','11','12') then 'White'when p.f_ethnic in ('41','42','43','49') then 'Mixed'when p.f_ethnic in ('50','80') then 'Other'when p.f_ethnic in ('90','98','99') then 'Unknown/Not available' else eth.dw_currentlabel end</t>
  </si>
  <si>
    <t>eth</t>
  </si>
  <si>
    <t>CASE WHEN P.F_ETHNIC IN ('10', '13', '14', '15', '19','11','12') THEN 'W' when p.f_ethnic in ('21','22','29') then 'B' when p.f_ethnic in ('31','32','33','34','39') then 'A' WHEN P.F_ETHNIC IN ('41', '42', '43', '49') THEN 'M' WHEN P.F_ETHNIC IN ('50', '80') THEN 'O' WHEN P.F_ETHNIC IN ('90', '98','99') THEN 'Unknown/Not available' ELSE P.F_ETHNIC END</t>
  </si>
  <si>
    <t>CASE WHEN P.F_ETHNIC IN ('10', '13', '14', '15', '19','11','12') THEN 'White' when p.f_ethnic in ('21','22','29') then 'Black' when p.f_ethnic in ('31','32','33','34','39') then 'Asian' WHEN P.F_ETHNIC IN ('41', '42', '43', '49') THEN 'Mixed' WHEN P.F_ETHNIC IN ('50', '80') THEN 'Other' WHEN P.F_ETHNIC IN ('90', '98','99') THEN 'Unknown/Not available' ELSE P.F_ETHNIC END</t>
  </si>
  <si>
    <t>Exchange programmes</t>
  </si>
  <si>
    <t>F_EXCHANGE</t>
  </si>
  <si>
    <t>iif(s.F_EXCHANGE='','UNK',s.F_EXCHANGE)</t>
  </si>
  <si>
    <t>isnull((SELECT top 1 DW_CurrentLabel From Student.C051_Meta_Data f with(nolock) where s.F_EXCHANGE =F.Entry and fieldname = 'EXCHANGE' order by dw_fromdate desc),'Unknown')</t>
  </si>
  <si>
    <t>Expected length of programme</t>
  </si>
  <si>
    <t>F_XELSP01</t>
  </si>
  <si>
    <t xml:space="preserve">CAST(s.F_XELSP01 AS VARCHAR(1)) </t>
  </si>
  <si>
    <t>(select top 1 DW_CurrentLabel From Student.C051_Meta_Data f with(nolock) where s.F_XELSP01 =F.Entry AND fieldname = 'XELSP01' order by dw_fromdate desc)</t>
  </si>
  <si>
    <t>FE student marker</t>
  </si>
  <si>
    <t>F_FESTUMK</t>
  </si>
  <si>
    <t>ISNULL(i.F_FESTUMK, 'NA')</t>
  </si>
  <si>
    <t>ISNULL((SELECT top 1 DW_CurrentLabel From Student.C051_Meta_Data F where i.F_FESTUMK =F.Entry and fieldname = 'FESTUMK' order by dw_fromdate desc),'Not applicable')</t>
  </si>
  <si>
    <t>Fee eligibility</t>
  </si>
  <si>
    <t>F_FEEELIG</t>
  </si>
  <si>
    <t>IIF(s.F_FEEELIG='-1','3',s.F_FEEELIG)</t>
  </si>
  <si>
    <t>isnull((SELECT top 1 DW_CurrentLabel From Student.C051_Meta_Data f with(nolock) where s.f_feeelig =F.Entry and fieldname = 'FEEELIG' order by dw_fromdate desc), 'Eligibility to pay home fees not assessed')</t>
  </si>
  <si>
    <t>Finding the job</t>
  </si>
  <si>
    <t>(Your university/college Careers service) [JOBFOUND1] -opt in question</t>
  </si>
  <si>
    <t>JOBFOUND1</t>
  </si>
  <si>
    <t>CASE WHEN ISNULL(g.ZRESPSTATUS, '02')='02' OR ISNULL(g.XACTIVITY, '99')='99' THEN 'Not in GO publication population' else IIF(isnull(oo.JOBFOUND1,'')='','NA/UNK',ISNULL(oo.JOBFOUND1,'NA/UNK')) end</t>
  </si>
  <si>
    <t>oo</t>
  </si>
  <si>
    <t>(Online job site) [JOBFOUND10] -opt in question</t>
  </si>
  <si>
    <t>JOBFOUND10</t>
  </si>
  <si>
    <t>CASE WHEN ISNULL(g.ZRESPSTATUS, '02')='02' OR ISNULL(g.XACTIVITY, '99')='99' THEN 'Not in GO publication population' else IIF(isnull(oo.JOBFOUND10,'')='','NA/UNK',ISNULL(oo.JOBFOUND10,'NA/UNK')) end</t>
  </si>
  <si>
    <t>(Other) [JOBFOUND11] -opt in question</t>
  </si>
  <si>
    <t>JOBFOUND11</t>
  </si>
  <si>
    <t>CASE WHEN ISNULL(g.ZRESPSTATUS, '02')='02' OR ISNULL(g.XACTIVITY, '99')='99' THEN 'Not in GO publication population' else IIF(isnull(oo.JOBFOUND11,'')='','NA/UNK',ISNULL(oo.JOBFOUND11,'NA/UNK')) end</t>
  </si>
  <si>
    <t>(Employer's website) [JOBFOUND2] -opt in question</t>
  </si>
  <si>
    <t>JOBFOUND2</t>
  </si>
  <si>
    <t>CASE WHEN ISNULL(g.ZRESPSTATUS, '02')='02' OR ISNULL(g.XACTIVITY, '99')='99' THEN 'Not in GO publication population' else IIF(isnull(oo.JOBFOUND2,'')='','NA/UNK',ISNULL(oo.JOBFOUND2,'NA/UNK')) end</t>
  </si>
  <si>
    <t>(Other university/college source (e.g. lecturer, website)) [JOBFOUND3] -opt in question</t>
  </si>
  <si>
    <t>JOBFOUND3</t>
  </si>
  <si>
    <t>CASE WHEN ISNULL(g.ZRESPSTATUS, '02')='02' OR ISNULL(g.XACTIVITY, '99')='99' THEN 'Not in GO publication population' else IIF(isnull(oo.JOBFOUND3,'')='','NA/UNK',ISNULL(oo.JOBFOUND3,'NA/UNK')) end</t>
  </si>
  <si>
    <t>(Recruitment agency/website) [JOBFOUND4] -opt in question</t>
  </si>
  <si>
    <t>JOBFOUND4</t>
  </si>
  <si>
    <t>CASE WHEN ISNULL(g.ZRESPSTATUS, '02')='02' OR ISNULL(g.XACTIVITY, '99')='99' THEN 'Not in GO publication population' else IIF(isnull(oo.JOBFOUND4,'')='','NA/UNK',ISNULL(oo.JOBFOUND4,'NA/UNK')) end</t>
  </si>
  <si>
    <t>(Media (e.g. newspaper/magazine advertisement)) [JOBFOUND5] -opt in question</t>
  </si>
  <si>
    <t>JOBFOUND5</t>
  </si>
  <si>
    <t>CASE WHEN ISNULL(g.ZRESPSTATUS, '02')='02' OR ISNULL(g.XACTIVITY, '99')='99' THEN 'Not in GO publication population' else IIF(isnull(oo.JOBFOUND5,'')='','NA/UNK',ISNULL(oo.JOBFOUND5,'NA/UNK')) end</t>
  </si>
  <si>
    <t>(Speculative application) [JOBFOUND6] -opt in question</t>
  </si>
  <si>
    <t>JOBFOUND6</t>
  </si>
  <si>
    <t>CASE WHEN ISNULL(g.ZRESPSTATUS, '02')='02' OR ISNULL(g.XACTIVITY, '99')='99' THEN 'Not in GO publication population' else IIF(isnull(oo.JOBFOUND6,'')='','NA/UNK',ISNULL(oo.JOBFOUND6,'NA/UNK')) end</t>
  </si>
  <si>
    <t>(Network, including family and friends) [JOBFOUND7] -opt in question</t>
  </si>
  <si>
    <t>JOBFOUND7</t>
  </si>
  <si>
    <t>CASE WHEN ISNULL(g.ZRESPSTATUS, '02')='02' OR ISNULL(g.XACTIVITY, '99')='99' THEN 'Not in GO publication population' else IIF(isnull(oo.JOBFOUND7,'')='','NA/UNK',ISNULL(oo.JOBFOUND7,'NA/UNK')) end</t>
  </si>
  <si>
    <t>(Already worked there (including on an internship/placement/apprenticeship)) [JOBFOUND8] -opt in question</t>
  </si>
  <si>
    <t>JOBFOUND8</t>
  </si>
  <si>
    <t>CASE WHEN ISNULL(g.ZRESPSTATUS, '02')='02' OR ISNULL(g.XACTIVITY, '99')='99' THEN 'Not in GO publication population' else IIF(isnull(oo.JOBFOUND8,'')='','NA/UNK',ISNULL(oo.JOBFOUND8,'NA/UNK')) end</t>
  </si>
  <si>
    <t>(Social media/professional networking sites) [JOBFOUND9] -opt in question</t>
  </si>
  <si>
    <t>JOBFOUND9</t>
  </si>
  <si>
    <t>CASE WHEN ISNULL(g.ZRESPSTATUS, '02')='02' OR ISNULL(g.XACTIVITY, '99')='99' THEN 'Not in GO publication population' else IIF(isnull(oo.JOBFOUND9,'')='','NA/UNK',ISNULL(oo.JOBFOUND9,'NA/UNK')) end</t>
  </si>
  <si>
    <t>First job since graduating</t>
  </si>
  <si>
    <t>[FIRSTJOB]</t>
  </si>
  <si>
    <t>FIRSTJOB</t>
  </si>
  <si>
    <t>firstjob</t>
  </si>
  <si>
    <t>First year marker</t>
  </si>
  <si>
    <t>F_XFYRSR01</t>
  </si>
  <si>
    <t>cast(s.f_xfyrsr01 as varchar)</t>
  </si>
  <si>
    <t>case when s.f_xfyrsr01 = '1' then 'First year' else 'Other year' end</t>
  </si>
  <si>
    <t>Franchise marker</t>
  </si>
  <si>
    <t>(Wholly franchised/ Partly franchised/ Not franchised)</t>
  </si>
  <si>
    <t>F_ZPROPFRAN</t>
  </si>
  <si>
    <t>CASE WHEN d.f_zpropfran = 1 THEN 'Fully Franchised' WHEN d.f_zpropfran = 0 THEN 'Not Franchised' ELSE 'Partially franchised' END</t>
  </si>
  <si>
    <t>FTE during reporting period</t>
  </si>
  <si>
    <t>F_CONFTE</t>
  </si>
  <si>
    <t>c.F_CONFTE</t>
  </si>
  <si>
    <t>decimal(9, 5)</t>
  </si>
  <si>
    <t>Full-time or part-time previous employment</t>
  </si>
  <si>
    <t>[FTPREVEMP]</t>
  </si>
  <si>
    <t>FTPREVEMP</t>
  </si>
  <si>
    <t>Provider &gt; Graduate &gt; Previous Activity:</t>
  </si>
  <si>
    <t>Fundability code</t>
  </si>
  <si>
    <t>F_FUNDCODE</t>
  </si>
  <si>
    <t>IIF(s.f_fundcode in (' ','9'),'UNK',s.f_fundcode)</t>
  </si>
  <si>
    <t>isnull((select top 1 DW_CurrentLabel From Student.C051_Meta_Data f with(nolock) where s.F_FUNDCODE =F.Entry AND fieldname ='FUNDCODE' order by dw_fromdate desc),'Unknown')</t>
  </si>
  <si>
    <t>Gender identity</t>
  </si>
  <si>
    <t>F_GENDERID</t>
  </si>
  <si>
    <t>General disciplinary knowledge</t>
  </si>
  <si>
    <t>[DISKNOW] -opt in question</t>
  </si>
  <si>
    <t>General skills developed</t>
  </si>
  <si>
    <t>[GENSKILDEV] -opt in question</t>
  </si>
  <si>
    <t>Governor</t>
  </si>
  <si>
    <t>Graduate activity</t>
  </si>
  <si>
    <t>[XACTIVITY]</t>
  </si>
  <si>
    <t>XACTIVITY</t>
  </si>
  <si>
    <t>MUST supply previous study fields for context!</t>
  </si>
  <si>
    <t>xactivity</t>
  </si>
  <si>
    <t>Graduate Outcomes highest qualification obtained</t>
  </si>
  <si>
    <t>(Full) [XOBTNG01]</t>
  </si>
  <si>
    <t>F_XOBTNG01</t>
  </si>
  <si>
    <t>CASE WHEN ISNULL(g.ZRESPSTATUS, '02')='02' OR ISNULL(g.XACTIVITY, '99')='99' THEN 'Not in GO publication population' else s.F_XOBTNG01 end</t>
  </si>
  <si>
    <t>CASE WHEN ISNULL(g.ZRESPSTATUS, '02')='02' OR ISNULL(g.XACTIVITY, '99')='99' THEN 'Not in GO publication population' else XOBTNG01.dw_currentlabel end</t>
  </si>
  <si>
    <t>xobtng01</t>
  </si>
  <si>
    <t>GTC Scotland teacher induction scheme</t>
  </si>
  <si>
    <t>[GTCSTIS] -opt in question</t>
  </si>
  <si>
    <t>Happy yesterday grouping</t>
  </si>
  <si>
    <t>[XHAPYESTGRP]</t>
  </si>
  <si>
    <t>XHAPYESTGRP</t>
  </si>
  <si>
    <t>ISNULL(w.XHAPYESTGRP,'E')</t>
  </si>
  <si>
    <t xml:space="preserve">isnull(w.XHAPYESTGRP,'E') </t>
  </si>
  <si>
    <t>w</t>
  </si>
  <si>
    <t>HE provider</t>
  </si>
  <si>
    <t>(Campus region)</t>
  </si>
  <si>
    <t>CAMPUS_GOR</t>
  </si>
  <si>
    <t>ISNULL(zzz.F_GOR, 'Unknown')</t>
  </si>
  <si>
    <t xml:space="preserve">CASE WHEN zzz.F_GOR IS NULL THEN 'Unknown' WHEN zzz.F_GOR = 'XG' THEN 'Northern Ireland' WHEN zzz.F_GOR = 'XH' THEN 'Scotland' WHEN zzz.F_GOR = 'XI' THEN 'Wales' ELSE CAMPGOR.dw_currentlabel END </t>
  </si>
  <si>
    <t>CAMPGOR</t>
  </si>
  <si>
    <t>(Campus)</t>
  </si>
  <si>
    <t>F_CAMPID</t>
  </si>
  <si>
    <t>ISNULL(s.f_xinstid01 + s.F_CAMPID,'Unknown')</t>
  </si>
  <si>
    <t>camp</t>
  </si>
  <si>
    <t>(Campus postcode)</t>
  </si>
  <si>
    <t>F_POSTCODE</t>
  </si>
  <si>
    <t>iif(p.F_POSTCODE='','Unknown',p.F_POSTCODE)</t>
  </si>
  <si>
    <t>p</t>
  </si>
  <si>
    <t>HE Provider</t>
  </si>
  <si>
    <t>(Campus Sector Postcode)</t>
  </si>
  <si>
    <t>CASE WHEN p.F_POSTCODE IN ('ZZ', 'GB', 'JE', 'XL', 'XK', 'GG', 'IM', 'XF', 'XI', 'XH', 'XG', '99999999', '1782', '2826', '3826', '4826', '5826', '6826', '7826', '8826')
OR p.F_POSTCODE IS NULL
OR p.F_POSTCODE='' THEN 'zzzzUnknown'
WHEN SUBSTRING(p.F_POSTCODE, 1, 3)='___'
OR SUBSTRING(p.F_POSTCODE, 1, 3)='###'
OR SUBSTRING(p.F_POSTCODE, 1, 3)='$$$' THEN 'zzzzUnknown'
WHEN CHARINDEX(' ', p.F_POSTCODE)=0 THEN CASE WHEN LEN(p.F_POSTCODE)&gt;=5 THEN 'zzzzUnknown' ELSE p.F_POSTCODE END
WHEN p.F_POSTCODE LIKE '% %' THEN CASE WHEN SUBSTRING(p.F_POSTCODE, CHARINDEX(' ', p.F_POSTCODE) + 2, 1) IN ('0', '1', '2', '3', '4', '5', '6', '7', '8', '9') THEN SUBSTRING(p.F_POSTCODE, 1, CHARINDEX(' ', p.F_POSTCODE) - 1) + ' ' + SUBSTRING(p.F_POSTCODE, CHARINDEX(' ', p.F_POSTCODE) + 2, 1)
WHEN SUBSTRING(p.F_POSTCODE, CHARINDEX(' ', p.F_POSTCODE) + 2, 1)='O' THEN SUBSTRING(p.F_POSTCODE, 1, CHARINDEX(' ', p.F_POSTCODE) - 1) + ' ' + '0'
ELSE SUBSTRING(p.F_POSTCODE, 1, CHARINDEX(' ', p.F_POSTCODE) - 1)END
WHEN p.F_POSTCODE LIKE '% %' THEN CASE WHEN SUBSTRING(p.F_POSTCODE, CHARINDEX(' ', p.F_POSTCODE) + 1, 1) IN ('0', '1', '2', '3', '4', '5', '6', '7', '8', '9') THEN SUBSTRING(p.F_POSTCODE, 1, CHARINDEX(' ', p.F_POSTCODE) - 1) + ' ' + SUBSTRING(p.F_POSTCODE, CHARINDEX(' ', p.F_POSTCODE) + 1, 1)
WHEN SUBSTRING(p.F_POSTCODE, CHARINDEX(' ', p.F_POSTCODE) + 1, 1)='O' THEN SUBSTRING(p.F_POSTCODE, 1, CHARINDEX(' ', p.F_POSTCODE) - 1) + ' ' + '0'
ELSE SUBSTRING(p.F_POSTCODE, 1, CHARINDEX(' ', p.F_POSTCODE) - 1)END
ELSE 'zzzzUnknown' END</t>
  </si>
  <si>
    <t>Emily Raven</t>
  </si>
  <si>
    <t>(UKPRN)</t>
  </si>
  <si>
    <t>F_UKPRN</t>
  </si>
  <si>
    <t>cast(s.F_UKPRN as varchar)</t>
  </si>
  <si>
    <t xml:space="preserve"> CAST(s.f_ukprn AS VARCHAR) + ' '+ ukp.DW_CurrentLabel</t>
  </si>
  <si>
    <t>ukp</t>
  </si>
  <si>
    <t>(UKPRN) (Staff)</t>
  </si>
  <si>
    <t>p.f_ukprn</t>
  </si>
  <si>
    <t>CAST(p.F_UKPRN AS VARCHAR) + ' ' + sukprn.DW_CurrentLabel</t>
  </si>
  <si>
    <t>sukprn</t>
  </si>
  <si>
    <t>F_XINSTID01</t>
  </si>
  <si>
    <t>s.F_XINSTID01</t>
  </si>
  <si>
    <t>(select top 1 s.F_XINSTID01 + ' ' + dw_currentlabel from student.C051_Meta_Data as f with(nolock) where s.f_xinstid01=F.entry AND fieldname = 'XINSTID01' order by dw_fromdate desc)</t>
  </si>
  <si>
    <t>(HE/AP marker)</t>
  </si>
  <si>
    <t>HEAP_MKR</t>
  </si>
  <si>
    <t>(UKPRN) (campus)</t>
  </si>
  <si>
    <t>UKPRN_CAMPID</t>
  </si>
  <si>
    <t>CAST(s.f_ukprn AS VARCHAR)+s.f_campid</t>
  </si>
  <si>
    <t>ucamp.ucampname</t>
  </si>
  <si>
    <t>ucamp</t>
  </si>
  <si>
    <t>HE provider (AOR)</t>
  </si>
  <si>
    <t>F_INSTID</t>
  </si>
  <si>
    <t>a.F_INSTID</t>
  </si>
  <si>
    <t xml:space="preserve">(select top 1 a.F_INSTID + ' ' + DW_CurrentLabel From student.C051_Meta_Data as f with(nolock) where a.F_INSTID =F.Entry AND fieldname = 'XINSTID01' order by dw_fromdate desc) </t>
  </si>
  <si>
    <t>HE provider (Staff)</t>
  </si>
  <si>
    <t>p.f_instid</t>
  </si>
  <si>
    <t xml:space="preserve">(select top 1 p.f_instid + ' ' + DW_CurrentLabel From student.C051_Meta_Data as f with(nolock) where p.f_instid =F.Entry AND fieldname = 'XINSTID01' order by dw_fromdate desc) </t>
  </si>
  <si>
    <t>(Campus Local authority district)</t>
  </si>
  <si>
    <t>CAMPUS_LAUA</t>
  </si>
  <si>
    <t>ISNULL(zzz.F_FULL_LAUA, 'Unknown')</t>
  </si>
  <si>
    <t>zzz</t>
  </si>
  <si>
    <t>(Lower super output area (LSOA))</t>
  </si>
  <si>
    <t>CASE WHEN zz.F_LSOA11 IN ('-3') THEN 'UNK' ELSE ISNULL(zz.F_LSOA11,'UNK') END</t>
  </si>
  <si>
    <t>zz</t>
  </si>
  <si>
    <t>(NUTS 2)</t>
  </si>
  <si>
    <t>F_NUTSHEP2</t>
  </si>
  <si>
    <t>ISNULL(nhep.f_nuts2, 'Unknown')</t>
  </si>
  <si>
    <t>NHEP</t>
  </si>
  <si>
    <t>(NUTS 3)</t>
  </si>
  <si>
    <t>F_NUTSHEP3</t>
  </si>
  <si>
    <t>ISNULL(nhep.f_nuts3, 'Unknown')</t>
  </si>
  <si>
    <t xml:space="preserve">(Local authority district) </t>
  </si>
  <si>
    <t>HEP_LAUA</t>
  </si>
  <si>
    <t>ISNULL(zz.F_FULL_LAUA, 'Unknown')</t>
  </si>
  <si>
    <t>(County/ unitary authority)</t>
  </si>
  <si>
    <t>HEP_XDOMUC</t>
  </si>
  <si>
    <t xml:space="preserve">CASE WHEN zz.f_xdomuc01='XF' THEN 'England (county/unitary authority unknown)' WHEN zz.f_xdomuc01='XI' THEN 'Wales (unitary authority unknown)' WHEN zz.f_xdomuc01='XH' THEN 'Scotland (council area unknown)' WHEN zz.f_xdomuc01='XL' THEN 'Channel islands' WHEN zz.f_XDOMUC01='XG' THEN 'Northern Ireland (district council area unknown)' WHEN zz.f_XDOMUC01='IM' THEN 'Isle of Man' WHEN zz.f_xdomuc01 IS NULL THEN 'Unknown' ELSE zz.f_xdomuc01 END </t>
  </si>
  <si>
    <t xml:space="preserve">CASE WHEN zz.f_xdomuc01='XF' THEN 'England (county/unitary authority unknown)' WHEN zz.f_xdomuc01='XI' THEN 'Wales (unitary authority unknown)' WHEN zz.f_xdomuc01='XH' THEN 'Scotland (council area unknown)' WHEN zz.f_xdomuc01='XL' THEN 'Channel islands' WHEN zz.f_XDOMUC01='XG' THEN 'Northern Ireland (district council area unknown)' WHEN zz.f_XDOMUC01='IM' THEN 'Isle of Man' WHEN zz.f_xdomuc01 IS NULL THEN 'Unknown' ELSE xdomuc02.DW_CurrentLabel END </t>
  </si>
  <si>
    <t>HEPxdomuc</t>
  </si>
  <si>
    <t>Healthcare speciality 1</t>
  </si>
  <si>
    <t>F_HSPEC1</t>
  </si>
  <si>
    <t>C.F_HSPEC1</t>
  </si>
  <si>
    <t xml:space="preserve">(select top 1 DW_CurrentLabel From staff.C025_Meta_Data as f with(nolock) where c.F_HSPEC1 =F.Entry AND fieldname = 'HSPEC1' order by dw_fromdate desc) </t>
  </si>
  <si>
    <t>Healthcare speciality 2</t>
  </si>
  <si>
    <t>F_HSPEC2</t>
  </si>
  <si>
    <t>C.F_HSPEC2</t>
  </si>
  <si>
    <t xml:space="preserve">(select top 1 DW_CurrentLabel From staff.C025_Meta_Data as f with(nolock) where c.F_HSPEC2 =F.Entry AND fieldname = 'HSPEC2' order by dw_fromdate desc) </t>
  </si>
  <si>
    <t>Healthcare speciality 3</t>
  </si>
  <si>
    <t>F_HSPEC3</t>
  </si>
  <si>
    <t>C.F_HSPEC3</t>
  </si>
  <si>
    <t xml:space="preserve">(select top 1 DW_CurrentLabel From staff.C025_Meta_Data as f with(nolock) where c.F_HSPEC3 =F.Entry AND fieldname = 'HSPEC3' order by dw_fromdate desc) </t>
  </si>
  <si>
    <t>HESA unique student identifier</t>
  </si>
  <si>
    <t>[HUSID]</t>
  </si>
  <si>
    <t>HUSID</t>
  </si>
  <si>
    <t>CASE WHEN ISNULL(g.ZRESPSTATUS, '02')='02' OR ISNULL(g.XACTIVITY, '99')='99' THEN 'Not in GO publication population' else g.HUSID end</t>
  </si>
  <si>
    <t>Higher education experience for business</t>
  </si>
  <si>
    <t>Higher education experience for study</t>
  </si>
  <si>
    <t>Higher education experience for work</t>
  </si>
  <si>
    <t>Highest previous type of qualification since graduation</t>
  </si>
  <si>
    <t>[YPREVTYPEQUALHIGH]</t>
  </si>
  <si>
    <t>YPREVTYPEQUALHIGH</t>
  </si>
  <si>
    <t>Provider &gt; Graduate &gt; Previous Study:</t>
  </si>
  <si>
    <t>CASE WHEN ISNULL(g.ZRESPSTATUS, '02')='02' OR ISNULL(g.XACTIVITY, '99')='99' THEN 'Not in GO publication population' else ISNULL(CAST(k.YPREVTYPEQUALHIGH AS CHAR(7)),'UNKNOWN') end</t>
  </si>
  <si>
    <t>k</t>
  </si>
  <si>
    <t>William Joice</t>
  </si>
  <si>
    <t>Highest qualification held</t>
  </si>
  <si>
    <t>F_HQHELD</t>
  </si>
  <si>
    <t>p.F_HQHELD</t>
  </si>
  <si>
    <t xml:space="preserve">(select top 1 DW_CurrentLabel From staff.C025_Meta_Data as f with(nolock) where p.F_HQHELD =F.Entry AND fieldname = 'HQHELD' order by dw_fromdate desc) </t>
  </si>
  <si>
    <t>(Doctorate/ Other qualification/ [Unknown/ Not applicable])</t>
  </si>
  <si>
    <t>F_XHQHELD01</t>
  </si>
  <si>
    <t>CASE WHEN cc.DW_FromDate &lt;= 20090801 AND ISNULL(p.F_HQHELD, 'XX') = '01' THEN 'Doctorate' WHEN cc.DW_FromDate &lt;= 20090801 AND ISNULL(p.F_HQHELD, 'XX') IN ('99', 'XX', '', ' ') THEN 'Unknown/ not applicable' WHEN cc.DW_FromDate &lt;= 20090801 AND ISNULL(p.F_HQHELD, 'XX') IN ('02','03','09','11','12','19','21','22','29','31','32','97','98') THEN 'Other qualification' WHEN cc.DW_FromDate &lt;= 20090801 THEN CAST(p.F_HQHELD AS VARCHAR) WHEN cc.DW_FromDate &gt;= 20100801 AND p.F_XHQHELD01 = '1' THEN 'Doctorate' WHEN cc.DW_FromDate &gt;= 20100801 AND p.F_XHQHELD01 = '9' THEN 'Unknown/ not applicable' WHEN cc.DW_FromDate &gt;= 20100801 AND p.F_XHQHELD01 IN ('2','3','4','5','6','7','8') THEN 'Other qualification' WHEN cc.DW_FromDate &gt;= 20100801 THEN CAST(p.F_XHQHELD01 AS VARCHAR) ELSE 'ERROR' END</t>
  </si>
  <si>
    <t>(Grouped)</t>
  </si>
  <si>
    <t>CASE WHEN cc.DW_FromDate &gt;= 20100801 THEN CAST(P.F_XHQHELD01 AS VARCHAR)	 WHEN ISNULL(p.F_HQHELD, '99') IN ('99', '', ' ') THEN '9'  WHEN ISNULL(p.F_HQHELD, '99') = '01' THEN '1' WHEN ISNULL(p.F_HQHELD, '99') = '02' THEN '2' WHEN ISNULL(p.F_HQHELD, '99') IN ('03', '09') THEN '3' WHEN ISNULL(p.F_HQHELD, '99') IN ('11', '12') THEN '4' WHEN ISNULL(p.F_HQHELD, '99') IN ('19', '21', '22', '29') THEN '5' WHEN ISNULL(p.F_HQHELD, '99') IN ('31', '32', '97', '98') THEN '6' ELSE p.F_HQHELD END</t>
  </si>
  <si>
    <t>CASE WHEN ISNULL(p.F_HQHELD, '99') IN ('99', '', ' ') THEN 'Unknown'WHEN ISNULL(p.F_HQHELD, '99') = '01' THEN 'Doctorate' WHEN ISNULL(p.F_HQHELD, '99') = '02' THEN 'Other higher degree' WHEN ISNULL(p.F_HQHELD, '99') IN ('03', '09') THEN 'Other postgraduate qualification' WHEN ISNULL(p.F_HQHELD, '99') IN ('11', '12') THEN 'First degree' WHEN ISNULL(p.F_HQHELD, '99') IN ('19', '21', '22', '29') THEN 'Other undergraduate qualification' WHEN ISNULL(p.F_HQHELD, '99') IN ('31', '32', '97', '98') THEN 'Other' ELSE p.F_HQHELD END</t>
  </si>
  <si>
    <t>F_QUALENT2</t>
  </si>
  <si>
    <t xml:space="preserve">CASE WHEN s.DW_FromDate &gt;= 20140801 THEN 'NA' ELSE CASE WHEN s.F_QUALENT2 IN ('',' ') THEN '99' ELSE ISNULL(s.F_QUALENT2, '99') END END </t>
  </si>
  <si>
    <t>F_QUALENT3</t>
  </si>
  <si>
    <t xml:space="preserve">IIF(ISNULL(s.F_QUALENT3,'') = '', 'X06', s.F_QUALENT3) </t>
  </si>
  <si>
    <t>q3</t>
  </si>
  <si>
    <t>F_XQUALENT01</t>
  </si>
  <si>
    <t>CASE WHEN s.DW_FromDate &lt;= 20090801 THEN CASE WHEN s.F_QUALENT3 IN ('DUK', 'DZZ', 'D80', 'MUK', 'M41','M44', 'M80', 'M90', 'MZZ') OR s.F_QUALENT2 IN ('01', '02', '05') THEN 'A' WHEN s.F_QUALENT3 IN ('H71', 'M71') OR s.F_QUALENT2 IN ('03', '04') THEN 'B' WHEN s.F_QUALENT3 IN ('M2X', 'HUK', 'HZZ', 'H11', 'JUK') OR s.F_QUALENT2 IN ('10','11') THEN 'C' WHEN s.F_QUALENT3 IN ('H80', 'J10', 'J20', 'J30', 'J48', 'J49','J80', 'C20', 'C30', 'C44', 'C80', 'C90') OR s.F_QUALENT2 IN ('12', '13', '14', '15', '16', '23', '24', '25','26', '27', '29', '30', '31') THEN 'D' WHEN s.F_QUALENT3 = 'X04' OR s.F_QUALENT2 IN ('21', '22', '28', '94', '97') THEN 'E' WHEN s.F_QUALENT3 IN ('P41', 'P42', 'P46', 'P47', 'P50', 'P51', 'P53', 'P62', 'P63', 'P64', 'P65', 'P68', 'P80', 'P91', 'P92', 'X00', 'X01') OR s.F_QUALENT2 IN ('37', '38', '39', '40', '41', '43', '44', '45', '47', '48', '72') THEN 'F' WHEN s.F_QUALENT3 IN ('Q51', 'Q52', 'Q80', 'R51', 'R52', 'R80') OR s.F_QUALENT2 IN ('55', '56', '57') THEN 'G' WHEN s.F_QUALENT3 IN ('X02', 'X05') OR s.F_QUALENT2 IN ('92', '93', '98') THEN 'H' WHEN s.F_QUALENT3 = 'X06' OR s.F_QUALENT2 = '99' THEN 'I' ELSE 'J' END else s.F_XQUALENT01 END</t>
  </si>
  <si>
    <t>XQUALENT01.DW_CURRENTLABEL</t>
  </si>
  <si>
    <t>xqualent01</t>
  </si>
  <si>
    <t>Highly skilled</t>
  </si>
  <si>
    <t>F_XWRKHSKILL</t>
  </si>
  <si>
    <t xml:space="preserve">CASE WHEN ISNULL(g.ZRESPSTATUS, '02')='02'       OR ISNULL(g.XACTIVITY, '99')='99' THEN 'Not in GO publication population' WHEN g.MIMPACT in ('01', '05') AND g.XEMP2020SOC1 in ('1','2','3') THEN '01' WHEN g.MIMPACT in ('01', '05') AND g.XEMP2020SOC1 in ('4','5','6') THEN '02' WHEN g.MIMPACT in ('01', '05') AND g.XEMP2020SOC1 in ('7','8','9') THEN '03' WHEN g.MIMPACT in ('01', '05') THEN '09' WHEN g.MIMPACT in ('02', '03', '04') AND g.XBUS2020SOC1 in ('1','2','3') THEN '01' WHEN g.MIMPACT in ('02', '03', '04') AND g.XBUS2020SOC1 in ('4','5','6') THEN '02' WHEN g.MIMPACT in ('02', '03', '04') AND g.XBUS2020SOC1 in ('7','8','9') THEN '03' WHEN g.MIMPACT in ('02', '03', '04') THEN '09' WHEN (g.ALLACT01 = '1') AND g.XEMP2020SOC1 in ('1','2','3') THEN '01' WHEN (g.ALLACT01 = '1') AND g.XEMP2020SOC1 in ('4','5','6') THEN '02' WHEN (g.ALLACT01 = '1') AND g.XEMP2020SOC1 in ('7','8','9') THEN '03' WHEN (g.ALLACT01 = '1') THEN '09' WHEN (g.ALLACT02 = '1') AND g.XBUS2020SOC1 in ('1','2','3') THEN '01' WHEN (g.ALLACT02 = '1') AND g.XBUS2020SOC1 in ('4','5','6') THEN '02' WHEN (g.ALLACT02 = '1') AND g.XBUS2020SOC1 in ('7','8','9') THEN '03' WHEN (g.ALLACT02 = '1') THEN '09' WHEN (g.ALLACT05 = '1') AND g.XEMP2020SOC1 in ('1','2','3') THEN '01' WHEN (g.ALLACT05 = '1') AND g.XEMP2020SOC1 in ('4','5','6') THEN '02' WHEN (g.ALLACT05 = '1') AND g.XEMP2020SOC1 in ('7','8','9') THEN '03' WHEN (g.ALLACT05 = '1') THEN '09' WHEN (g.ALLACT03 = '1' OR g.ALLACT04 = '1') AND g.XBUS2020SOC1 in ('1','2','3') THEN '01' WHEN (g.ALLACT03 = '1' OR g.ALLACT04 = '1') AND g.XBUS2020SOC1 in ('4','5','6') THEN '02' WHEN (g.ALLACT03 = '1' OR g.ALLACT04 = '1') AND g.XBUS2020SOC1 in ('7','8','9') THEN '03' WHEN (g.ALLACT03 = '1' OR g.ALLACT04 = '1') THEN '09' ELSE 'NA' END </t>
  </si>
  <si>
    <t>CASE WHEN ISNULL(g.ZRESPSTATUS, '02')='02' OR ISNULL(g.XACTIVITY, '99')='99' THEN 'Not in GO publication population' else ISNULL(XWRKHSKILL.label,'Not applicable') end</t>
  </si>
  <si>
    <t>xwrkhskill</t>
  </si>
  <si>
    <t>Home country</t>
  </si>
  <si>
    <t>[HOMECOUNTRY]</t>
  </si>
  <si>
    <t>HOMECOUNTRY</t>
  </si>
  <si>
    <t>CASE WHEN ISNULL(g.ZRESPSTATUS, '02')='02' OR ISNULL(g.XACTIVITY, '99')='99' THEN 'Not in GO publication population' else iif(ISNULL(g.HOMECOUNTRY,'') in ('','OTHER','ZZ'),'Unknown',g.HOMECOUNTRY) end</t>
  </si>
  <si>
    <t>CASE WHEN ISNULL(g.ZRESPSTATUS, '02')='02' OR ISNULL(g.XACTIVITY, '99')='99' THEN 'Not in GO publication population' else iif(ISNULL(g.HOMECOUNTRY,'') in ('','ZZ','OTHER') , 'Unknown',HOMECOUNTRY.label) end</t>
  </si>
  <si>
    <t>homecountry</t>
  </si>
  <si>
    <t>[ZHOMECOUNTRY]</t>
  </si>
  <si>
    <t>ZHOMECOUNTRY</t>
  </si>
  <si>
    <t>zhomecountry</t>
  </si>
  <si>
    <t>Hourly paid marker</t>
  </si>
  <si>
    <t>F_HOURLYPAID</t>
  </si>
  <si>
    <t>CASE WHEN ISNULL(C.F_HOURLYPAID, 0) = 0 THEN 'Unknown' ELSE c.f_hourlypaid END</t>
  </si>
  <si>
    <t>isnull((select top 1 DW_CurrentLabel From staff.C025_Meta_Data as f with(nolock) where c.f_HOURLYPAID =F.Entry AND fieldname = 'HOURLYPAID' order by dw_fromdate desc),'Unknown')</t>
  </si>
  <si>
    <t>How found job</t>
  </si>
  <si>
    <t>How funding further study</t>
  </si>
  <si>
    <t>IMD deciles</t>
  </si>
  <si>
    <t>IMD_Decile</t>
  </si>
  <si>
    <t>imd</t>
  </si>
  <si>
    <t>IMD quintiles</t>
  </si>
  <si>
    <t>IMD_Quintile</t>
  </si>
  <si>
    <t>Importance to employer</t>
  </si>
  <si>
    <t>Incoming visiting and exchange (IVES) marker</t>
  </si>
  <si>
    <t>IVES</t>
  </si>
  <si>
    <t>Initiatives 1</t>
  </si>
  <si>
    <t>F_INITIATIVES1</t>
  </si>
  <si>
    <t>CASE WHEN s.f_initiatives1 IN ('',' ') or s.f_initiatives1 is null THEN 'Unknown' ELSE s.f_initiatives1 END</t>
  </si>
  <si>
    <t>ISNULL((SELECT top 1 DW_CurrentLabel From Student.C051_Meta_Data f with(nolock) where s.F_initiatives1 =F.Entry and fieldname = 'initiatives' order by dw_fromdate desc),'Unknown')</t>
  </si>
  <si>
    <t>Initiatives 2</t>
  </si>
  <si>
    <t>F_INITIATIVES2</t>
  </si>
  <si>
    <t>CASE WHEN s.f_initiatives2 IN ('',' ') or s.f_initiatives2 is null THEN 'Unknown' ELSE s.f_initiatives2 END</t>
  </si>
  <si>
    <t>ISNULL((SELECT top 1 DW_CurrentLabel From Student.C051_Meta_Data f with(nolock) where s.F_initiatives2 =F.Entry and fieldname = 'initiatives' order by dw_fromdate desc),'Unknown')</t>
  </si>
  <si>
    <t>Initiatives 3</t>
  </si>
  <si>
    <t>F_INITIATIVES3</t>
  </si>
  <si>
    <t>CASE WHEN s.f_initiatives3 IN ('',' ') or s.f_initiatives3 is null THEN 'Unknown' ELSE s.f_initiatives3 END</t>
  </si>
  <si>
    <t>ISNULL((SELECT top 1 DW_CurrentLabel From Student.C051_Meta_Data f with(nolock) where s.F_initiatives3 =F.Entry and fieldname = 'initiatives' order by dw_fromdate desc),'Unknown')</t>
  </si>
  <si>
    <t>International Bacculaureate marker</t>
  </si>
  <si>
    <t>IB_MKR</t>
  </si>
  <si>
    <t>CASE WHEN q.DK_INSTANCE IS NULL THEN '0' ELSE '1' END</t>
  </si>
  <si>
    <t>q</t>
  </si>
  <si>
    <t>International mobility</t>
  </si>
  <si>
    <t>[INTLMOB] -opt in question</t>
  </si>
  <si>
    <t>ITT marker</t>
  </si>
  <si>
    <t>F_TTCID</t>
  </si>
  <si>
    <t>case when s.F_TTCID='' then 'Unknown' when s.F_TTCID='0' then 'Not ITT' else 'ITT' end</t>
  </si>
  <si>
    <t>ITT Phase/Scope</t>
  </si>
  <si>
    <t>F_ITTPHSC</t>
  </si>
  <si>
    <t>IIF(s.F_ITTPHSC IN ('',' '),'N/A',ISNULL(s.F_ITTPHSC,'N/A'))</t>
  </si>
  <si>
    <t>ISNULL((SELECT top 1 DW_CurrentLabel From Student.C051_Meta_Data f with(nolock) where s.F_ITTPHSC =F.Entry and fieldname = 'ITTPHSC' order by dw_fromdate desc),'N/A')</t>
  </si>
  <si>
    <t>Job title</t>
  </si>
  <si>
    <t>Knowledge on which research degree based</t>
  </si>
  <si>
    <t>[KNOWBASE] -opt in question</t>
  </si>
  <si>
    <t>Last provider attended</t>
  </si>
  <si>
    <t>(Full postcode)</t>
  </si>
  <si>
    <t>F_PREVINSTPCODE</t>
  </si>
  <si>
    <t>ISNULL(SCH.F_POSTCODE,'Not known')</t>
  </si>
  <si>
    <t>sch</t>
  </si>
  <si>
    <t>F_ZPREVINST_UKPRN</t>
  </si>
  <si>
    <t>case when s.dw_fromdate &lt;= 20130801 THEN case when ISNULL(sch.F_ukprn,'-1') = '-1' then 'N/K' else sch.F_ukprn end else CASE WHEN d.F_zprevinst_ukprn = '-1' THEN 'N/K' else d.F_zprevinst_ukprn end end</t>
  </si>
  <si>
    <t>isnull(prev.ukprn_legalname,'(N/K) Unnown')</t>
  </si>
  <si>
    <t>previnst</t>
  </si>
  <si>
    <t>Length of contract</t>
  </si>
  <si>
    <t>[Years calculated from start date to either July 31 or end date] (&lt;1/ &lt;2 up to &lt;30/ 30 years and over)</t>
  </si>
  <si>
    <t>LEN_CON</t>
  </si>
  <si>
    <t>CASE WHEN C.F_STARTCON IS NULL  OR C.F_STARTCON='9999-12-31' or c.f_startcon='9999/12' THEN 'U' WHEN FLOOR(DATEDIFF(MONTH, C.F_STARTCON, IIF(C.F_ENDCON IS NULL OR c.f_endcon='9999/12' or C.F_ENDCON='',SUBSTRING(CAST(P.DW_FromDate + 10000 AS VARCHAR), 1, 4) + '-07-31',c.F_ENDCON))) / 12&lt;1 THEN '&lt;1'  WHEN FLOOR(DATEDIFF(MONTH, C.F_STARTCON, IIF(C.F_ENDCON IS NULL OR C.F_ENDCON='',SUBSTRING(CAST(P.DW_FromDate + 10000 AS VARCHAR), 1, 4) + '-07-31',c.F_ENDCON))) / 12&gt;=30 THEN '&gt;=30' ELSE CAST(FLOOR(DATEDIFF(MONTH, C.F_STARTCON, IIF(C.F_ENDCON IS NULL OR C.F_ENDCON='',SUBSTRING(CAST(P.DW_FromDate + 10000 AS VARCHAR), 1, 4) + '-07-31',c.F_ENDCON))) / 12 AS VARCHAR)END</t>
  </si>
  <si>
    <t>CASE WHEN C.F_STARTCON IS NULL  OR C.F_STARTCON='9999-12-31'  or c.f_startcon='9999/12' THEN 'U' WHEN FLOOR(DATEDIFF(MONTH, C.F_STARTCON, IIF(C.F_ENDCON IS NULL OR c.f_endcon='9999/12' or C.F_ENDCON='',SUBSTRING(CAST(P.DW_FromDate + 10000 AS VARCHAR), 1, 4) + '-07-31',c.F_ENDCON))) / 12&lt;1 THEN '&lt;1'  WHEN FLOOR(DATEDIFF(MONTH, C.F_STARTCON, IIF(C.F_ENDCON IS NULL OR C.F_ENDCON='',SUBSTRING(CAST(P.DW_FromDate + 10000 AS VARCHAR), 1, 4) + '-07-31',c.F_ENDCON))) / 12&gt;=30 THEN '&gt;=30' ELSE CAST(FLOOR(DATEDIFF(MONTH, C.F_STARTCON, IIF(C.F_ENDCON IS NULL OR C.F_ENDCON='',SUBSTRING(CAST(P.DW_FromDate + 10000 AS VARCHAR), 1, 4) + '-07-31',c.F_ENDCON))) / 12 AS VARCHAR)END</t>
  </si>
  <si>
    <t>Length of employment</t>
  </si>
  <si>
    <t>LEN_EMP</t>
  </si>
  <si>
    <t>No data for 2020 onwards!</t>
  </si>
  <si>
    <t>CASE when p.dw_fromdate &gt;= 20200801 then 'N/A' WHEN P.F_DATEFHEI IS NULL OR P.F_DATEFHEI='9999-12-31' THEN 'U' WHEN FLOOR(DATEDIFF(MONTH, P.F_DATEFHEI, IIF(P.F_DATELEFT='9999-12-31', SUBSTRING(CAST(P.DW_FromDate + 10000 AS VARCHAR), 1, 4) + '-07-31', P.F_DATELEFT))) / 12&lt;1 THEN '&lt;1' WHEN FLOOR(DATEDIFF(MONTH, P.F_DATEFHEI, IIF(P.F_DATELEFT='9999-12-31', SUBSTRING(CAST(P.DW_FromDate + 10000 AS VARCHAR), 1, 4) + '-07-31', P.F_DATELEFT))) / 12&gt;=30 THEN '&gt;=30' ELSE CAST(FLOOR(DATEDIFF(MONTH, P.F_DATEFHEI,IIF(P.F_DATELEFT='9999-12-31', SUBSTRING(CAST(P.DW_FromDate + 10000 AS VARCHAR), 1, 4) + '-07-31', P.F_DATELEFT))) / 12 AS VARCHAR)END</t>
  </si>
  <si>
    <t>CASE when p.dw_fromdate &gt;= 20200801 then 'N/A'  WHEN P.F_DATEFHEI IS NULL OR P.F_DATEFHEI='9999-12-31' THEN 'U' WHEN FLOOR(DATEDIFF(MONTH, P.F_DATEFHEI, IIF(P.F_DATELEFT='9999-12-31', SUBSTRING(CAST(P.DW_FromDate + 10000 AS VARCHAR), 1, 4) + '-07-31', P.F_DATELEFT))) / 12&lt;1 THEN '&lt;1' WHEN FLOOR(DATEDIFF(MONTH, P.F_DATEFHEI, IIF(P.F_DATELEFT='9999-12-31', SUBSTRING(CAST(P.DW_FromDate + 10000 AS VARCHAR), 1, 4) + '-07-31', P.F_DATELEFT))) / 12&gt;=30 THEN '&gt;=30' ELSE CAST(FLOOR(DATEDIFF(MONTH, P.F_DATEFHEI,IIF(P.F_DATELEFT='9999-12-31', SUBSTRING(CAST(P.DW_FromDate + 10000 AS VARCHAR), 1, 4) + '-07-31', P.F_DATELEFT))) / 12 AS VARCHAR)END</t>
  </si>
  <si>
    <t>Level of DLHE qualification</t>
  </si>
  <si>
    <t>(Postgraduate (research)/ Postgraduate (taught)/ First degree/ Other undergraduate)</t>
  </si>
  <si>
    <t>Partial - PGR and PGT grouped</t>
  </si>
  <si>
    <t>(Postgraduate/ Undergraduate)</t>
  </si>
  <si>
    <t>Partial - UG split into FID/ OUG</t>
  </si>
  <si>
    <t>(Postgraduate (research)/ Postgraduate (taught)/ First degree/ Foundation degree/ Other undergraduate)</t>
  </si>
  <si>
    <t>rebecca.mantle</t>
  </si>
  <si>
    <t>(Higher National Diploma (HND)/ Higher National Certificate (HNC)/ Foundation degree/ Other undergraduate)</t>
  </si>
  <si>
    <t>Level of Graduate Outcomes qualification</t>
  </si>
  <si>
    <t>(Postgraduate/ First degree/ Other undergraduate)</t>
  </si>
  <si>
    <t>F_XGLEV301</t>
  </si>
  <si>
    <t>CASE WHEN ISNULL(g.ZRESPSTATUS, '02')='02' OR ISNULL(g.XACTIVITY, '99')='99' THEN 'Not in GO publication population' WHEN s.F_XGLEV501 = '3' THEN 'First degree'  WHEN s.F_XGLEV301 = '1' THEN 'Postgraduate' WHEN s.F_XGLEV301 = '2' THEN 'Other undergraduate'  ELSE s.F_XGLEV301    END</t>
  </si>
  <si>
    <t>(Postgraduate/ Undergraduate) [XGLEV301]</t>
  </si>
  <si>
    <t>CASE WHEN ISNULL(g.ZRESPSTATUS, '02')='02' OR ISNULL(g.XACTIVITY, '99')='99' THEN 'Not in GO publication population' else cast(s.F_XGLEV301 as varchar) end</t>
  </si>
  <si>
    <t>CASE WHEN ISNULL(g.ZRESPSTATUS, '02')='02' OR ISNULL(g.XACTIVITY, '99')='99' THEN 'Not in GO publication population' else XGLEV301.dw_currentlabel end</t>
  </si>
  <si>
    <t>xglev301</t>
  </si>
  <si>
    <t>(Doctorate/ Masters/ Other postgraduate (research)/ Other postgraduate (taught)/ First degree/ Other undergraduate)</t>
  </si>
  <si>
    <t>F_XGLEV501</t>
  </si>
  <si>
    <t>CASE WHEN ISNULL(g.ZRESPSTATUS, '02') = '02' OR ISNULL(g.XACTIVITY, '99') = '99' THEN 'Not in GO publication population' WHEN s.F_XOBTNG01 = 'M22' THEN 'M22 Integrated undergraduate/postgraduate taught masters degree' ELSE 'Other' END</t>
  </si>
  <si>
    <t>(Doctorate/ Masters/ Other postgraduate/ First degree/ Other undergraduate)</t>
  </si>
  <si>
    <t xml:space="preserve">CASE WHEN s.F_XOBTNG01 in ('E00','D00','D01') then 'Doctorate'     WHEN s.F_XOBTNG01 in ('L00','M00','M01','M02','M10','M11','M16') then 'Masters'  WHEN  s.F_XGLEV501 in ('1','2') then 'Other postgraduate'   ELSE CAST(s.F_XGLEV501 AS VARCHAR) END </t>
  </si>
  <si>
    <t xml:space="preserve">CASE WHEN s.F_XOBTNG01 in ('E00','D00','D01') then 'Doctorate'     WHEN s.F_XOBTNG01 in ('L00','M00','M01','M02','M10','M11','M16') then 'Masters'  WHEN  s.F_XGLEV501 in ('1','2') then 'Other postgraduate'    ELSE xglev501.dw_currentlabel END </t>
  </si>
  <si>
    <t>xglev501</t>
  </si>
  <si>
    <t>CASE WHEN ISNULL(g.ZRESPSTATUS, '02') = '02' OR ISNULL(g.XACTIVITY, '99') = '99' THEN 'Not in GO publication population' WHEN s.F_XOBTNG01 IN ('D00', 'D01', 'E00') THEN 'Doctorate' WHEN s.F_XOBTNG01 IN ('L00', 'M00', 'M01', 'M02', 'M10', 'M11', 'M16') THEN 'Masters' WHEN s.F_XGLEV501 = '1' THEN 'Other postgraduate (research)'  WHEN s.F_XGLEV501 = '2' THEN 'Other postgraduate (taught)' ELSE s.F_XGLEV501 END</t>
  </si>
  <si>
    <t>CASE WHEN ISNULL(g.ZRESPSTATUS, '02') = '02' OR ISNULL(g.XACTIVITY, '99') = '99' THEN 'Not in GO publication population' WHEN s.F_XOBTNG01 IN ('D00', 'D01', 'E00') THEN 'Doctorate' WHEN s.F_XOBTNG01 IN ('L00', 'M00', 'M01', 'M02', 'M10', 'M11', 'M16') THEN 'Masters' WHEN s.F_XGLEV501 = '1' THEN 'Other postgraduate (research)' WHEN s.F_XGLEV501 = '2' THEN 'Other postgraduate (taught)' ELSE xglev501.DW_CurrentLabel END</t>
  </si>
  <si>
    <t>(M16/ Other Masters/ First degree/ Other undergraduate)</t>
  </si>
  <si>
    <t>CASE WHEN ISNULL(g.ZRESPSTATUS, '02') = '02' OR ISNULL(g.XACTIVITY, '99') = '99' THEN 'Not in GO publication population' WHEN s.F_XOBTNG01 IN ('D00', 'D01', 'E00') THEN 'Doctorate' WHEN s.F_XOBTNG01 IN ('L00', 'M00', 'M01', 'M02', 'M10', 'M11', 'M16') THEN 'Masters' WHEN s.F_XGLEV301 = '1' THEN 'Other postgraduate' ELSE s.F_XGLEV501 END</t>
  </si>
  <si>
    <t>CASE WHEN ISNULL(g.ZRESPSTATUS, '02') = '02' OR ISNULL(g.XACTIVITY, '99') = '99' THEN 'Not in GO publication population' WHEN s.F_XOBTNG01 IN ('D00', 'D01', 'E00') THEN 'Doctorate' WHEN s.F_XOBTNG01 IN ('L00', 'M00', 'M01', 'M02', 'M10', 'M11', 'M16') THEN 'Masters' WHEN s.F_XGLEV301 = '1' THEN 'Other postgraduate' ELSE xglev501.DW_CurrentLabel END</t>
  </si>
  <si>
    <t>(Masters (research)/ Masters (taught)/ Other postgraduate/ First degree/ Other undergraduate)</t>
  </si>
  <si>
    <t>CASE WHEN ISNULL(g.ZRESPSTATUS, '02') = '02' OR ISNULL(g.XACTIVITY, '99') = '99' THEN 'Not in GO publication population' WHEN s.F_XGLEV501 = '3' THEN 'First degree' WHEN s.F_XGLEV501 = '4' THEN 'Other undergraduate' WHEN s.F_XOBTNG01 = 'L00' THEN 'Masters research' WHEN s.F_XOBTNG01 IN ('M00', 'M01', 'M02', 'M10', 'M11', 'M16') THEN 'Masters taught' WHEN s.F_XGLEV301 = '1' THEN 'Other postgraduate' ELSE s.F_XGLEV301 END</t>
  </si>
  <si>
    <t>XOBTNG01</t>
  </si>
  <si>
    <t>CASE WHEN ISNULL(g.ZRESPSTATUS, '02') = '02' OR ISNULL(g.XACTIVITY, '99') = '99' THEN 'Not in GO publication population' WHEN s.F_XGLEV501 = '1' THEN 'Postgraduate research' WHEN s.F_XGLEV501 = '2' THEN 'Postgraduate taught' WHEN s.F_XGLEV501 = '3' THEN 'First degree' WHEN s.F_XOBTNG01 IN ('J10', 'J16') THEN 'Foundation degree' WHEN s.F_XGLEV501 = '4' THEN 'Other undergraduate' ELSE s.F_XGLEV301 END</t>
  </si>
  <si>
    <t>CASE WHEN ISNULL(g.ZRESPSTATUS, '02')='02' OR ISNULL(g.XACTIVITY, '99')='99' THEN 'Not in GO publication population' else cast(s.f_xglev501 as varchar) end</t>
  </si>
  <si>
    <t>CASE WHEN ISNULL(g.ZRESPSTATUS, '02')='02' OR ISNULL(g.XACTIVITY, '99')='99' THEN 'Not in GO publication population' else xglev501.dw_currentlabel end</t>
  </si>
  <si>
    <t>(Postgraduate (research)/ Postgraduate (taught)/ First degree/ Other undergraduate) [XGLEV501]</t>
  </si>
  <si>
    <t>CASE WHEN ISNULL(g.ZRESPSTATUS, '02')='02' OR ISNULL(g.XACTIVITY, '99')='99' THEN 'Not in GO publication population' else xglev501.dw_Currentlabel end</t>
  </si>
  <si>
    <t>(Postgraduate (research)/ Postgraduate (taught)/ First degree/ Other undergraduate/ FE)</t>
  </si>
  <si>
    <t>CASE WHEN ISNULL(g.ZRESPSTATUS, '02') = '02' OR ISNULL(g.XACTIVITY, '99') = '99' THEN 'Not in GO publication population' ELSE s.F_XGLEV501 END</t>
  </si>
  <si>
    <t>CASE WHEN ISNULL(g.ZRESPSTATUS, '02') = '02' OR ISNULL(g.XACTIVITY, '99') = '99' THEN 'Not in GO publication population' ELSE xglev501.DW_CurrentLabel END</t>
  </si>
  <si>
    <t>(Postgraduate (research)/ Postgraduate (taught)/ Other postgraduate/ First degree/ Other undergraduate)</t>
  </si>
  <si>
    <t>(Postgraduate (research)/ Postgraduate (taught)/ Postgraduate PGCE/ First degree/ Undergraduate PGCE/ Other undergraduate)</t>
  </si>
  <si>
    <t>CASE WHEN ISNULL(g.ZRESPSTATUS, '02') = '02' OR ISNULL(g.XACTIVITY, '99') = '99' THEN 'Not in GO publication population' WHEN s.F_XOBTNG01 = 'M71' THEN 'Postgraduate PGCE' WHEN s.F_XOBTNG01 = 'H71' THEN 'Undergraduate PGCE' ELSE s.F_XGLEV501 END</t>
  </si>
  <si>
    <t>CASE WHEN ISNULL(g.ZRESPSTATUS, '02') = '02' OR ISNULL(g.XACTIVITY, '99') = '99' THEN 'Not in GO publication population' WHEN s.F_XOBTNG01 = 'M71' THEN 'Postgraduate PGCE' WHEN s.F_XOBTNG01 = 'H71' THEN 'Undergraduate PGCE' ELSE xglev501.DW_CurrentLabel END</t>
  </si>
  <si>
    <t>(Postgraduate (research)/ Postgraduate (taught)/ Undergraduate)</t>
  </si>
  <si>
    <t>CASE WHEN ISNULL(g.ZRESPSTATUS, '02') = '02' OR ISNULL(g.XACTIVITY, '99') = '99' THEN 'Not in GO publication population' WHEN s.F_XGLEV301 = '2' THEN 'Undergraduate' ELSE s.F_XGLEV501 END</t>
  </si>
  <si>
    <t>CASE WHEN ISNULL(g.ZRESPSTATUS, '02') = '02' OR ISNULL(g.XACTIVITY, '99') = '99' THEN 'Not in GO publication population' WHEN s.F_XGLEV301 = '2' THEN 'Undergraduate' ELSE xglev501.DW_CurrentLabel END</t>
  </si>
  <si>
    <t>(Postgraduate taught/ Other postgraduate/ First degree/ HND/ Foundation degree/ Other undergraduate)</t>
  </si>
  <si>
    <t>CASE WHEN ISNULL(g.ZRESPSTATUS, '02') = '02' OR ISNULL(g.XACTIVITY, '99') = '99' THEN 'Not in GO publication population' WHEN s.F_XGLEV501 = '2' THEN 'Postgraduate taught' WHEN s.F_XGLEV301 = '1' THEN 'Other postgraduate' WHEN s.F_XOBTNG01 = 'J30' THEN 'Higher National Diploma (HND)' WHEN s.F_XOBTNG01 IN ('J10', 'J16') THEN 'Foundation degree' ELSE s.F_XGLEV501 END</t>
  </si>
  <si>
    <t>CASE WHEN ISNULL(g.ZRESPSTATUS, '02') = '02' OR ISNULL(g.XACTIVITY, '99') = '99' THEN 'Not in GO publication population' WHEN s.F_XGLEV501 = '2' THEN 'Postgraduate taught' WHEN s.F_XGLEV301 = '1' THEN 'Other postgraduate' WHEN s.F_XOBTNG01 = 'J30' THEN 'Higher National Diploma (HND)' WHEN s.F_XOBTNG01 IN ('J10', 'J16') THEN 'Foundation degree' ELSE xglev501.DW_CurrentLabel END</t>
  </si>
  <si>
    <t>([M22 Integrated undergraduate/postgraduate taught masters degree]/ Other)</t>
  </si>
  <si>
    <t>(Doctorate (research)/ Doctorate (taught) / Masters (research)/ Masters (taught)/ Other postgraduate (research)/ Other postgraduate (taught)/ First degree/ Other undergraduate)</t>
  </si>
  <si>
    <t xml:space="preserve">CASE WHEN s.F_XOBTNG01 in ('E00') then 'Doctorate (Taught)'     WHEN s.F_XOBTNG01 in ('D00','D01') then 'Doctorate (Research)'     WHEN s.F_XOBTNG01 in ('L00') then 'Masters (Research)'     WHEN s.F_XOBTNG01 in ('M00','M01','M02','M10','M11','M16') then 'Masters (Taught)'     ELSE CAST(s.F_XGLEV501 AS VARCHAR) END </t>
  </si>
  <si>
    <t xml:space="preserve">CASE WHEN s.F_XOBTNG01 in ('E00') then 'Doctorate (Taught)'     WHEN s.F_XOBTNG01 in ('D00','D01') then 'Doctorate (Research)'     WHEN s.F_XOBTNG01 in ('L00') then 'Masters (Research)'     WHEN s.F_XOBTNG01 in ('M00','M01','M02','M10','M11','M16') then 'Masters (Taught)'     ELSE xglev501.dw_currentlabel END </t>
  </si>
  <si>
    <t>Level of provision</t>
  </si>
  <si>
    <t>F_LEVEL</t>
  </si>
  <si>
    <t>a.F_LEVEL</t>
  </si>
  <si>
    <t xml:space="preserve">(SELECT top 1 DW_CurrentLabel From Student.C052_Meta_Data f with(nolock) where a.F_LEVEL =F.Entry and fieldname = 'LEVEL' order by dw_fromdate desc) </t>
  </si>
  <si>
    <t>(Postgraduate/ First degree/ Other undergraduate/ Further education)</t>
  </si>
  <si>
    <t>F_XLEVAG01</t>
  </si>
  <si>
    <t>a.F_XLEVAG01</t>
  </si>
  <si>
    <t>Level of qualification</t>
  </si>
  <si>
    <t>(10 Way)</t>
  </si>
  <si>
    <t>F_XQLEV1003</t>
  </si>
  <si>
    <t>cast(s.F_XQLEV1003 as varchar)</t>
  </si>
  <si>
    <t>(select top 1 DW_CurrentLabel From Student.C051_Meta_Data f with(nolock) where s.f_XQLEV1003 =F.Entry AND fieldname = 'XQLEV1003' order by dw_fromdate desc)</t>
  </si>
  <si>
    <t>F_XQLEV301</t>
  </si>
  <si>
    <t>cast(s.F_XQLEV301 as varchar)</t>
  </si>
  <si>
    <t xml:space="preserve">(select top 1 DW_CurrentLabel From Student.C051_Meta_Data f with(nolock) where s.F_XQLEV301 =F.Entry AND fieldname = 'XQLEV301' order by dw_fromdate desc) </t>
  </si>
  <si>
    <t>F_XQLEV501</t>
  </si>
  <si>
    <t>CAST(s.F_XQLEV501 AS VARCHAR(1))</t>
  </si>
  <si>
    <t>(select top 1 DW_CurrentLabel From Student.C051_Meta_Data f with(nolock) where s.f_xqlev501 =F.Entry AND fieldname = 'XQLEV501' order by dw_fromdate desc)</t>
  </si>
  <si>
    <t>(Postgraduate research/ Postgraduate taught/ Undergraduate)</t>
  </si>
  <si>
    <t>CASE WHEN s.F_XQLEV301 = '2' THEN 'Undergraduate' WHEN s.F_XQLEV501 = '1' THEN 'Postgraduate(research)' WHEN s.F_XQLEV501 = '2' THEN 'Postgraduate (taught)'    ELSE cast(s.F_XQLEV301 as varchar)    END</t>
  </si>
  <si>
    <t>CASE WHEN s.F_XQLEV301 = '2' THEN 'Undergraduate' WHEN s.F_XQLEV501 = '1' THEN 'Postgraduate(research)' WHEN s.F_XQLEV501 = '2' THEN 'Postgraduate (taught)'    ELSE xqlev301.dw_currentlabel    END</t>
  </si>
  <si>
    <t>xqlev301</t>
  </si>
  <si>
    <t>CASE WHEN s.F_XQLEV501 = '3' THEN 'First degree' WHEN s.F_XQLEV301 = '1' THEN 'Postgraduate' WHEN s.F_XQLEV501 = '4' THEN 'Other undergraduate'    ELSE cast(s.F_XQLEV301  as varchar)  END</t>
  </si>
  <si>
    <t>CASE WHEN s.F_XQLEV501 = '3' THEN 'First degree' WHEN s.F_XQLEV301 = '1' THEN 'Postgraduate' WHEN s.F_XQLEV501 = '4' THEN 'Other undergraduate'    ELSE xqlev301.dw_currentlabel    END</t>
  </si>
  <si>
    <t>F_XQOBTN01</t>
  </si>
  <si>
    <t xml:space="preserve">CASE WHEN s.F_XQOBTN01 in ('E00') then 'Doctorate (Taught)' WHEN s.F_XQOBTN01 in ('D00','D01') then 'Doctorate (Research)'     WHEN s.F_XQOBTN01 in ('L00') then 'Masters (Research)'     WHEN s.F_XQOBTN01 in ('M00','M01','M02','M10','M11','M16') then 'Masters (Taught)'     ELSE CAST(s.F_XQLEV501 AS VARCHAR) END </t>
  </si>
  <si>
    <t xml:space="preserve">CASE WHEN s.F_XQOBTN01 in ('E00') then 'Doctorate (Taught)' WHEN s.F_XQOBTN01 in ('D00','D01') then 'Doctorate (Research)'     WHEN s.F_XQOBTN01 in ('L00') then 'Masters (Research)'     WHEN s.F_XQOBTN01 in ('M00','M01','M02','M10','M11','M16') then 'Masters (Taught)'     ELSE  xqlev501.dw_currentlabel END </t>
  </si>
  <si>
    <t>xqlev501</t>
  </si>
  <si>
    <t>CASE WHEN s.F_XQOBTN01 in ('E00', 'D00','D01') then 'Doctorate'  WHEN s.F_XQOBTN01 in ('L00','M00','M01','M02','M10','M11','M16') then 'Masters' WHEN s.F_XQLEV501 = '1' THEN 'Postgraduate(research)' WHEN s.F_XQLEV501 = '2' THEN 'Postgraduate (taught)'  ELSE  CAST (s.F_XQLEV301 AS VARCHAR) END</t>
  </si>
  <si>
    <t xml:space="preserve">CASE WHEN s.F_XQOBTN01 in ('E00', 'D00','D01') then 'Doctorate'  WHEN s.F_XQOBTN01 in ('L00','M00','M01','M02','M10','M11','M16') then 'Masters' WHEN s.F_XQLEV501 = '1' THEN 'Postgraduate(research)' WHEN s.F_XQLEV501 = '2' THEN 'Postgraduate (taught)'  ELSE  xqlev301.dw_currentlabel END </t>
  </si>
  <si>
    <t xml:space="preserve">CASE  WHEN  s.F_XQOBTN01 in ('M16') then 'M16'   WHEN s.F_XQOBTN01 in ('L00','M00','M01','M02','M10','M11','M16') then 'Other Masters' ELSE CAST (s.F_XQLEV901 AS VARCHAR) END </t>
  </si>
  <si>
    <t xml:space="preserve">CASE  WHEN  s.F_XQOBTN01 in ('M16') then 'M16'   WHEN s.F_XQOBTN01 in ('L00','M00','M01','M02','M10','M11','M16') then 'Other Masters' ELSE xqlev901.dw_currentlabel  END </t>
  </si>
  <si>
    <t>xqlev901</t>
  </si>
  <si>
    <t>CASE WHEN s.F_XQOBTN01 in ('L00') then 'Masters (Research)'     WHEN s.F_XQOBTN01 in ('M00','M01','M02','M10','M11','M16') then 'Masters (Taught)'     ELSE CAST (s.F_XQLEV301 AS VARCHAR) END</t>
  </si>
  <si>
    <t>CASE WHEN s.F_XQOBTN01 in ('L00') then 'Masters (Research)'     WHEN s.F_XQOBTN01 in ('M00','M01','M02','M10','M11','M16') then 'Masters (Taught)'     ELSE CAST xqlev301.dw_currentlabel  END</t>
  </si>
  <si>
    <t xml:space="preserve">CASE WHEN s.F_XQOBTN01 in ('J10', 'J16') THEN 'Foundation degree' ELSE CAST(s.F_XQLEV501 AS VARCHAR) END </t>
  </si>
  <si>
    <t xml:space="preserve">CASE WHEN s.F_XQOBTN01 in ('J10', 'J16') THEN 'Foundation degree' ELSE   xqlev501.dw_currentlabel END   </t>
  </si>
  <si>
    <t xml:space="preserve">CASE WHEN s.F_XQOBTN01 in ('M71') THEN 'Postgraduate PGCE' WHEN s.F_XQOBTN01 in ('H71') THEN 'Undergraduate PGCE' ELSE CAST(s.F_XQLEV501 AS VARCHAR) END </t>
  </si>
  <si>
    <t xml:space="preserve">CASE WHEN s.F_XQOBTN01 in ('M71') THEN 'Postgraduate PGCE' WHEN s.F_XQOBTN01 in ('H71') THEN 'Undergraduate PGCE' ELSE   xqlev501.dw_currentlabel END </t>
  </si>
  <si>
    <t>Level of study</t>
  </si>
  <si>
    <t>CASE WHEN s.F_COURSEAIM = 'M22' THEN 'M22 Integrated undergraduate/postgraduate taught masters degree' ELSE 'Other' END</t>
  </si>
  <si>
    <t xml:space="preserve">CASE WHEN s.f_courseaim in ('E00') then 'Doctorate (Taught)' WHEN s.f_courseaim in ('D00','D01') then 'Doctorate (Research)'     WHEN s.f_courseaim in ('L00') then 'Masters (Research)'     WHEN s.f_courseaim in ('M00','M01','M02','M10','M11','M16') then 'Masters (Taught)'     ELSE CAST(s.F_XLEV501 AS VARCHAR) END </t>
  </si>
  <si>
    <t xml:space="preserve">CASE WHEN s.f_courseaim in ('E00') then 'Doctorate (Taught)' WHEN s.f_courseaim in ('D00','D01') then 'Doctorate (Research)'     WHEN s.f_courseaim in ('L00') then 'Masters (Research)'     WHEN s.f_courseaim in ('M00','M01','M02','M10','M11','M16') then 'Masters (Taught)'     ELSE  xlev501.dw_currentlabel END </t>
  </si>
  <si>
    <t>XLEV5</t>
  </si>
  <si>
    <t xml:space="preserve">CASE WHEN s.F_COURSEAIM IN ('D00', 'D01', 'E00') THEN 'DOC' WHEN s.F_COURSEAIM IN ('M00', 'M01', 'M02', 'M10', 'M11', 'M16', 'L00') THEN 'MAS' WHEN s.F_XLEV501 IN ('1') THEN 'OPGR' WHEN s.F_XLEV501 IN ('2') THEN 'OPGT' WHEN s.F_XLEV501='3' THEN 'FID' WHEN s.F_XLEV501='4' THEN 'OUG' WHEN s.F_XLEV501='5' THEN 'FE' ELSE 'ERR' END </t>
  </si>
  <si>
    <t xml:space="preserve">CASE WHEN s.F_COURSEAIM IN ('D00', 'D01', 'E00') THEN 'Doctorate' WHEN s.F_COURSEAIM IN ('M00', 'M01', 'M02', 'M10', 'M11', 'M16', 'L00') THEN 'Masters' WHEN s.F_XLEV501 IN ('1') THEN 'Other postgraduate (research)' WHEN s.F_XLEV501 IN ('2') THEN 'Other postgraduate (taught)' WHEN s.F_XLEV501='3' THEN 'First degree' WHEN s.F_XLEV501='4' THEN 'Other undergraduate' 	WHEN s.F_XLEV501='5' THEN 'Further education' ELSE 'ERR' END </t>
  </si>
  <si>
    <t xml:space="preserve">CASE WHEN s.F_COURSEAIM IN ('D00', 'D01', 'E00') THEN 'DOC' WHEN s.F_COURSEAIM IN ('M00', 'M01', 'M02', 'M10', 'M11', 'M16', 'L00') THEN 'MAS' WHEN s.F_XLEV501 IN ('1', '2') THEN 'OPG' WHEN s.F_XLEV501='3' THEN 'FID' WHEN s.F_XLEV501='4' THEN 'OUG' 	WHEN s.F_XLEV501='5' THEN 'FE' ELSE 'ERR' END </t>
  </si>
  <si>
    <t xml:space="preserve">CASE WHEN s.F_COURSEAIM IN ('D00', 'D01', 'E00') THEN 'Doctorate' WHEN s.F_COURSEAIM IN ('M00', 'M01', 'M02', 'M10', 'M11', 'M16', 'L00') THEN 'Masters' WHEN s.F_XLEV501 IN ('1', '2') THEN 'Other postgraduate'  WHEN s.F_XLEV501='3' THEN 'First degree' WHEN s.F_XLEV501='4' THEN 'Other undergraduate' 	WHEN s.F_XLEV501='5' THEN 'Further education' ELSE 'ERR' END </t>
  </si>
  <si>
    <t>CASE WHEN s.F_XLEV301 = '1' THEN 'Postgraduate' WHEN s.F_COURSEAIM IN ('J10', 'J16') THEN 'Foundation degree' WHEN s.F_COURSEAIM = 'J30' THEN 'HND' WHEN s.F_COURSEAIM = 'C30' THEN 'HNC' ELSE 'Other undergraduate' END</t>
  </si>
  <si>
    <t>CASE WHEN s.F_XLEV301 = '1' THEN 'Postgraduate' WHEN s.F_COURSEAIM IN ('J10', 'J16') THEN 'Foundation degree' WHEN s.F_COURSEAIM = 'J30' THEN 'Higher National Diploma (HND)' WHEN s.F_COURSEAIM = 'C30' THEN 'Higher National Certificate (HNC)' ELSE 'Other undergraduate' END' THEN 'HNC' ELSE 'Other undergraduate' END</t>
  </si>
  <si>
    <t>CASE WHEN s.F_COURSEAIM = 'M16' THEN 'M16' WHEN s.F_COURSEAIM IN ('L00', 'M00', 'M01', 'M02', 'M10', 'M11') THEN 'Other masters' WHEN s.F_XLEV301 = '1' THEN 'Other postgraduate' ELSE CAST(s.F_XLEV501 AS VARCHAR) END</t>
  </si>
  <si>
    <t>CASE WHEN s.F_COURSEAIM = 'M16' THEN 'M16' WHEN s.F_COURSEAIM IN ('L00', 'M00', 'M01', 'M02', 'M10', 'M11') THEN 'Other masters' WHEN s.F_XLEV301 = '1' THEN 'Other postgraduate' ELSE xlev501.DW_CurrentLabel END</t>
  </si>
  <si>
    <t>xlev501</t>
  </si>
  <si>
    <t>CASE WHEN s.F_COURSEAIM='L00' THEN 'MASR' WHEN s.F_COURSEAIM IN ('M00', 'M01', 'M02', 'M10', 'M11', 'M16') THEN 'MAST' WHEN s.F_XLEV501 IN ('1', '2') THEN 'OPG' WHEN s.F_XLEV501='3' THEN 'FID' WHEN s.F_XLEV501='4' THEN 'OUG' 	WHEN s.F_XLEV501='5' THEN 'Further education' ELSE 'FE' END</t>
  </si>
  <si>
    <t xml:space="preserve">CASE WHEN s.F_COURSEAIM='L00' THEN 'Masters (research)' WHEN s.F_COURSEAIM IN ('M00', 'M01', 'M02', 'M10', 'M11', 'M16') THEN 'Masters (taught)' WHEN s.F_XLEV501 IN ('1', '2') THEN 'Other postgraduate' WHEN s.F_XLEV501='3' THEN 'First degree' WHEN s.F_XLEV501='4' THEN 'Other undergraduate' 	WHEN s.F_XLEV501='5' THEN 'Further education' ELSE 'ERR' END </t>
  </si>
  <si>
    <t>Partial - no foundation degree category</t>
  </si>
  <si>
    <t>case when s.F_COURSEAIM IN ('J10','J16') THEN 'FD' else CAST(s.f_xlev501 AS VARCHAR) end</t>
  </si>
  <si>
    <t>CASE when s.F_COURSEAIM IN ('J10','J16') THEN 'Foundation degree' else xlev501.DW_currentlabel end</t>
  </si>
  <si>
    <t>CASE WHEN s.F_COURSEAIM = 'M71' THEN 'Postgraduate PGCE' WHEN s.F_COURSEAIM = 'H71' THEN 'Undergraduate PGCE' WHEN s.F_XLEV501 = '2' THEN 'Other Postgraduate (taught)' WHEN s.F_XLEV501 = '4' THEN 'Other Undergraduate' ELSE CAST(s.F_XLEV501 AS VARCHAR) END</t>
  </si>
  <si>
    <t>CASE WHEN s.F_COURSEAIM = 'M71' THEN 'Postgraduate PGCE' WHEN s.F_COURSEAIM = 'H71' THEN 'Undergraduate PGCE' WHEN s.F_XLEV501 = '2' THEN 'Other Postgraduate (taught)' WHEN s.F_XLEV501 = '4' THEN 'Other Undergraduate' ELSE XLEV501.DW_CurrentLabel END</t>
  </si>
  <si>
    <t>XLEV501</t>
  </si>
  <si>
    <t>CASE WHEN s.F_COURSEAIM = 'J30' THEN 'HND' WHEN s.F_COURSEAIM IN ('J10', 'J16') THEN 'Foundation degree' ELSE CAST(s.F_XLEV501 AS VARCHAR) END</t>
  </si>
  <si>
    <t>CASE WHEN s.F_COURSEAIM = 'J30' THEN 'HND' WHEN s.F_COURSEAIM IN ('J10', 'J16') THEN 'Foundation degree' ELSE XLEV501.DW_CurrentLabel END</t>
  </si>
  <si>
    <t>F_XLEV301</t>
  </si>
  <si>
    <t>CAST(s.F_XLEV301 AS VARCHAR(1))</t>
  </si>
  <si>
    <t>(select top 1 DW_CurrentLabel From Student.C051_Meta_Data f with(nolock) where s.f_xlev301 =F.Entry AND fieldname = 'XLEV301' order by dw_fromdate desc)</t>
  </si>
  <si>
    <t>F_XLEV501</t>
  </si>
  <si>
    <t>CAST(s.F_XLEV501 AS VARCHAR(1))</t>
  </si>
  <si>
    <t>(select top 1 DW_CurrentLabel From Student.C051_Meta_Data f with(nolock) where s.f_xlev501 =F.Entry AND fieldname = 'XLEV501' order by dw_fromdate desc)</t>
  </si>
  <si>
    <t>No - No FE data on HEIDI</t>
  </si>
  <si>
    <t>CASE when s.f_XLEV501 in ('1','2') then cast(s.f_XLEV501 as varchar) WHEN s.f_XLEV301 = '2' THEN 'Undergraduate' else cast(s.f_XLEV301 as varchar) end</t>
  </si>
  <si>
    <t>CASE when s.f_XLEV501 in ('1','2') then xlev501.DW_CurrentLabel WHEN s.f_XLEV301 = '2' THEN 'Undergraduate' ELSE 'Further Education' END</t>
  </si>
  <si>
    <t>Partial - PG split into PGR/ PGT</t>
  </si>
  <si>
    <t xml:space="preserve">CASE when s.f_XLEV501 in ('1','2') then 'Postgraduate' else cast(s.f_XLEV501 AS VARCHAR) end </t>
  </si>
  <si>
    <t>CASE WHEN s.f_XLEV501 in ('1','2') THEN 'Postgraduate' ELSE xlev501.DW_CurrentLabel END</t>
  </si>
  <si>
    <t>(Higher Degree (research)/ Higher Degree (taught)/ Other postgraduate/ First Degree/ Other Undergraduate/ Futher Education)</t>
  </si>
  <si>
    <t>F_XLEV601</t>
  </si>
  <si>
    <t>cast(s.F_XLEV601 as varchar)</t>
  </si>
  <si>
    <t xml:space="preserve">(select top 1 DW_CurrentLabel From student.C051_Meta_Data as f with(nolock) where s.f_Xlev601 =F.Entry AND fieldname = 'XLEV601' order by dw_fromdate desc) </t>
  </si>
  <si>
    <t>Life satisfaction</t>
  </si>
  <si>
    <t>[SATLIFE]</t>
  </si>
  <si>
    <t>Life satisfaction grouping</t>
  </si>
  <si>
    <t>[XSATLIFEGRP]</t>
  </si>
  <si>
    <t>XSATLIFEGRP</t>
  </si>
  <si>
    <t>ISNULL(W.XSATLIFEGRP,'E')</t>
  </si>
  <si>
    <t xml:space="preserve">ISNULL(W.XSATLIFEGRP,'E') </t>
  </si>
  <si>
    <t>Life worthwhile</t>
  </si>
  <si>
    <t>[LIFEWORTH]</t>
  </si>
  <si>
    <t>Life worthwhile grouping</t>
  </si>
  <si>
    <t>[XLIFEWORTHGRP]</t>
  </si>
  <si>
    <t>XLIFEWORTHGRP</t>
  </si>
  <si>
    <t xml:space="preserve">ISNULL(W.XLIFEWORTHGRP,'E') </t>
  </si>
  <si>
    <t>ISNULL(W.XLIFEWORTHGRP,'E')</t>
  </si>
  <si>
    <t>Location after leaving</t>
  </si>
  <si>
    <t>F_LOCLEAVE</t>
  </si>
  <si>
    <t>CASE WHEN ISNULL(P.F_LOCLEAVE, '-1') IN ('9', '-1', '', ' ') THEN '8' ELSE CAST(P.F_LOCLEAVE AS VARCHAR(1)) END</t>
  </si>
  <si>
    <t>Location based on currency returned</t>
  </si>
  <si>
    <t>[XCURRLOC]</t>
  </si>
  <si>
    <t>XCURRLOC</t>
  </si>
  <si>
    <t>CASE WHEN ISNULL(g.ZRESPSTATUS, '02')='02' OR ISNULL(g.XACTIVITY, '99')='99' THEN 'Not in GO publication population' else isnull(g.XCURRLOC,'9') end</t>
  </si>
  <si>
    <t>CASE WHEN ISNULL(g.ZRESPSTATUS, '02')='02' OR ISNULL(g.XACTIVITY, '99')='99' THEN 'Not in GO publication population' else isnull(XCURRLOC.label,'Unknown') end</t>
  </si>
  <si>
    <t>xcurrloc</t>
  </si>
  <si>
    <t>Location of employment</t>
  </si>
  <si>
    <t>(England/ Scotland/ Wales/ Northern Ireland/ Guernsey, Jersey and the Isle of Man/ UK region unknown/ EU/ Non-EU/ Not known)</t>
  </si>
  <si>
    <t>(Sector postcode)</t>
  </si>
  <si>
    <t>[ZEMPAREA]</t>
  </si>
  <si>
    <t>ZEMPAREA</t>
  </si>
  <si>
    <t>CASE WHEN ISNULL(g.ZRESPSTATUS, '02')='02' OR ISNULL(g.XACTIVITY, '99')='99' THEN 'Not in GO publication population' else isnull(g.ZEMPAREA,'NOTK') end</t>
  </si>
  <si>
    <t>CASE WHEN ISNULL(g.ZRESPSTATUS, '02')='02' OR ISNULL(g.XACTIVITY, '99')='99' THEN 'Not in GO publication population' else isnull(ZEMPAREA.label,'Not known') end</t>
  </si>
  <si>
    <t>zemparea</t>
  </si>
  <si>
    <t>Location of employment (Country)</t>
  </si>
  <si>
    <t>[ZEMPCOUNTRY]</t>
  </si>
  <si>
    <t>ZEMPCOUNTRY</t>
  </si>
  <si>
    <t>CASE WHEN ISNULL(g.ZRESPSTATUS, '02')='02' OR ISNULL(g.XACTIVITY, '99')='99' THEN 'Not in GO publication population' else isnull(g.ZEMPCOUNTRY,'NOTK') end</t>
  </si>
  <si>
    <t>CASE WHEN ISNULL(g.ZRESPSTATUS, '02')='02' OR ISNULL(g.XACTIVITY, '99')='99' THEN 'Not in GO publication population' else isnull(ZEMPCOUNTRY.label,'Not known') end</t>
  </si>
  <si>
    <t>zempcountry</t>
  </si>
  <si>
    <t>ZEMP_LAUA</t>
  </si>
  <si>
    <t>CASE WHEN ISNULL(g.ZRESPSTATUS, '02') = '02' OR ISNULL(g.XACTIVITY, '99') = '99' THEN 'Not in GO publication population' WHEN g.XEMPLOCN = '99' THEN 'NA/UNK' WHEN g.XEMPLOCN IN ( '07', '08', '09' ) THEN 'Non-UK' WHEN g.XEMPLOCN = '05' THEN 'Channel Islands' ELSE IIF(ISNULL(gg.F_FULL_LAUA, 'NA/UNK') IN ('', ' ', 'NA/UNK'), 'NA/UNK', gg.F_FULL_LAUA) END</t>
  </si>
  <si>
    <t>CASE WHEN ISNULL(g.ZRESPSTATUS, '02') = '02' OR ISNULL(g.XACTIVITY, '99') = '99' THEN 'Not in GO publication population' WHEN g.XEMPLOCN = '99' THEN 'Unknown/ not applicable' WHEN g.XEMPLOCN IN ( '07', '08', '09' ) THEN 'Non-UK' WHEN g.XEMPLOCN = '05' THEN 'Channel Islands' ELSE IIF(ISNULL(gg.F_FULL_LAUA, 'NA/UNK') IN ('', ' ', 'NA/UNK'), 'Unknown/ not applicable', onsg.Label) END</t>
  </si>
  <si>
    <t>gg</t>
  </si>
  <si>
    <t>[ZEMPPCODE]</t>
  </si>
  <si>
    <t>ZEMPPCODE</t>
  </si>
  <si>
    <t>CASE WHEN ISNULL(g.ZRESPSTATUS, '02')='02' OR ISNULL(g.XACTIVITY, '99')='99' THEN 'Not in GO publication population' else isnull(g.ZEMPPCODE,'99999999') end</t>
  </si>
  <si>
    <t>CASE WHEN ISNULL(g.ZRESPSTATUS, '02')='02' OR ISNULL(g.XACTIVITY, '99')='99' THEN 'Not in GO publication population' WHEN g.ZEMPPCODE IN ('ZZ', 'GB', 'JE', 'XL', 'XK', 'GG', 'IM', 'XF', 'XI', 'XH', 'XG', '99999999', '1782', '2826', '3826', '4826', '5826', '6826', '7826', '8826') OR g.ZEMPPCODE IS NULL OR g.ZEMPPCODE='' THEN 'UK Region Unknown' WHEN SUBSTRING(g.ZEMPPCODE, 1, 3)='___' OR SUBSTRING(g.ZEMPPCODE, 1, 3)='###' OR SUBSTRING(g.ZEMPPCODE, 1, 3)='$$$' THEN 'UK Region Unknown' WHEN CHARINDEX(' ', g.ZEMPPCODE)=0 THEN CASE WHEN LEN(g.ZEMPPCODE)&gt;=5 THEN 'zzzzUnknown' ELSE g.ZEMPPCODE END WHEN g.ZEMPPCODE LIKE '%  %' THEN CASE WHEN SUBSTRING(g.ZEMPPCODE, CHARINDEX(' ', g.ZEMPPCODE) + 2, 1) IN ('0', '1', '2', '3', '4', '5', '6', '7', '8', '9') THEN SUBSTRING(g.ZEMPPCODE, 1, CHARINDEX(' ', g.ZEMPPCODE) - 1) + ' ' + SUBSTRING(g.ZEMPPCODE, CHARINDEX(' ', g.ZEMPPCODE) + 2, 1) WHEN SUBSTRING(g.ZEMPPCODE, CHARINDEX(' ', g.ZEMPPCODE) + 2, 1)='O' THEN SUBSTRING(g.ZEMPPCODE, 1, CHARINDEX(' ', g.ZEMPPCODE) - 1) + ' ' + '0' ELSE SUBSTRING(g.ZEMPPCODE, 1, CHARINDEX(' ', g.ZEMPPCODE) - 1)END WHEN g.ZEMPPCODE LIKE '% %' THEN CASE WHEN SUBSTRING(g.ZEMPPCODE, CHARINDEX(' ', g.ZEMPPCODE) + 1, 1) IN ('0', '1', '2', '3', '4', '5', '6', '7', '8', '9') THEN SUBSTRING(g.ZEMPPCODE, 1, CHARINDEX(' ', g.ZEMPPCODE) - 1) + ' ' + SUBSTRING(g.ZEMPPCODE, CHARINDEX(' ', g.ZEMPPCODE) + 1, 1) WHEN SUBSTRING(g.ZEMPPCODE, CHARINDEX(' ', g.ZEMPPCODE) + 1, 1)='O' THEN SUBSTRING(g.ZEMPPCODE, 1, CHARINDEX(' ', g.ZEMPPCODE) - 1) + ' ' + '0' ELSE SUBSTRING(g.ZEMPPCODE, 1, CHARINDEX(' ', g.ZEMPPCODE) - 1)END ELSE 'UK Region Unknown' END</t>
  </si>
  <si>
    <t>(UK unitary authority/ Non-UK country)</t>
  </si>
  <si>
    <t>(region) [XEMPLOCGR]</t>
  </si>
  <si>
    <t>XEMPLOCGR</t>
  </si>
  <si>
    <t>CASE WHEN ISNULL(g.ZRESPSTATUS, '02')='02' OR ISNULL(g.XACTIVITY, '99')='99' THEN 'Not in GO publication population' else ISNULL(g.XEMPLOCGR,'NOTK') end</t>
  </si>
  <si>
    <t>CASE WHEN ISNULL(g.ZRESPSTATUS, '02')='02' OR ISNULL(g.XACTIVITY, '99')='99' THEN 'Not in GO publication population' else ISNULL(XEMPLOCGR.label,'Not known') end</t>
  </si>
  <si>
    <t>xemplocgr</t>
  </si>
  <si>
    <t>(basic level) [XEMPLOCN]</t>
  </si>
  <si>
    <t>XEMPLOCN</t>
  </si>
  <si>
    <t>CASE WHEN ISNULL(g.ZRESPSTATUS, '02')='02' OR ISNULL(g.XACTIVITY, '99')='99' THEN 'Not in GO publication population' else isnull(g.XEMPLOCN,'99') end</t>
  </si>
  <si>
    <t>xemplocn</t>
  </si>
  <si>
    <t>(county/unitary authority level) [XEMPLOCUC]</t>
  </si>
  <si>
    <t>XEMPLOCUC</t>
  </si>
  <si>
    <t>CASE WHEN ISNULL(g.ZRESPSTATUS, '02')='02' OR ISNULL(g.XACTIVITY, '99')='99' THEN 'Not in GO publication population' when g.xemplocn='05' then 'Channel Islands'  when isnull(g.XEMPLOCUC,'') in ('','$$$$','NOTK') then 'NA/UNK' else g.XEMPLOCUC end</t>
  </si>
  <si>
    <t>CASE WHEN ISNULL(g.ZRESPSTATUS, '02')='02' OR ISNULL(g.XACTIVITY, '99')='99' THEN 'Not in GO publication population' when g.xemplocn='05' then 'Channel Islands' when  isnull(XEMPLOCUC.label,'') in ('','$$$$','NOTK') then 'NA/UNK' else XEMPLOCUC.label end</t>
  </si>
  <si>
    <t>xemplocuc</t>
  </si>
  <si>
    <t>(Region) [XHOMELOCGR]</t>
  </si>
  <si>
    <t>XHOMELOCGR</t>
  </si>
  <si>
    <t>CASE WHEN ISNULL(g.ZRESPSTATUS, '02')='02' OR ISNULL(g.XACTIVITY, '99')='99' THEN 'Not in GO publication population' else ISNULL(g.XHOMELOCGR,'NOTK') end</t>
  </si>
  <si>
    <t>CASE WHEN ISNULL(g.ZRESPSTATUS, '02')='02' OR ISNULL(g.XACTIVITY, '99')='99' THEN 'Not in GO publication population' else ISNULL(XHOMELOCGR.label,'Not known') end</t>
  </si>
  <si>
    <t>xhomelocgr</t>
  </si>
  <si>
    <t>(Basic level) [XHOMELOCN]</t>
  </si>
  <si>
    <t>XHOMELOCN</t>
  </si>
  <si>
    <t>CASE WHEN ISNULL(g.ZRESPSTATUS, '02')='02' OR ISNULL(g.XACTIVITY, '99')='99' THEN 'Not in GO publication population' else isnull(g.XHOMELOCN,'99') end</t>
  </si>
  <si>
    <t>CASE WHEN ISNULL(g.ZRESPSTATUS, '02')='02' OR ISNULL(g.XACTIVITY, '99')='99' THEN 'Not in GO publication population' else isnull(XHOMELOCN.label,'Not known') end</t>
  </si>
  <si>
    <t>xhomelocn</t>
  </si>
  <si>
    <t>(Country) [XHOMELOCUC]</t>
  </si>
  <si>
    <t>XHOMELOCUC</t>
  </si>
  <si>
    <t>CASE WHEN ISNULL(g.ZRESPSTATUS, '02')='02' OR ISNULL(g.XACTIVITY, '99')='99' THEN 'Not in GO publication population' when isnull(g.XhomeLOCUC,'') in ('','$$$$','NOTK') then 'NA/UNK' else g.XhomeLOCUC end</t>
  </si>
  <si>
    <t>CASE WHEN ISNULL(g.ZRESPSTATUS, '02')='02' OR ISNULL(g.XACTIVITY, '99')='99' THEN 'Not in GO publication population' when  isnull(XhomeLOCUC.label,'') in ('','$$$$','NOTK') then 'NA/UNK' else XhomeLOCUC.label end</t>
  </si>
  <si>
    <t>xhomelocuc</t>
  </si>
  <si>
    <t>[ZBUSAREA]</t>
  </si>
  <si>
    <t>ZBUSAREA</t>
  </si>
  <si>
    <t>CASE WHEN ISNULL(g.ZRESPSTATUS, '02')='02' OR ISNULL(g.XACTIVITY, '99')='99' THEN 'Not in GO publication population' else isnull(g.ZBUSAREA,'NOTK') end</t>
  </si>
  <si>
    <t>CASE WHEN ISNULL(g.ZRESPSTATUS, '02')='02' OR ISNULL(g.XACTIVITY, '99')='99' THEN 'Not in GO publication population' else isnull(ZBUSAREA.label,'Not known') end</t>
  </si>
  <si>
    <t>zbusarea</t>
  </si>
  <si>
    <t>Location of self-employment / own business (Country)</t>
  </si>
  <si>
    <t>[ZBUSCOUNTRY]</t>
  </si>
  <si>
    <t>ZBUSCOUNTRY</t>
  </si>
  <si>
    <t>CASE WHEN ISNULL(g.ZRESPSTATUS, '02')='02' OR ISNULL(g.XACTIVITY, '99')='99' THEN 'Not in GO publication population' else isnull(g.ZBUSCOUNTRY,'NOTK') end</t>
  </si>
  <si>
    <t>CASE WHEN ISNULL(g.ZRESPSTATUS, '02')='02' OR ISNULL(g.XACTIVITY, '99')='99' THEN 'Not in GO publication population' else isnull(zBUSCOUNTRY.label,'Not known') end</t>
  </si>
  <si>
    <t>zbuscountry</t>
  </si>
  <si>
    <t>[ZBUSPCODE]</t>
  </si>
  <si>
    <t>ZBUSPCODE</t>
  </si>
  <si>
    <t>CASE WHEN ISNULL(g.ZRESPSTATUS, '02')='02' OR ISNULL(g.XACTIVITY, '99')='99' THEN 'Not in GO publication population' else isnull(g.ZBUSPCODE,'99999999') end</t>
  </si>
  <si>
    <t>(region) [XBUSLOCGR]</t>
  </si>
  <si>
    <t>XBUSLOCGR</t>
  </si>
  <si>
    <t>CASE WHEN ISNULL(g.ZRESPSTATUS, '02')='02' OR ISNULL(g.XACTIVITY, '99')='99' THEN 'Not in GO publication population' else ISNULL(g.XBUSLOCGR,'NOTK') end</t>
  </si>
  <si>
    <t>CASE WHEN ISNULL(g.ZRESPSTATUS, '02')='02' OR ISNULL(g.XACTIVITY, '99')='99' THEN 'Not in GO publication population' else ISNULL(XBUSLOCGR.label,'Not known') end</t>
  </si>
  <si>
    <t>xbuslocgr</t>
  </si>
  <si>
    <t>(basic level) [XBUSLOCN]</t>
  </si>
  <si>
    <t>XBUSLOCN</t>
  </si>
  <si>
    <t>CASE WHEN ISNULL(g.ZRESPSTATUS, '02')='02' OR ISNULL(g.XACTIVITY, '99')='99' THEN 'Not in GO publication population' else isnull(g.XBUSLOCN,'99') end</t>
  </si>
  <si>
    <t>CASE WHEN ISNULL(g.ZRESPSTATUS, '02')='02' OR ISNULL(g.XACTIVITY, '99')='99' THEN 'Not in GO publication population' else isnull(XBUSLOCN.label,'Not known') end</t>
  </si>
  <si>
    <t>xbuslocn</t>
  </si>
  <si>
    <t xml:space="preserve">(UK unitary authority/ Non-UK country) [XBUSLOCUC] </t>
  </si>
  <si>
    <t>XBUSLOCUC</t>
  </si>
  <si>
    <t>CASE WHEN ISNULL(g.ZRESPSTATUS, '02')='02' OR ISNULL(g.XACTIVITY, '99')='99' THEN 'Not in GO publication population' WHEN g.XBUSLOCN='05' THEN 'Channel Islands' when  isnull(g.XbusLOCUC,'') in ('','$$$$','NOTK') then 'NA/UNK' else g.XbusLOCUC end</t>
  </si>
  <si>
    <t>CASE WHEN ISNULL(g.ZRESPSTATUS, '02')='02'OR ISNULL(g.XACTIVITY, '99')='99' THEN 'Not in GO publication population' WHEN g.XBUSLOCN='05' THEN 'Channel Islands' when  isnull(xbuslocuc.Label,'') in ('','$$$$','NOTK') then 'NA/UNK' else xbuslocuc.Label end</t>
  </si>
  <si>
    <t>xbuslocuc</t>
  </si>
  <si>
    <t>Location of Study</t>
  </si>
  <si>
    <t>F_LOCSDY</t>
  </si>
  <si>
    <t>s.F_LOCSDY</t>
  </si>
  <si>
    <t xml:space="preserve">isnull((select top 1 DW_CurrentLabel From Student.C051_Meta_Data f with(nolock) where s.F_LOCSDY =F.Entry AND fieldname = 'LOCSDY' order by dw_fromdate desc),'Unknown') </t>
  </si>
  <si>
    <t>Location of study</t>
  </si>
  <si>
    <t>(Region) [XSTULOCGR]</t>
  </si>
  <si>
    <t>XSTULOCGR</t>
  </si>
  <si>
    <t>CASE WHEN ISNULL(g.ZRESPSTATUS, '02')='02' OR ISNULL(g.XACTIVITY, '99')='99' THEN 'Not in GO publication population' else ISNULL(g.XSTULOCGR,'NOTK') end</t>
  </si>
  <si>
    <t>CASE WHEN ISNULL(g.ZRESPSTATUS, '02')='02' OR ISNULL(g.XACTIVITY, '99')='99' THEN 'Not in GO publication population' else ISNULL(XSTULOCGR.label,'Not known') end</t>
  </si>
  <si>
    <t>xstulocgr</t>
  </si>
  <si>
    <t>(Basic level) [XSTULOCN]</t>
  </si>
  <si>
    <t>XSTULOCN</t>
  </si>
  <si>
    <t>CASE WHEN ISNULL(g.ZRESPSTATUS, '02')='02' OR ISNULL(g.XACTIVITY, '99')='99' THEN 'Not in GO publication population' else isnull(g.XSTULOCN,'99') end</t>
  </si>
  <si>
    <t>CASE WHEN ISNULL(g.ZRESPSTATUS, '02')='02' OR ISNULL(g.XACTIVITY, '99')='99' THEN 'Not in GO publication population' else isnull(XSTULOCN.label,'Not known') end</t>
  </si>
  <si>
    <t>xstulocn</t>
  </si>
  <si>
    <t>(Country) [XSTULOCUC]</t>
  </si>
  <si>
    <t>XSTULOCUC</t>
  </si>
  <si>
    <t>CASE WHEN ISNULL(g.ZRESPSTATUS, '02')='02' OR ISNULL(g.XACTIVITY, '99')='99' THEN 'Not in GO publication population' when  isnull(g.XSTULOCUC,'') in ('','$$$$','NOTK') then 'NA/UNK' else g.XSTULOCUC end</t>
  </si>
  <si>
    <t>CASE WHEN ISNULL(g.ZRESPSTATUS, '02')='02' OR ISNULL(g.XACTIVITY, '99')='99' THEN 'Not in GO publication population' when  isnull(XSTULOCUC.label,'') in ('','$$$$','NOTK') then 'NA/UNK' else XSTULOCUC.label end</t>
  </si>
  <si>
    <t>xstulocuc</t>
  </si>
  <si>
    <t>Location of work⁽¹⁾</t>
  </si>
  <si>
    <t>(Region) [XWRKLOCGR]</t>
  </si>
  <si>
    <t>F_XWRKLOCGR</t>
  </si>
  <si>
    <t>CASE WHEN ISNULL(g.ZRESPSTATUS, '02')='02'  OR ISNULL(g.XACTIVITY, '99')='99' THEN 'Not in GO publication population'  ELSE isnull(g.XWRKLOCGR,'NA') END</t>
  </si>
  <si>
    <t>CASE WHEN ISNULL(g.ZRESPSTATUS, '02')='02'  OR ISNULL(g.XACTIVITY, '99')='99' THEN 'Not in GO publication population'  ELSE isnull(xwrklocgr.label,'Not applicable') END</t>
  </si>
  <si>
    <t>xwrklocgr</t>
  </si>
  <si>
    <t>(Basic) [XWRKLOCN]</t>
  </si>
  <si>
    <t>F_XWRKLOCN</t>
  </si>
  <si>
    <t>CASE WHEN ISNULL(g.ZRESPSTATUS, '02')='02' OR ISNULL(g.XACTIVITY, '99')='99' THEN 'Not in GO publication population' else isnull(g.XWRKLOCN,'NA') end</t>
  </si>
  <si>
    <t>CASE WHEN ISNULL(g.ZRESPSTATUS, '02')='02' OR ISNULL(g.XACTIVITY, '99')='99' THEN 'Not in GO publication population' else isnull(XWRKLOCN.label,'NA') end</t>
  </si>
  <si>
    <t>xwrklocn</t>
  </si>
  <si>
    <t>(UK unitary authority/ Non-UK country) [XWRKLOCUC]</t>
  </si>
  <si>
    <t>F_XWRKLOCUC</t>
  </si>
  <si>
    <t>CASE WHEN ISNULL(g.ZRESPSTATUS, '02')='02'          OR ISNULL(g.XACTIVITY, '99')='99' THEN 'Not in GO publication population' WHEN g.XWRKLOCUC IN ('JE', 'GG', 'XL') THEN 'Channel Islands'       when isnull(g.XWRKLOCUC,'') in ('','$$$$','NOTK') then 'NA/UNK' else g.XWRKLOCUC END</t>
  </si>
  <si>
    <t xml:space="preserve">CASE WHEN ISNULL(g.ZRESPSTATUS, '02')='02'          OR ISNULL(g.XACTIVITY, '99')='99' THEN 'Not in GO publication population' WHEN g.XWRKLOCUC IN ('JE', 'GG', 'XL') THEN 'Channel Islands'       when isnull(XWRKLOCUC.label,'') in ('','$$$$','NOTK') then 'NA/UNK' else XWRKLOCUC.label END </t>
  </si>
  <si>
    <t>xwrklocuc</t>
  </si>
  <si>
    <t>(POLAR4 Quintiles)</t>
  </si>
  <si>
    <t>F_QUINTILE</t>
  </si>
  <si>
    <t>CASE WHEN p4.F_QUINTILE='.' OR p4.F_QUINTILE IS NULL OR p4.F_QUINTILE='R' THEN 'Unknown/Not applicable' ELSE p4.F_QUINTILE END</t>
  </si>
  <si>
    <t>p4</t>
  </si>
  <si>
    <t>(POLAR3 Quintiles)</t>
  </si>
  <si>
    <t>F_QYPR</t>
  </si>
  <si>
    <t>ISNULL(p3.F_QYPR,'.')</t>
  </si>
  <si>
    <t>case when p3.F_QYPR ='.' or p3.F_QYPR is null then 'Unknown/Not applicable' else  p3.F_QYPR end</t>
  </si>
  <si>
    <t>p3</t>
  </si>
  <si>
    <t>(POLAR3)</t>
  </si>
  <si>
    <t>F_ZPOLAR3</t>
  </si>
  <si>
    <t>isnull(p3.F_POLAR3,'U')</t>
  </si>
  <si>
    <t>isnull(ZPOLAR3.dw_currentlabel,'Unknown')</t>
  </si>
  <si>
    <t>polar3</t>
  </si>
  <si>
    <t>(POLAR4)</t>
  </si>
  <si>
    <t>F_ZPOLAR4</t>
  </si>
  <si>
    <t>isnull(p4.F_POLAR4,'U')</t>
  </si>
  <si>
    <t>isnull(ZPOLAR4.dw_currentlabel,'Unknown neighbourhood (POLAR4)')</t>
  </si>
  <si>
    <t>polar4</t>
  </si>
  <si>
    <t>Main activity</t>
  </si>
  <si>
    <t>[MIMPACT]</t>
  </si>
  <si>
    <t>MIMPACT</t>
  </si>
  <si>
    <t>CASE WHEN ISNULL(g.ZRESPSTATUS, '02')='02' OR ISNULL(g.XACTIVITY, '99')='99' THEN 'Not in GO publication population' else g.MIMPACT end</t>
  </si>
  <si>
    <t>CASE WHEN ISNULL(g.ZRESPSTATUS, '02')='02' OR ISNULL(g.XACTIVITY, '99')='99' THEN 'Not in GO publication population' else MIMPACT.label end</t>
  </si>
  <si>
    <t>mimpact</t>
  </si>
  <si>
    <t>Main reason for research degree</t>
  </si>
  <si>
    <t>[MRSCHDEG] -opt in question</t>
  </si>
  <si>
    <t>Main reason for taking job</t>
  </si>
  <si>
    <t>F_XWRKJOBRSN</t>
  </si>
  <si>
    <t>CASE WHEN ISNULL(g.ZRESPSTATUS, '02')='02' OR ISNULL(g.XACTIVITY, '99')='99' THEN 'Not in GO publication population' WHEN ISNULL(g.XWRKJOBRSN, 'NA') IN ('NA', 'NR') THEN 'NA' else isnull(g.XWRKJOBRSN,'NA') end</t>
  </si>
  <si>
    <t>CASE WHEN ISNULL(g.ZRESPSTATUS, '02')='02' OR ISNULL(g.XACTIVITY, '99')='99' THEN 'Not in GO publication population' WHEN ISNULL(g.XWRKJOBRSN, 'NA') IN ('NA', 'NR') THEN 'Not applicable' else isnull(WRKJOBRSN.label,'Not applicable') end</t>
  </si>
  <si>
    <t>wrkjobrsn</t>
  </si>
  <si>
    <t>Main reason for taking the job</t>
  </si>
  <si>
    <t>[JOBRSNMAIN]</t>
  </si>
  <si>
    <t>JOBRSNMAIN</t>
  </si>
  <si>
    <t>CASE WHEN ISNULL(g.ZRESPSTATUS, '02')='02' OR ISNULL(g.XACTIVITY, '99')='99' THEN 'Not in GO publication population' else ISNULL(NULLIF(g.JOBRSNMAIN,''),'UN') end</t>
  </si>
  <si>
    <t>CASE WHEN ISNULL(g.ZRESPSTATUS, '02')='02' OR ISNULL(g.XACTIVITY, '99')='99' THEN 'Not in GO publication population' else ISNULL(NULLIF(JOBRSNMAIN.label,''),'Unknown') end</t>
  </si>
  <si>
    <t>jobrsnmain</t>
  </si>
  <si>
    <t>Major source of funding</t>
  </si>
  <si>
    <t>F_MSFUND</t>
  </si>
  <si>
    <t>s.F_MSFUND</t>
  </si>
  <si>
    <t>ISNULL((SELECT top 1 DW_CurrentLabel From Student.C051_Meta_Data f with(nolock) where s.F_MSFUND =F.Entry and fieldname = 'MSFUND' order by dw_fromdate desc),'Unknown')</t>
  </si>
  <si>
    <t>F_XMSFUND01</t>
  </si>
  <si>
    <t>iif(s.F_XMSFUND01,'-3','99')</t>
  </si>
  <si>
    <t>isnull((SELECT top 1 DW_CurrentLabel From Student.C051_Meta_Data f with(nolock) where s.f_xmsfund01 =F.Entry and fieldname = 'XMSFUND01' order by dw_fromdate desc),'Other/not known')</t>
  </si>
  <si>
    <t>Major source of tuition fees</t>
  </si>
  <si>
    <t>F_MSTUFEE</t>
  </si>
  <si>
    <t>ISNULL(IIF(s.F_MSTUFEE='', '99', s.F_MSTUFEE),'99')</t>
  </si>
  <si>
    <t>ISNULL((SELECT top 1 DW_CurrentLabel From Student.C051_Meta_Data f with(nolock) where s.F_MSTUFEE =F.Entry and fieldname = 'MSTUFEE' order by dw_fromdate desc),'Not known')</t>
  </si>
  <si>
    <t>(grouped)</t>
  </si>
  <si>
    <t>F_XMSTUFEE01</t>
  </si>
  <si>
    <t>s.F_XMSTUFEE01</t>
  </si>
  <si>
    <t>(SELECT top 1 DW_CurrentLabel From Student.C051_Meta_Data f with(nolock) where s.f_xmstufee01 =F.Entry and fieldname = 'XMSTUFEE01' order by dw_fromdate desc)</t>
  </si>
  <si>
    <t>Mission Groups</t>
  </si>
  <si>
    <t>(including 1994 group)</t>
  </si>
  <si>
    <t>MISSION_GROUP</t>
  </si>
  <si>
    <t>Some providers appear in multiple categories, customer needs to confirm requirements</t>
  </si>
  <si>
    <t>Partial - individual markers per group</t>
  </si>
  <si>
    <t>Mission Groups marker</t>
  </si>
  <si>
    <t>(Russell group/Other pre-92/Post-92)</t>
  </si>
  <si>
    <t>MISSION_GRP_MKR</t>
  </si>
  <si>
    <t>Mobility count</t>
  </si>
  <si>
    <t>MobilityCount</t>
  </si>
  <si>
    <t>ISNULL(m.DW_MobilityCount,0)</t>
  </si>
  <si>
    <t>m</t>
  </si>
  <si>
    <t>Mobility duration</t>
  </si>
  <si>
    <t>F_MOBDURA</t>
  </si>
  <si>
    <t>m.f_mobdura</t>
  </si>
  <si>
    <t>Mobility identifier</t>
  </si>
  <si>
    <t>(Mobility key)</t>
  </si>
  <si>
    <t>F_MOBKEY</t>
  </si>
  <si>
    <t>m.SK_C051_Mobility</t>
  </si>
  <si>
    <t>Mobility location</t>
  </si>
  <si>
    <t>F_MOBLOCA</t>
  </si>
  <si>
    <t>m.F_MOBLOCA</t>
  </si>
  <si>
    <t>(SELECT top 1 DW_CurrentLabel From Student.C051_Meta_Data f with(nolock) where m.F_MOBLOCA =F.Entry and fieldname = 'MOBLOCA' order by dw_fromdate desc)</t>
  </si>
  <si>
    <t>Mobility scheme</t>
  </si>
  <si>
    <t>F_MOBSCHEME</t>
  </si>
  <si>
    <t>m.F_MOBSCHEME</t>
  </si>
  <si>
    <t>Mobility type 1</t>
  </si>
  <si>
    <t>F_MOBTYPE1</t>
  </si>
  <si>
    <t xml:space="preserve">m.F_MOBTYPE1 </t>
  </si>
  <si>
    <t xml:space="preserve">(SELECT top 1 DW_CurrentLabel From Student.C051_Meta_Data f with(nolock) where m.F_MOBTYPE1 =F.Entry and fieldname = 'MOBTYPE1' order by dw_fromdate desc) </t>
  </si>
  <si>
    <t>Mobility type 2</t>
  </si>
  <si>
    <t>F_MOBTYPE2</t>
  </si>
  <si>
    <t>isnull(cast(m.F_MOBTYPE2 as varchar),'Unknown')</t>
  </si>
  <si>
    <t>isnull((SELECT top 1 DW_CurrentLabel From Student.C051_Meta_Data f with(nolock) where m.F_MOBTYPE2 =F.Entry and fieldname = 'MOBTYPE2' order by dw_fromdate desc),'Unknown')</t>
  </si>
  <si>
    <t>Mobility type 3</t>
  </si>
  <si>
    <t>F_MOBTYPE3</t>
  </si>
  <si>
    <t>isnull(cast(m.F_MOBTYPE3 as varchar),'Unknown')</t>
  </si>
  <si>
    <t>isnull((SELECT top 1 DW_CurrentLabel From Student.C051_Meta_Data f with(nolock) where m.F_MOBTYPE3 =F.Entry and fieldname = 'MOBTYPE3' order by dw_fromdate desc),'Unknown'</t>
  </si>
  <si>
    <t>Mode of employment</t>
  </si>
  <si>
    <t>F_MOEMP</t>
  </si>
  <si>
    <t>CAST(C.F_MOEMP AS VARCHAR(1))</t>
  </si>
  <si>
    <t xml:space="preserve">(select top 1 DW_CurrentLabel From staff.C025_Meta_Data as f with(nolock) where c.f_MOEMP =F.Entry AND fieldname = 'MOEMP' order by dw_fromdate desc) </t>
  </si>
  <si>
    <t>(Full-time/ Part-time)</t>
  </si>
  <si>
    <t>F_XMOEMP01</t>
  </si>
  <si>
    <t>CASE WHEN cc.DW_FromDate &gt;= 20100801 THEN CAST(C.F_XMOEMP01 AS VARCHAR(1)) WHEN c.F_MOEMP IS NULL THEN '0' WHEN c.F_MOEMP IN ('1', '2') THEN '1' WHEN c.F_MOEMP IN ('3', '4', '5') THEN '2' WHEN c.F_MOEMP = '6' THEN '3' ELSE c.F_MOEMP END</t>
  </si>
  <si>
    <t>CASE WHEN cc.DW_FromDate &gt;= 20100801 and c.F_XMOEMP01 in ('01', '1') then 'Full-time' WHEN cc.DW_FromDate &gt;= 20100801 and c.F_XMOEMP01 in ('02', '2') then 'Part-time' WHEN cc.DW_FromDate &gt;= 20100801 and c.F_XMOEMP01 in ('03', '3') then 'Dormant' WHEN c.F_MOEMP IS NULL THEN 'Unknown' WHEN c.F_MOEMP IN ('1', '2') THEN 'Full-time' WHEN c.F_MOEMP IN ('3', '4', '5') THEN 'Part-time' WHEN c.F_MOEMP = '6' THEN 'Dormant' ELSE c.F_MOEMP END</t>
  </si>
  <si>
    <t>Mode of further study</t>
  </si>
  <si>
    <t>Mode of qualification</t>
  </si>
  <si>
    <t>F_XQMODE01</t>
  </si>
  <si>
    <t>CAST(s.F_XQMODE01 AS VARCHAR(1))</t>
  </si>
  <si>
    <t>(select top 1 DW_CurrentLabel From Student.C051_Meta_Data f with(nolock) where s.f_xqmode01 =F.Entry AND fieldname = 'XQMODE01' order by dw_fromdate desc)</t>
  </si>
  <si>
    <t>Mode of study</t>
  </si>
  <si>
    <t>F_MODE</t>
  </si>
  <si>
    <t xml:space="preserve">CAST(s.F_mode AS VARCHAR(2)) </t>
  </si>
  <si>
    <t>(select top 1 DW_CurrentLabel From Student.C051_Meta_Data f with(nolock) where s.f_mode =F.Entry AND fieldname = 'mode' order by dw_fromdate desc)</t>
  </si>
  <si>
    <t>(Full-time/ Sandwich)</t>
  </si>
  <si>
    <t>F_XMODE01</t>
  </si>
  <si>
    <t xml:space="preserve">CAST(s.F_XMODE01 AS VARCHAR(1)) </t>
  </si>
  <si>
    <t>(select top 1 DW_CurrentLabel From Student.C051_Meta_Data f with(nolock) where s.f_xmode01 =F.Entry AND fieldname = 'XMODE01' order by dw_fromdate desc)</t>
  </si>
  <si>
    <t>(Full-time/ Sandwich/ Part-time)</t>
  </si>
  <si>
    <t>(Full-time/ Sandwich/ Part-time/ Writing-up/ Sabbatical)</t>
  </si>
  <si>
    <t>F_XMODE301</t>
  </si>
  <si>
    <t>CAST(s.F_XMODE301 AS VARCHAR(1))</t>
  </si>
  <si>
    <t>(select top 1 DW_CurrentLabel From Student.C051_Meta_Data f with(nolock) where s.f_xmode301 =F.Entry AND fieldname = 'XMODE301' order by dw_fromdate desc)</t>
  </si>
  <si>
    <t>(Full-time/ Part-time/ Other)</t>
  </si>
  <si>
    <t>Partial - no other category</t>
  </si>
  <si>
    <t xml:space="preserve">CAST(s.F_XMODE301 AS VARCHAR(1)) </t>
  </si>
  <si>
    <t>F_XSTUINTENSITY</t>
  </si>
  <si>
    <t>Provider &gt; Graduate &gt; Study:</t>
  </si>
  <si>
    <t>CASE WHEN ISNULL(g.ZRESPSTATUS, '02')='02' OR ISNULL(g.XACTIVITY, '99')='99' THEN 'Not in GO publication population' else isnull(g.XSTUINTENSITY,'NA/UNK') end</t>
  </si>
  <si>
    <t>CASE WHEN ISNULL(g.ZRESPSTATUS, '02')='02' OR ISNULL(g.XACTIVITY, '99')='99' THEN 'Not in GO publication population' else iif(isnull(g.xstuintensity,'NA')='NA','Not applicable',iif(g.xstuintensity='UN','Unknown',xstuintensity.label)) end</t>
  </si>
  <si>
    <t>xstuintensity</t>
  </si>
  <si>
    <t xml:space="preserve">Module identifier </t>
  </si>
  <si>
    <t>(MODID)</t>
  </si>
  <si>
    <t>mod.f_modid</t>
  </si>
  <si>
    <t xml:space="preserve">Module title </t>
  </si>
  <si>
    <t>(MTITLE)</t>
  </si>
  <si>
    <t>F_MTITLE</t>
  </si>
  <si>
    <t>mod.f_mtitle</t>
  </si>
  <si>
    <t>varchar(80)</t>
  </si>
  <si>
    <t>Months worked</t>
  </si>
  <si>
    <t>[EMPMONTH]</t>
  </si>
  <si>
    <t>EMPMONTH</t>
  </si>
  <si>
    <t>(4 digit) [XM2007SIC]</t>
  </si>
  <si>
    <t>XM2007SIC</t>
  </si>
  <si>
    <t>CASE WHEN ISNULL(g.ZRESPSTATUS, '02')='02' OR ISNULL(g.XACTIVITY, '99')='99' THEN 'Not in GO publication population' WHEN g.DW_FromDate=20170801  AND ISNULL(g.XM2007SIC, '-1') IN ('$$$$', '9999', '____', '-1') THEN 'NA/UNK' WHEN g.DW_FromDate=20170801 THEN ISNULL(g.XM2007SIC, 'NA/UNK')   WHEN s.DW_FromDate&gt;=20180801         AND ISNULL(k.XM2007SIC, '-1') IN ('$$$$', '9999', '____', '-1') THEN 'NA/UNK' WHEN s.DW_FromDate&gt;=20180801 THEN ISNULL(k.XM2007SIC, 'NA/UNK')ELSE 'ERROR' END</t>
  </si>
  <si>
    <t>CASE WHEN ISNULL(g.ZRESPSTATUS, '02')='02' OR ISNULL(g.XACTIVITY, '99')='99' THEN 'Not in GO publication population' WHEN g.DW_FromDate=20170801  AND ISNULL(g.XM2007SIC, '-1') IN ('$$$$', '9999', '____', '-1') THEN 'NA/UNK' WHEN g.DW_FromDate=20170801 THEN ISNULL(XM2007SIC.label, 'NA/UNK')   WHEN s.DW_FromDate&gt;=20180801         AND ISNULL(k.XM2007SIC, '-1') IN ('$$$$', '9999', '____', '-1') THEN 'NA/UNK' WHEN s.DW_FromDate&gt;=20180801 THEN ISNULL(XM2007SIC.label, 'NA/UNK')ELSE 'ERROR' END</t>
  </si>
  <si>
    <t>(1 digit) [XM2007SIC1]</t>
  </si>
  <si>
    <t>XM2007SIC1</t>
  </si>
  <si>
    <t>CASE WHEN ISNULL(g.ZRESPSTATUS, '02')='02'   OR ISNULL(g.XACTIVITY, '99')='99' THEN 'Not in GO publication population' WHEN g.DW_FromDate=20170801  AND ISNULL(g.XM2007SIC1, '-1') IN ('$', '9', '_', '-1') THEN 'V' WHEN g.DW_FromDate=20170801 THEN ISNULL(g.XM2007SIC1, 'NA/UNK')   WHEN s.DW_FromDate&gt;=20180801         AND ISNULL(k.XM2007SIC1, '-1') IN ('$', '9', '_', '-1') THEN 'V' WHEN s.DW_FromDate&gt;=20180801 THEN ISNULL(k.XM2007SIC1, 'NA/UNK')ELSE 'ERROR' END</t>
  </si>
  <si>
    <t>CASE WHEN ISNULL(g.ZRESPSTATUS, '02')='02'   OR ISNULL(g.XACTIVITY, '99')='99' THEN 'Not in GO publication population' WHEN s.DW_FromDate=20170801  AND ISNULL(g.XM2007SIC1, '-1') IN ('$', '9', '_', '-1') THEN 'Not known' WHEN s.DW_FromDate=20170801 THEN ISNULL(XM2007SIC1.label, 'NA/UNK')   WHEN s.DW_FromDate&gt;=20180801         AND ISNULL(k.XM2007SIC1, '-1') IN ('$', '9', '_', '-1') THEN 'Not known' WHEN s.DW_FromDate&gt;=20180801 THEN ISNULL(XM2007SIC1.label, 'NA/UNK')ELSE 'ERROR' END</t>
  </si>
  <si>
    <t>(2 digit) [XM2007SIC2]</t>
  </si>
  <si>
    <t>XM2007SIC2</t>
  </si>
  <si>
    <t>CASE WHEN ISNULL(g.ZRESPSTATUS, '02')='02' OR ISNULL(g.XACTIVITY, '99')='99' THEN 'Not in GO publication population' WHEN g.DW_FromDate=20170801  AND ISNULL(g.XM2007SIC2, '-1') IN ('$$', '9', '__', '-1') THEN 'NA/UNK' WHEN g.DW_FromDate=20170801 THEN ISNULL(g.XM2007SIC2, 'NA/UNK')   WHEN s.DW_FromDate&gt;=20180801         AND ISNULL(k.XM2007SIC2, '-1') IN ('$$', '9', '__', '-1') THEN 'NA/UNK' WHEN s.DW_FromDate&gt;=20180801 THEN ISNULL(k.XM2007SIC2, 'NA/UNK')ELSE 'ERROR' END</t>
  </si>
  <si>
    <t>CASE WHEN ISNULL(g.ZRESPSTATUS, '02')='02' OR ISNULL(g.XACTIVITY, '99')='99' THEN 'Not in GO publication population' WHEN g.DW_FromDate=20170801  AND ISNULL(g.XM2007SIC2, '-1') IN ('$$', '9', '__', '-1') THEN 'NA/UNK' WHEN g.DW_FromDate=20170801 THEN ISNULL(XM2007SIC2.label, 'NA/UNK')   WHEN s.DW_FromDate&gt;=20180801         AND ISNULL(k.XM2007SIC2, '-1') IN ('$$', '9', '__', '-1') THEN 'NA/UNK' WHEN s.DW_FromDate&gt;=20180801 THEN ISNULL(XM2007SIC2.label, 'NA/UNK')ELSE 'ERROR' END</t>
  </si>
  <si>
    <t>(5 Digit) [XM2010SOC]</t>
  </si>
  <si>
    <t>XM2010SOC</t>
  </si>
  <si>
    <t>CASE WHEN ISNULL(g.ZRESPSTATUS, '02')='02' OR ISNULL(g.XACTIVITY, '99')='99' THEN 'Not in GO publication population'  WHEN g.DW_FromDate &gt;= 20180801 THEN 'Not applicable 2018/19 onwards' WHEN g.XM2010SOC IN ('00010','$$$$$','-3') THEN 'NA/UNK' else ISNULL(g.XM2010SOC,'NA/UNK') end</t>
  </si>
  <si>
    <t>CASE WHEN ISNULL(g.ZRESPSTATUS, '02')='02' OR ISNULL(g.XACTIVITY, '99')='99' THEN 'Not in GO publication population' WHEN g.DW_FromDate &gt;= 20180801 THEN 'Not applicable 2018/19 onwards' WHEN g.XM2010SOC IN ('00010','$$$$$','-3') THEN 'Unknown/ not applicable' else ISNULL(XM2010SOC.label,'Unknown/ not applicable') end</t>
  </si>
  <si>
    <t>(major grouping) [XM2010SOC1]</t>
  </si>
  <si>
    <t>XM2010SOC1</t>
  </si>
  <si>
    <t>CASE WHEN ISNULL(g.ZRESPSTATUS, '02')='02' OR ISNULL(g.XACTIVITY, '99')='99' THEN 'Not in GO publication population' WHEN g.DW_FromDate &gt;= 20180801 THEN 'Not applicable 2018/19 onwards' WHEN g.XM2010SOC1 = '-3' THEN 'X ' else g.XM2010SOC1 end</t>
  </si>
  <si>
    <t>CASE WHEN ISNULL(g.ZRESPSTATUS, '02')='02' OR ISNULL(g.XACTIVITY, '99')='99' THEN 'Not in GO publication population' WHEN g.DW_FromDate &gt;= 20180801 THEN 'Not applicable 2018/19 onwards' WHEN g.XM2010SOC1 = '-3' THEN 'Not known/Not applicable' else XM2010SOC1.label end</t>
  </si>
  <si>
    <t>(minor grouping) [XM2010SOC3]</t>
  </si>
  <si>
    <t>XM2010SOC3</t>
  </si>
  <si>
    <t>CASE WHEN ISNULL(g.ZRESPSTATUS, '02')='02' OR ISNULL(g.XACTIVITY, '99')='99' THEN 'Not in GO publication population'  WHEN g.DW_FromDate &gt;= 20180801 THEN 'Not applicable 2018/19 onwards' WHEN g.XM2010SOC3 IN ('$$$','___','-3') THEN 'NA/UNK' else ISNULL(g.XM2010SOC3,'NA/UNK') end</t>
  </si>
  <si>
    <t>CASE WHEN ISNULL(g.ZRESPSTATUS, '02')='02' OR ISNULL(g.XACTIVITY, '99')='99' THEN 'Not in GO publication population'  WHEN g.DW_FromDate &gt;= 20180801 THEN 'Not applicable 2018/19 onwards' WHEN g.XM2010SOC3 IN ('$$$','___','-3') THEN 'Unknown/ not applicable' else ISNULL(XM2010SOC3.label,'Unknown/ not applicable') end</t>
  </si>
  <si>
    <t>Most Important - Standard Occupational Classification (SOC) 2020⁽¹⁾</t>
  </si>
  <si>
    <t>(4 Digit) [XM2020SOC]</t>
  </si>
  <si>
    <t>F_XM2020SOC</t>
  </si>
  <si>
    <t xml:space="preserve">CASE WHEN ISNULL(g.ZRESPSTATUS, '02')='02'   OR ISNULL(g.XACTIVITY, '99')='99' THEN 'Not in GO publication population'   WHEN ISNULL(k.Xm2020SOC, '$') IN ('$', '_','$$','__','$$$$','____','0001') THEN 'NA/UNK'   ELSE ISNULL(k.Xm2020SOC, 'NA/UNK')END </t>
  </si>
  <si>
    <t xml:space="preserve">CASE WHEN ISNULL(g.ZRESPSTATUS, '02')='02'   OR ISNULL(g.XACTIVITY, '99')='99' THEN 'Not in GO publication population'   WHEN ISNULL(k.Xm2020SOC, '$') IN ('$', '_','$$','__','$$$$','____','0001') THEN 'NA/UNK'   ELSE ISNULL(Xm2020SOC.label, 'NA/UNK')END </t>
  </si>
  <si>
    <t>XM2020SOC</t>
  </si>
  <si>
    <t>(major grouping) [XM2020SOC1]</t>
  </si>
  <si>
    <t>F_XM2020SOC1</t>
  </si>
  <si>
    <t xml:space="preserve">CASE WHEN ISNULL(g.ZRESPSTATUS, '02')='02'   OR ISNULL(g.XACTIVITY, '99')='99' THEN 'Not in GO publication population'  WHEN ISNULL(k.Xm2020SOC1, '$') IN ('$', '_','$$','__','X') THEN 'NA/UNK'  ELSE ISNULL(k.Xm2020SOC1, 'NA/UNK')END </t>
  </si>
  <si>
    <t xml:space="preserve">CASE WHEN ISNULL(g.ZRESPSTATUS, '02')='02'   OR ISNULL(g.XACTIVITY, '99')='99' THEN 'Not in GO publication population'  WHEN ISNULL(k.Xm2020SOC1, '$') IN ('$', '_','$$','__','X') THEN 'NA/UNK'  ELSE ISNULL(Xm2020SOC1.label, 'NA/UNK')END </t>
  </si>
  <si>
    <t>XM2020SOC1</t>
  </si>
  <si>
    <t>(minor grouping) [XM2020SOC3]</t>
  </si>
  <si>
    <t>F_XM2020SOC3</t>
  </si>
  <si>
    <t xml:space="preserve">CASE WHEN ISNULL(g.ZRESPSTATUS, '02')='02'   OR ISNULL(g.XACTIVITY, '99')='99' THEN 'Not in GO publication population'   WHEN ISNULL(k.Xm2020SOC3, '$') IN ('$', '_','$$','__','$$$','___') THEN 'NA/UNK'   ELSE ISNULL(k.Xm2020SOC3, 'NA/UNK')END </t>
  </si>
  <si>
    <t xml:space="preserve">CASE WHEN ISNULL(g.ZRESPSTATUS, '02')='02'   OR ISNULL(g.XACTIVITY, '99')='99' THEN 'Not in GO publication population'   WHEN ISNULL(k.Xm2020SOC3, '$') IN ('$', '_','$$','__','$$$','___') THEN 'NA/UNK'   ELSE ISNULL(Xm2020SOC3.label, 'NA/UNK')END </t>
  </si>
  <si>
    <t>XM2020SOC3</t>
  </si>
  <si>
    <t>Most important activity</t>
  </si>
  <si>
    <t>Multiple jobs</t>
  </si>
  <si>
    <t>[MULTIJOB]</t>
  </si>
  <si>
    <t>MULTIJOB</t>
  </si>
  <si>
    <t>CASE WHEN ISNULL(g.ZRESPSTATUS, '02')='02' OR ISNULL(g.XACTIVITY, '99')='99' THEN 'Not in GO publication population' else IIF(isnull(g.MULTIJOB,'')='','N/A',g.MULTIJOB) end</t>
  </si>
  <si>
    <t>CASE WHEN ISNULL(g.ZRESPSTATUS, '02')='02' OR ISNULL(g.XACTIVITY, '99')='99' THEN 'Not in GO publication population' else IIF(isnull(g.MULTIJOB,'')='','N/A',MULTIJOB.label) end</t>
  </si>
  <si>
    <t>Nationality</t>
  </si>
  <si>
    <t>F_NATION</t>
  </si>
  <si>
    <t>CASE WHEN ISNULL(s.f_nation,'ZZ') IN ('',' ','  ') THEN 'ZZ'   ELSE ISNULL(s.f_nation,'ZZ') END</t>
  </si>
  <si>
    <t xml:space="preserve">CASE WHEN ISNULL(s.f_nation,'ZZ') IN ('',' ','  ') THEN 'Not Known'   ELSE nat.dw_currentlabel END </t>
  </si>
  <si>
    <t>nat</t>
  </si>
  <si>
    <t>(UK (including Guernsey, Jersey and the Isle of Man)/ EU/ Other EEA/ Other Non-EU/ Not known)</t>
  </si>
  <si>
    <t>F_XSNAT01</t>
  </si>
  <si>
    <t>CASE WHEN cc.DW_FromDate &lt;= 20040801 AND p.F_XSNAT01 IN ('2', '3') THEN '2' ELSE p.F_XSNAT01 END</t>
  </si>
  <si>
    <t>CASE WHEN cc.DW_FromDate &lt;= 20040801 AND p.F_XSNAT01 IN ('2', '3') THEN 'European Union countries' ELSE XSNAT01.label END</t>
  </si>
  <si>
    <t>xsnat01</t>
  </si>
  <si>
    <t>Nationality (Staff)</t>
  </si>
  <si>
    <t>p.f_nation</t>
  </si>
  <si>
    <t xml:space="preserve">(select top 1 DW_CurrentLabel From staff.C025_Meta_Data as f with(nolock) where p.f_nation =F.Entry AND fieldname = 'nation' order by dw_fromdate desc) </t>
  </si>
  <si>
    <t>(UK/ EU/ Non-EU/ Unknown)</t>
  </si>
  <si>
    <t>case when P.F_XSNAT01 in ('5','4') then 'Non-EU' else cast(P.F_XSNAT01 AS VARCHAR) end</t>
  </si>
  <si>
    <t>case when P.F_XSNAT01 in ('5','4') then 'Non-EU' else XSNAT01.dw_currentlabel end</t>
  </si>
  <si>
    <t>F_XNATGR01</t>
  </si>
  <si>
    <t>IIF(s.F_XNATGR01 IN ('GRGB', 'GREU', 'GRZZ'), s.F_XNATGR01, 'Non-EU')</t>
  </si>
  <si>
    <t>case when s.f_xnatgr01 ='GRGB' then 'UK' when s.f_xnatgr01='GREU' then 'EU' when s.f_xnatgr01 in ('GRAF' ,'GRAS','GRAU','GRME','GRNA','GROE','GRSA') then 'Non-EU' else 'Unknown' end</t>
  </si>
  <si>
    <t>IIF(s.F_XNATGR01 IN ('GRGB', 'GRZZ'), s.F_XNATGR01, 'Other')</t>
  </si>
  <si>
    <t>case when s.f_xnatgr01 ='GRGB' then 'UK' when s.f_xnatgr01 in ('GRZZ') then 'Unknown' else 'Other' end</t>
  </si>
  <si>
    <t>Nature of employers business</t>
  </si>
  <si>
    <t>New contract marker</t>
  </si>
  <si>
    <t>f_zacstar02_per</t>
  </si>
  <si>
    <t>cast(pd.f_zacstar02_per as varchar)</t>
  </si>
  <si>
    <t>pd</t>
  </si>
  <si>
    <t xml:space="preserve">F_XTPOINTS </t>
  </si>
  <si>
    <t>CASE when s.dw_fromdate &lt; 20170801 then 'Not applicable before 2017/18' WHEN s.f_qualent3 in ('P41','P42','P46','P47','P50','P51','P53','P54','P62','P63','P64','P65','P68','P80','P91','P93','P94','X00','X01') THEN  CASE WHEN s.f_xtpoints IN (0) THEN 'Unknown' ELSE cast(s.f_xtpoints as varchar) END ELSE 'Not applicable' END</t>
  </si>
  <si>
    <t>bands (Less than 48/ 48-63/ 64-79/ 80-95/ 96-111/ 112-127/ 128-143/ 144-159/ 160-175/ 176-191/ 192-207/ 208-223/ 224-239/ 240+/ Zero or Unknown/ Not applicable)</t>
  </si>
  <si>
    <t xml:space="preserve">CASE when s.dw_fromdate &lt; 20170801 then 'Not applicable before 2017/18' WHEN s.F_QUALENT3 IN ('P41','P42','P46','P47','P50','P51','P53','P54','P62','P63','P64','P65','P68','P80','P91','P93','P94','X00','X01') THEN CASE WHEN s.F_XTPOINTS = 0 THEN 'Zero or Unknown' WHEN s.F_XTPOINTS BETWEEN 1 AND 47 THEN 'Less than 48' WHEN s.F_XTPOINTS BETWEEN 48 AND 63 THEN '48-63' WHEN s.F_XTPOINTS BETWEEN 64 AND 79 THEN '64-79' WHEN s.F_XTPOINTS BETWEEN 80 AND 95 THEN '80-95' WHEN s.F_XTPOINTS BETWEEN 96 AND 111 THEN '96-111' WHEN s.F_XTPOINTS BETWEEN 112 AND 127 THEN '112-127' WHEN s.F_XTPOINTS BETWEEN 128 AND 143 THEN '128-143' WHEN s.F_XTPOINTS BETWEEN 144 AND 159 THEN '144-159' WHEN s.F_XTPOINTS BETWEEN 160 AND 175 THEN '160-175' WHEN s.F_XTPOINTS BETWEEN 176 AND 191 THEN '176-191' WHEN s.F_XTPOINTS BETWEEN 192 AND 207 THEN '192-207' WHEN s.F_XTPOINTS BETWEEN 208 AND 223 THEN '208-223' WHEN s.F_XTPOINTS BETWEEN 224 AND 239 THEN '224-239' WHEN s.F_XTPOINTS &gt;= 240 THEN '240+ and over' ELSE 'Zero or Unknown' END ELSE 'Not applicable' END </t>
  </si>
  <si>
    <t>varchar(15)</t>
  </si>
  <si>
    <t>(Average - apportioned by FPE)</t>
  </si>
  <si>
    <t>F_XTPOINTS_APP</t>
  </si>
  <si>
    <t>dsj</t>
  </si>
  <si>
    <t>NHS contract</t>
  </si>
  <si>
    <t>F_NHSCON</t>
  </si>
  <si>
    <t>CASE WHEN C.F_NHSCON IN ('',' ') THEN 'na' ELSE ISNULL(CAST(C.F_NHSCON AS VARCHAR(2)),'na') END</t>
  </si>
  <si>
    <t xml:space="preserve">(select top 1 DW_CurrentLabel From staff.C025_Meta_Data as f with(nolock) where c.F_NHSCON =F.Entry AND fieldname = 'NHSCON' order by dw_fromdate desc) </t>
  </si>
  <si>
    <t>NHS contract grade</t>
  </si>
  <si>
    <t>F_NHSCONGR</t>
  </si>
  <si>
    <t>C.F_NHSCONGR</t>
  </si>
  <si>
    <t xml:space="preserve">(select top 1 DW_CurrentLabel From staff.C025_Meta_Data as f with(nolock) where c.f_NHSCONGR =F.Entry AND fieldname = 'NHSCONGR' order by dw_fromdate desc) </t>
  </si>
  <si>
    <t>NHS employer</t>
  </si>
  <si>
    <t>F_NHSEMP</t>
  </si>
  <si>
    <t>ISNULL(i.F_NHSEMP, 'Unknown')</t>
  </si>
  <si>
    <t>i</t>
  </si>
  <si>
    <t>NHS organisation</t>
  </si>
  <si>
    <t>[NHSORG]</t>
  </si>
  <si>
    <t>NHSORG</t>
  </si>
  <si>
    <t>CASE WHEN ISNULL(g.ZRESPSTATUS, '02')='02' OR ISNULL(g.XACTIVITY, '99')='99' THEN 'Not in GO publication population' else IIF(isnull(g.NHSORG,'')='','N/A',g.NHSORG) end</t>
  </si>
  <si>
    <t>CASE WHEN ISNULL(g.ZRESPSTATUS, '02')='02' OR ISNULL(g.XACTIVITY, '99')='99' THEN 'Not in GO publication population' else IIF(isnull(g.NHSORG,'')='','N/A',NHSORG.label) end</t>
  </si>
  <si>
    <t>NIMD deciles</t>
  </si>
  <si>
    <t>NIMD_Decile</t>
  </si>
  <si>
    <t>ISNULL(nimd.IMD_Decile,'N/A')</t>
  </si>
  <si>
    <t>nimd</t>
  </si>
  <si>
    <t>NIMD quintiles</t>
  </si>
  <si>
    <t>NIMD_Quintile</t>
  </si>
  <si>
    <t>case when nimd.IMD_Decile in (1,2) then '1'  when nimd.IMD_Decile in (3,4) then '2' when nimd.IMD_Decile in (5,6) then '3' when nimd.IMD_Decile in (7,8) then '4' when nimd.IMD_Decile in (9,10) then '5' else 'N/A' end</t>
  </si>
  <si>
    <t>Number of employees banding</t>
  </si>
  <si>
    <t>employment [ZNOEMPBAND]</t>
  </si>
  <si>
    <t>ZNOEMPBAND</t>
  </si>
  <si>
    <t>CASE WHEN ISNULL(g.ZRESPSTATUS, '02')='02' OR ISNULL(g.XACTIVITY, '99')='99' THEN 'Not in GO publication population' else IIF(sic1.ZNOEMPBAND='','X',isnull(sic1.ZNOEMPBAND,'X')) end</t>
  </si>
  <si>
    <t>sic1</t>
  </si>
  <si>
    <t>main activity [ZNOEMPBAND]</t>
  </si>
  <si>
    <t>CASE WHEN ISNULL(g.ZRESPSTATUS, '02')='02' OR ISNULL(g.XACTIVITY, '99')='99' THEN 'Not in GO publication population' else IIF(sic3.ZNOEMPBAND='','X',isnull(sic3.ZNOEMPBAND,'X')) end</t>
  </si>
  <si>
    <t>sic3</t>
  </si>
  <si>
    <t>self-employment [ZNOEMPBAND]</t>
  </si>
  <si>
    <t>CASE WHEN ISNULL(g.ZRESPSTATUS, '02')='02' OR ISNULL(g.XACTIVITY, '99')='99' THEN 'Not in GO publication population' else IIF(sic2.ZNOEMPBAND='','X',isnull(sic2.ZNOEMPBAND,'X')) end</t>
  </si>
  <si>
    <t>sic2</t>
  </si>
  <si>
    <t>Other provider providing teaching 1</t>
  </si>
  <si>
    <t>F_ZTINST1</t>
  </si>
  <si>
    <t xml:space="preserve">CASE WHEN d.F_ZTINST1 IN ('',' ') THEN '/' ELSE ISNULL(d.F_ZTINST1,'/') END </t>
  </si>
  <si>
    <t>tinst</t>
  </si>
  <si>
    <t>Other provider providing teaching 2</t>
  </si>
  <si>
    <t>F_ZTINST2</t>
  </si>
  <si>
    <t>CASE WHEN d.F_ZTINST2 IN ('',' ') THEN '/' ELSE ISNULL(d.F_ZTINST2,'/') END</t>
  </si>
  <si>
    <t xml:space="preserve">isnull(tinst2.ukprn_legalname,'Not applicable') </t>
  </si>
  <si>
    <t>Other reasons for research degree</t>
  </si>
  <si>
    <t>(Interested in subject) [OTHRRSCHDEG1] -opt in question</t>
  </si>
  <si>
    <t>(Encouraged to do so by university (including lecturer, tutor)) [OTHRRSCHDEG10] -opt in question</t>
  </si>
  <si>
    <t>(Other) [OTHRRSCHDEG11] -opt in question</t>
  </si>
  <si>
    <t>(Interested in research) [OTHRRSCHDEG2] -opt in question</t>
  </si>
  <si>
    <t>(Wanted to continue being a student/postpone job hunting) [OTHRRSCHDEG3] -opt in question</t>
  </si>
  <si>
    <t>(Awarded funded studentship) [OTHRRSCHDEG4] -opt in question</t>
  </si>
  <si>
    <t>(Encouraged or required to do so by my employer) [OTHRRSCHDEG5] -opt in question</t>
  </si>
  <si>
    <t>(Wanted an academic career) [OTHRRSCHDEG6] -opt in question</t>
  </si>
  <si>
    <t>(It would improve my career prospects) [OTHRRSCHDEG7] -opt in question</t>
  </si>
  <si>
    <t>(Essential to get into area of employment I wanted) [OTHRRSCHDEG8] -opt in question</t>
  </si>
  <si>
    <t>(I wanted to change career) [OTHRRSCHDEG9] -opt in question</t>
  </si>
  <si>
    <t>Paid / volunteer marker</t>
  </si>
  <si>
    <t>F_XMPAIDMARKER</t>
  </si>
  <si>
    <t>CASE WHEN ISNULL(g.ZRESPSTATUS, '02')='02' OR ISNULL(g.XACTIVITY, '99')='99' THEN 'Not in GO publication population' else isnull(g.XMPAIDMARKER,'NA/UNK') end</t>
  </si>
  <si>
    <t>CASE WHEN ISNULL(g.ZRESPSTATUS, '02')='02' OR ISNULL(g.XACTIVITY, '99')='99' THEN 'Not in GO publication population' else isnull(XMPAIDMARKER.label,'NA/UNK') end</t>
  </si>
  <si>
    <t>xmpaidmarker</t>
  </si>
  <si>
    <t>Parental education</t>
  </si>
  <si>
    <t>F_PARED</t>
  </si>
  <si>
    <t>pared</t>
  </si>
  <si>
    <t>Parental leave 1</t>
  </si>
  <si>
    <t>F_PARLEAVE</t>
  </si>
  <si>
    <t>CASE WHEN cc.DW_FromDate &lt;= 20140801 THEN 'Not applicable (2014/15 and prior)' WHEN P.F_PARLEAVE = -1 THEN 'Unknown' ELSE (CAST(P.F_PARLEAVE AS VARCHAR)) END</t>
  </si>
  <si>
    <t>CASE WHEN cc.DW_FromDate &lt;= 20140801 THEN 'Not applicable (2014/15 and prior)' WHEN P.F_PARLEAVE = -1 THEN 'Unknown' ELSE PARLEAVE.dw_currentlabel END</t>
  </si>
  <si>
    <t>PARLEAVE</t>
  </si>
  <si>
    <t>Parental leave 2</t>
  </si>
  <si>
    <t>(2015/16 onwards)</t>
  </si>
  <si>
    <t>F_PARLEAVE2</t>
  </si>
  <si>
    <t>CASE WHEN cc.DW_FromDate &lt;= 20140801 THEN 'Not applicable (2014/15 and prior)' WHEN P.F_PARLEAVE2 = -1 THEN 'Unknown' ELSE (CAST(P.F_PARLEAVE2 AS VARCHAR)) END</t>
  </si>
  <si>
    <t>CASE WHEN cc.DW_FromDate &lt;= 20140801 THEN 'Not applicable (2014/15 and prior)' WHEN P.F_PARLEAVE2 = -1 THEN 'Unknown' ELSE PARLEAVE2.dw_currentlabel END</t>
  </si>
  <si>
    <t>PARLEAVE2</t>
  </si>
  <si>
    <t>Parental leave 3</t>
  </si>
  <si>
    <t>(2016/17 onwards)</t>
  </si>
  <si>
    <t>F_PARLEAVE3</t>
  </si>
  <si>
    <t>CASE WHEN cc.DW_FromDate &lt;= 20140801 THEN 'Not applicable (2014/15 and prior)' WHEN P.F_PARLEAVE3 = -1 THEN 'Unknown' ELSE (CAST(P.F_PARLEAVE3 AS VARCHAR)) END</t>
  </si>
  <si>
    <t>CASE WHEN cc.DW_FromDate &lt;= 20140801 THEN 'Not applicable (2014/15 and prior)' WHEN P.F_PARLEAVE3 = -1 THEN 'Unknown' ELSE PARLEAVE3.dw_currentlabel END</t>
  </si>
  <si>
    <t>PARLEAVE3</t>
  </si>
  <si>
    <t>(4 digit JACS 3.0)</t>
  </si>
  <si>
    <t>(Principal subject JACS 3.0)</t>
  </si>
  <si>
    <t>(Subject area JACS 3.0)</t>
  </si>
  <si>
    <t>PHD submission date</t>
  </si>
  <si>
    <t>(MM/YYYY)</t>
  </si>
  <si>
    <t>ISNULL(SUBSTRING(CONVERT(VARCHAR(11),i.F_PHDSUB,101),1,3)+SUBSTRING(CONVERT(VARCHAR(11),i.F_PHDSUB,101),7,10), '12/9999')</t>
  </si>
  <si>
    <t>pi</t>
  </si>
  <si>
    <t>PIs non-continuation status</t>
  </si>
  <si>
    <t>F_CONTINUATION_MARKER</t>
  </si>
  <si>
    <t>Population marker</t>
  </si>
  <si>
    <t>(DLHE)</t>
  </si>
  <si>
    <t>Yes - Target data only (limited)</t>
  </si>
  <si>
    <t>(Graduate Outcomes target population)</t>
  </si>
  <si>
    <t>F_XGOTARG</t>
  </si>
  <si>
    <t>CASE WHEN g.dk_instance is null THEN 'Not in GO target population' else 'In GO target population' end</t>
  </si>
  <si>
    <t>(1 December - IVES shown in population separately)</t>
  </si>
  <si>
    <t>F_XPDEC01</t>
  </si>
  <si>
    <t>(1 December)</t>
  </si>
  <si>
    <t>CASE WHEN (s.F_TTCID IN ('0', '1', '2', '5',/* '8',*/ '9', 'D', 'G', 'H'/*, 'J', 'K'*/, 'L', 'M', 'N', 'P', 'Q') OR s.F_TTCID='') AND (s.F_LOCSDY IN ('6', '9',/* 'A', 'B',*/ 'C', 'D', 'E', /*'F', 'G', */'H', 'J', 'K'/*, 'M', 'N', 'P', 'Q', 'R', 'X'*/, 'T', 'U', 'Z') OR s.F_LOCSDY='-1')  AND (s.F_MODE IN ('01', '02', '12', '13', '14', '23', '24', '25', '31',/*'32',*/ '33', '34', '35', '36', '37', '38', '39'/*, '43', '44', '51', '52', '53'*/, '65',/* '66', '67',*/ '68', '69', '73', '74'/*, '99'*/) OR s.F_MODE IS NULL) AND (s.F_ENDDATE&gt;='01-DEC-' + SUBSTRING(CAST(s.DW_FromDate AS VARCHAR), 3, 2)OR s.F_ENDDATE IS NULL) AND (s.F_COMDATE&lt;='01-DEC-' + SUBSTRING(CAST(s.DW_FromDate AS VARCHAR), 3, 2)OR s.F_COMDATE IS NULL)  AND SUBSTRING(s.F_COURSEAIM, 1, 1) IN ('D', 'E', 'L', 'M', 'H', 'I', 'J', 'C') THEN 1  ELSE 0 END</t>
  </si>
  <si>
    <t>CASE WHEN (s.F_TTCID IN ('0', '1', '2', '5',/* '8',*/ '9', 'D', 'G', 'H'/*, 'J', 'K'*/, 'L', 'M', 'N', 'P', 'Q') OR s.F_TTCID='') AND (s.F_LOCSDY IN ('6', '9',/* 'A', 'B',*/ 'C', 'D', 'E', /*'F', 'G', */'H', 'J', 'K'/*, 'M', 'N', 'P', 'Q', 'R', 'X'*/, 'T', 'U', 'Z') OR s.F_LOCSDY='-1')  AND (s.F_MODE IN ('01', '02', '12', '13', '14', '23', '24', '25', '31',/*'32',*/ '33', '34', '35', '36', '37', '38', '39'/*, '43', '44', '51', '52', '53'*/, '65',/* '66', '67',*/ '68', '69', '73', '74'/*, '99'*/) OR s.F_MODE IS NULL) AND (s.F_ENDDATE&gt;='01-DEC-' + SUBSTRING(CAST(s.DW_FromDate AS VARCHAR), 3, 2)OR s.F_ENDDATE IS NULL) AND (s.F_COMDATE&lt;='01-DEC-' + SUBSTRING(CAST(s.DW_FromDate AS VARCHAR), 3, 2)OR s.F_COMDATE IS NULL)  AND SUBSTRING(s.F_COURSEAIM, 1, 1) IN ('D', 'E', 'L', 'M', 'H', 'I', 'J', 'C') THEN "The instance is counted within the 1 December HE population"  ELSE "The instance is NOT counted within the 1 December population" END</t>
  </si>
  <si>
    <t>(Graduate Outcomes)</t>
  </si>
  <si>
    <t>F_XPGO01</t>
  </si>
  <si>
    <t>CASE WHEN ISNULL(g.ZRESPSTATUS, '02')='02' OR ISNULL(g.XACTIVITY, '99')='99' THEN 'Not in GO publication population' else 'In GO population' end</t>
  </si>
  <si>
    <t>(Qualifiers - IVES shown in population separately)</t>
  </si>
  <si>
    <t>F_XPQUAL01</t>
  </si>
  <si>
    <t>(Qualifiers)</t>
  </si>
  <si>
    <t>CAST(s.F_XPQUAL01 AS VARCHAR(1))</t>
  </si>
  <si>
    <t>(select top 1 DW_CurrentLabel From Student.C051_Meta_Data f with(nolock) where s.f_xpqual01 =F.Entry AND fieldname = 'XPQUAL01' order by dw_fromdate desc)</t>
  </si>
  <si>
    <t>(Session - IVES shown in population separately)</t>
  </si>
  <si>
    <t>F_XPSES01</t>
  </si>
  <si>
    <t>(Session population)</t>
  </si>
  <si>
    <t>no</t>
  </si>
  <si>
    <t>CAST(s.F_XPSES01 AS VARCHAR(1))</t>
  </si>
  <si>
    <t>(select top 1 DW_CurrentLabel From Student.C051_Meta_Data f with(nolock) where s.F_XPSES01 =F.Entry AND fieldname = 'XPSES01' order by dw_fromdate desc)</t>
  </si>
  <si>
    <t>(Student - IVES shown in population separately)</t>
  </si>
  <si>
    <t>F_XPSR01</t>
  </si>
  <si>
    <t>(Student)</t>
  </si>
  <si>
    <t>CAST(s.F_XPSR01 AS VARCHAR(1))</t>
  </si>
  <si>
    <t xml:space="preserve">(select top 1 DW_CurrentLabel From Student.C051_Meta_Data f with(nolock) where s.f_xpsr01 =F.Entry AND fieldname = 'XPSR01' order by dw_fromdate desc) </t>
  </si>
  <si>
    <t>(Student including IVES)</t>
  </si>
  <si>
    <t>NEWXPSR_INCIVES</t>
  </si>
  <si>
    <t>d.NEWXPSR_INCIVES</t>
  </si>
  <si>
    <t>CASE WHEN d.NEWXPSR_INCIVES ='1' then 'The record is counted within the standard HE registration population (including IVES)' 	ELSE 'The record is NOT counted within the standard HE registration population (including IVES)' end</t>
  </si>
  <si>
    <t>Previous course intensity since graduation 1</t>
  </si>
  <si>
    <t>[PREVINTENSITY1]</t>
  </si>
  <si>
    <t>PREVINTENSITY1</t>
  </si>
  <si>
    <t>CASE WHEN ISNULL(g.ZRESPSTATUS, '02')='02' OR ISNULL(g.XACTIVITY, '99')='99' THEN 'Not in GO publication population' else IIF(isnull(g.PREVINTENSITY1,'')='','N/A',g.PREVINTENSITY1) end</t>
  </si>
  <si>
    <t>CASE WHEN ISNULL(g.ZRESPSTATUS, '02')='02' OR ISNULL(g.XACTIVITY, '99')='99' THEN 'Not in GO publication population' else IIF(isnull(g.PREVINTENSITY1,'')='','N/A',PREVINTENSITY1.label) end</t>
  </si>
  <si>
    <t>previntensity1</t>
  </si>
  <si>
    <t>Previous course intensity since graduation 2</t>
  </si>
  <si>
    <t>[PREVINTENSITY2]</t>
  </si>
  <si>
    <t>PREVINTENSITY2</t>
  </si>
  <si>
    <t>CASE WHEN ISNULL(g.ZRESPSTATUS, '02')='02' OR ISNULL(g.XACTIVITY, '99')='99' THEN 'Not in GO publication population' else IIF(isnull(g.PREVINTENSITY2,'')='','N/A',g.PREVINTENSITY2) end</t>
  </si>
  <si>
    <t>CASE WHEN ISNULL(g.ZRESPSTATUS, '02')='02' OR ISNULL(g.XACTIVITY, '99')='99' THEN 'Not in GO publication population' else IIF(isnull(g.PREVINTENSITY2,'')='','N/A',PREVINTENSITY2.label) end</t>
  </si>
  <si>
    <t>previntensity2</t>
  </si>
  <si>
    <t>Previous course intensity since graduation 3</t>
  </si>
  <si>
    <t>[PREVINTENSITY3]</t>
  </si>
  <si>
    <t>PREVINTENSITY3</t>
  </si>
  <si>
    <t>CASE WHEN ISNULL(g.ZRESPSTATUS, '02')='02' OR ISNULL(g.XACTIVITY, '99')='99' THEN 'Not in GO publication population' else IIF(isnull(g.PREVINTENSITY3,'')='','N/A',g.PREVINTENSITY3) end</t>
  </si>
  <si>
    <t>CASE WHEN ISNULL(g.ZRESPSTATUS, '02')='02' OR ISNULL(g.XACTIVITY, '99')='99' THEN 'Not in GO publication population' else IIF(isnull(g.PREVINTENSITY3,'')='','N/A',PREVINTENSITY3.label) end</t>
  </si>
  <si>
    <t>previntensity3</t>
  </si>
  <si>
    <t>Previous employment (Staff)</t>
  </si>
  <si>
    <t>F_PREVEMP</t>
  </si>
  <si>
    <t>CASE WHEN P.F_PREVEMP IN ('',' ','99','XX') THEN 'na' ELSE ISNULL(P.F_PREVEMP,'na') END</t>
  </si>
  <si>
    <t>CASE WHEN ISNULL(P.F_PREVEMP, '99') IN ('',' ','99','XX') THEN 'Not applicable' ELSE PREVEMP.dw_currentlabel END</t>
  </si>
  <si>
    <t>PREVEMP</t>
  </si>
  <si>
    <t>Previous employment of starters on academic contracts</t>
  </si>
  <si>
    <t xml:space="preserve">f_zprevgp01 </t>
  </si>
  <si>
    <t>CASE WHEN C.F_XACMRK01 ='2' THEN '$$' ELSE sd.f_zprevgp01 END</t>
  </si>
  <si>
    <t>Previous HE provider</t>
  </si>
  <si>
    <t>F_PREVHEI</t>
  </si>
  <si>
    <t>CASE WHEN P.F_PREVHEI IN ('',' ','9999','XXXX') THEN '9999' ELSE ISNULL(P.F_PREVHEI,'9999') END</t>
  </si>
  <si>
    <t>CASE WHEN ISNULL(P.F_PREVHEI, '9999') IN ('',' ','9999','XXXX') THEN 'Not applicable' ELSE PREVHEI.dw_currentlabel END</t>
  </si>
  <si>
    <t>PREVEHEI</t>
  </si>
  <si>
    <t>Previous number of courses since graduation</t>
  </si>
  <si>
    <t>[PREVCOURSENUM]</t>
  </si>
  <si>
    <t>PREVCOURSENUM</t>
  </si>
  <si>
    <t>CASE WHEN ISNULL(g.ZRESPSTATUS, '02')='02' OR ISNULL(g.XACTIVITY, '99')='99' THEN 'Not in GO publication population' else IIF(isnull(g.PREVCOURSENUM,'')='','N/A',g.PREVCOURSENUM) end</t>
  </si>
  <si>
    <t>Previous number of jobs since graduation</t>
  </si>
  <si>
    <t>[PREVJOBNUM]</t>
  </si>
  <si>
    <t>PREVJOBNUM</t>
  </si>
  <si>
    <t>Previous study since graduating</t>
  </si>
  <si>
    <t>[FURSTU]</t>
  </si>
  <si>
    <t>FURSTU</t>
  </si>
  <si>
    <t>CASE WHEN ISNULL(g.ZRESPSTATUS, '02')='02' OR ISNULL(g.XACTIVITY, '99')='99' THEN 'Not in GO publication population' else IIF(isnull(g.FURSTU,'')='','N/A',g.FURSTU) end</t>
  </si>
  <si>
    <t>CASE WHEN ISNULL(g.ZRESPSTATUS, '02')='02' OR ISNULL(g.XACTIVITY, '99')='99' THEN 'Not in GO publication population' else IIF(isnull(g.FURSTU,'')='','N/A',FURSTU.label) end</t>
  </si>
  <si>
    <t>furstu</t>
  </si>
  <si>
    <t>Previous study since graduation</t>
  </si>
  <si>
    <t>(Significant study full-time/ Significant study part-time/ Significant study intensity unknown/ Other study/ Not in population) [YINTSTUDY]</t>
  </si>
  <si>
    <t>YINTSTUDY</t>
  </si>
  <si>
    <t>varchar(37)</t>
  </si>
  <si>
    <t>Previous type of qualification since graduation 1</t>
  </si>
  <si>
    <t>[PREVTYPEQUAL1]</t>
  </si>
  <si>
    <t>PREVTYPEQUAL1</t>
  </si>
  <si>
    <t>CASE WHEN ISNULL(g.ZRESPSTATUS, '02')='02' OR ISNULL(g.XACTIVITY, '99')='99' THEN 'Not in GO publication population' else IIF(isnull(g.PREVTYPEQUAL1,'')='','N/A',g.PREVTYPEQUAL1) end</t>
  </si>
  <si>
    <t>CASE WHEN ISNULL(g.ZRESPSTATUS, '02')='02' OR ISNULL(g.XACTIVITY, '99')='99' THEN 'Not in GO publication population' else IIF(isnull(g.PREVTYPEQUAL1,'')='','N/A',PREVTYPEQUAL1.label) end</t>
  </si>
  <si>
    <t>prevtypequal1</t>
  </si>
  <si>
    <t>Previous type of qualification since graduation 2</t>
  </si>
  <si>
    <t>[PREVTYPEQUAL2]</t>
  </si>
  <si>
    <t>PREVTYPEQUAL2</t>
  </si>
  <si>
    <t>CASE WHEN ISNULL(g.ZRESPSTATUS, '02')='02' OR ISNULL(g.XACTIVITY, '99')='99' THEN 'Not in GO publication population' else IIF(isnull(g.PREVTYPEQUAL2,'')='','N/A',g.PREVTYPEQUAL2) end</t>
  </si>
  <si>
    <t>CASE WHEN ISNULL(g.ZRESPSTATUS, '02')='02' OR ISNULL(g.XACTIVITY, '99')='99' THEN 'Not in GO publication population' else IIF(isnull(g.PREVTYPEQUAL2,'')='','N/A',PREVTYPEQUAL2.label) end</t>
  </si>
  <si>
    <t>prevtypequal2</t>
  </si>
  <si>
    <t>Previous type of qualification since graduation 3</t>
  </si>
  <si>
    <t>[PREVTYPEQUAL3]</t>
  </si>
  <si>
    <t>PREVTYPEQUAL3</t>
  </si>
  <si>
    <t>CASE WHEN ISNULL(g.ZRESPSTATUS, '02')='02' OR ISNULL(g.XACTIVITY, '99')='99' THEN 'Not in GO publication population' else IIF(isnull(g.PREVTYPEQUAL3,'')='','N/A',g.PREVTYPEQUAL3) end</t>
  </si>
  <si>
    <t>CASE WHEN ISNULL(g.ZRESPSTATUS, '02')='02' OR ISNULL(g.XACTIVITY, '99')='99' THEN 'Not in GO publication population' else IIF(isnull(g.PREVTYPEQUAL3,'')='','N/A',PREVTYPEQUAL3.label) end</t>
  </si>
  <si>
    <t>prevtypequal3</t>
  </si>
  <si>
    <t>Previous university or college name other since graduation 1</t>
  </si>
  <si>
    <t>[PREVUCNAME_OTHER1]</t>
  </si>
  <si>
    <t>PREVUCNAME_OTHER1</t>
  </si>
  <si>
    <t>varchar(500)</t>
  </si>
  <si>
    <t>Previous university or college name other since graduation 2</t>
  </si>
  <si>
    <t>[PREVUCNAME_OTHER2]</t>
  </si>
  <si>
    <t>PREVUCNAME_OTHER2</t>
  </si>
  <si>
    <t>Previous university or college name other since graduation 3</t>
  </si>
  <si>
    <t>[PREVUCNAME_OTHER3]</t>
  </si>
  <si>
    <t>PREVUCNAME_OTHER3</t>
  </si>
  <si>
    <t>Previous university or college name since graduation 1</t>
  </si>
  <si>
    <t>[PREVUCNAME1]</t>
  </si>
  <si>
    <t>PREVUCNAME1</t>
  </si>
  <si>
    <t>CASE WHEN ISNULL(g.ZRESPSTATUS, '02')='02' OR ISNULL(g.XACTIVITY, '99')='99' THEN 'Not in GO publication population' else IIF(isnull(g.PREVUCNAME1,'')='','N/A',g.PREVUCNAME1) end</t>
  </si>
  <si>
    <t>CASE WHEN ISNULL(g.ZRESPSTATUS, '02')='02' OR ISNULL(g.XACTIVITY, '99')='99' THEN 'Not in GO publication population' else IIF(isnull(g.PREVUCNAME1,'')='','N/A',prev1.ukprn_legalname) end</t>
  </si>
  <si>
    <t>previnst2</t>
  </si>
  <si>
    <t>Previous university or college name since graduation 2</t>
  </si>
  <si>
    <t>[PREVUCNAME2]</t>
  </si>
  <si>
    <t>PREVUCNAME2</t>
  </si>
  <si>
    <t>CASE WHEN ISNULL(g.ZRESPSTATUS, '02')='02' OR ISNULL(g.XACTIVITY, '99')='99' THEN 'Not in GO publication population' else IIF(isnull(g.PREVUCNAME2,'')='','N/A',g.PREVUCNAME2) end</t>
  </si>
  <si>
    <t>CASE WHEN ISNULL(g.ZRESPSTATUS, '02')='02' OR ISNULL(g.XACTIVITY, '99')='99' THEN 'Not in GO publication population' else IIF(isnull(g.PREVUCNAME2,'')='','N/A',prev2.ukprn_legalname) end</t>
  </si>
  <si>
    <t>previnst3</t>
  </si>
  <si>
    <t>Previous university or college name since graduation 3</t>
  </si>
  <si>
    <t>[PREVUCNAME3]</t>
  </si>
  <si>
    <t>PREVUCNAME3</t>
  </si>
  <si>
    <t>CASE WHEN ISNULL(g.ZRESPSTATUS, '02')='02' OR ISNULL(g.XACTIVITY, '99')='99' THEN 'Not in GO publication population' else IIF(isnull(g.PREVUCNAME3,'')='','N/A',g.PREVUCNAME3) end</t>
  </si>
  <si>
    <t>CASE WHEN ISNULL(g.ZRESPSTATUS, '02')='02' OR ISNULL(g.XACTIVITY, '99')='99' THEN 'Not in GO publication population' else IIF(isnull(g.PREVUCNAME3,'')='','N/A',prev3.ukprn_legalname) end</t>
  </si>
  <si>
    <t>previnst4</t>
  </si>
  <si>
    <t>Previously employed</t>
  </si>
  <si>
    <t>Professional employment marker</t>
  </si>
  <si>
    <t>(Professional/ Non-professional/ [Not known/Not applicable])</t>
  </si>
  <si>
    <t>Professorial marker</t>
  </si>
  <si>
    <t>(Professor/ Not a professor) - 2012/13 onwards</t>
  </si>
  <si>
    <t>CASE WHEN cc.DW_FromDate &lt;= 20110801 THEN 'Not appliable (2011/12 and prior)' WHEN c.F_LEVELS = 'F1' THEN 'Professor' ELSE 'Not a professor' END</t>
  </si>
  <si>
    <t>Proportioned franchised</t>
  </si>
  <si>
    <t>d.F_ZPROPFRAN</t>
  </si>
  <si>
    <t>Provider contact</t>
  </si>
  <si>
    <t>[HEPCON]</t>
  </si>
  <si>
    <t>HEPCON</t>
  </si>
  <si>
    <t>CASE WHEN ISNULL(g.ZRESPSTATUS, '02')='02' OR ISNULL(g.XACTIVITY, '99')='99' THEN 'Not in GO publication population' else IIF(isnull(g.HEPCON,'')='','N/A',g.HEPCON) end</t>
  </si>
  <si>
    <t>CASE WHEN ISNULL(g.ZRESPSTATUS, '02')='02' OR ISNULL(g.XACTIVITY, '99')='99' THEN 'Not in GO publication population' else IIF(isnull(g.HEPCON,'')='','N/A',HEPCON.label) end</t>
  </si>
  <si>
    <t>hepcon</t>
  </si>
  <si>
    <t>Provider of further study</t>
  </si>
  <si>
    <t>Provider of further study (Country)</t>
  </si>
  <si>
    <t>[ZSTUCOUNTRY]</t>
  </si>
  <si>
    <t>ZSTUCOUNTRY</t>
  </si>
  <si>
    <t>CASE WHEN ISNULL(g.ZRESPSTATUS, '02')='02' OR ISNULL(g.XACTIVITY, '99')='99' THEN 'Not in GO publication population' else isnull(g.ZSTUCOUNTRY,'NOTK') end</t>
  </si>
  <si>
    <t>CASE WHEN ISNULL(g.ZRESPSTATUS, '02')='02' OR ISNULL(g.XACTIVITY, '99')='99' THEN 'Not in GO publication population' else isnull(ZSTUCOUNTRY.label,'Not known') end</t>
  </si>
  <si>
    <t>zstucountry</t>
  </si>
  <si>
    <t>Provider of further study (UKPRN)</t>
  </si>
  <si>
    <t>ZSTUPROV</t>
  </si>
  <si>
    <t>zstuprov</t>
  </si>
  <si>
    <t>Provider score</t>
  </si>
  <si>
    <t>[PROVSCORE] -opt in question</t>
  </si>
  <si>
    <t>Provider's own identifier for student</t>
  </si>
  <si>
    <t>(OWNSTU)</t>
  </si>
  <si>
    <t>F_OWNSTU</t>
  </si>
  <si>
    <t>s.F_OWNSTU</t>
  </si>
  <si>
    <t>Qualification grade</t>
  </si>
  <si>
    <t>F_QUALGRADE</t>
  </si>
  <si>
    <t>IIF(t.F_QUALGRADE IN ('','-1'),'Unknown',ISNULL(t.F_QUALGRADE,'Unknown'))</t>
  </si>
  <si>
    <t>IIF(t.F_QUALGRADE IN ('','-1') ,'Unknown',ISNULL(t.F_QUALGRADE,'Unknown'))</t>
  </si>
  <si>
    <t>t</t>
  </si>
  <si>
    <t>Qualification identifier</t>
  </si>
  <si>
    <t>F_QUALIFICATIONSONENTRYKEY</t>
  </si>
  <si>
    <t>t.F_QUALIFICATIONSONENTRYKEY</t>
  </si>
  <si>
    <t>Qualification Obtained</t>
  </si>
  <si>
    <t>CASE WHEN s.F_XQOBTN01 IN ('', ' ','_') THEN '___' ELSE s.F_XQOBTN01 end</t>
  </si>
  <si>
    <t>ISNULL((SELECT top 1 DW_CurrentLabel From Student.C051_Meta_Data f with(nolock) where s.F_XQOBTN01 =F.Entry and fieldname = 'XQOBTN01' order by dw_fromdate desc),'No qualification')</t>
  </si>
  <si>
    <t>Qualification required</t>
  </si>
  <si>
    <t>XWRKQUALREQ</t>
  </si>
  <si>
    <t>CASE WHEN ISNULL(g.ZRESPSTATUS, '02')='02' OR ISNULL(g.XACTIVITY, '99')='99' THEN 'Not in GO publication population' else isnull(g.XWRKQUALREQ,'NA/UNK') end</t>
  </si>
  <si>
    <t>CASE WHEN ISNULL(g.ZRESPSTATUS, '02')='02' OR ISNULL(g.XACTIVITY, '99')='99' THEN 'Not in GO publication population' else isnull(XWRKQUALREQ.label,'NA/UNK') end</t>
  </si>
  <si>
    <t>Qualification required for job</t>
  </si>
  <si>
    <t>(2007/08-2010/11)</t>
  </si>
  <si>
    <t>F_QUALREQ</t>
  </si>
  <si>
    <t>Qualification required for the job</t>
  </si>
  <si>
    <t>[QUALREQ]</t>
  </si>
  <si>
    <t>QUALREQ</t>
  </si>
  <si>
    <t>CASE WHEN ISNULL(g.ZRESPSTATUS, '02')='02' OR ISNULL(g.XACTIVITY, '99')='99' THEN 'Not in GO publication population' else IIF(isnull(g.QUALREQ,'')='','N/A',g.QUALREQ) end</t>
  </si>
  <si>
    <t>CASE WHEN ISNULL(g.ZRESPSTATUS, '02')='02' OR ISNULL(g.XACTIVITY, '99')='99' THEN 'Not in GO publication population' else IIF(isnull(g.QUALREQ,'')='','N/A',QUALREQ.label) end</t>
  </si>
  <si>
    <t>(2011/12-2016/17)</t>
  </si>
  <si>
    <t>F_QUALREQNEW</t>
  </si>
  <si>
    <t>Chris Collins</t>
  </si>
  <si>
    <t>Qualification sitting</t>
  </si>
  <si>
    <t>F_QUALSIT</t>
  </si>
  <si>
    <t>ISNULL(CAST(t.f_qualsit AS VARCHAR),'Unknown')</t>
  </si>
  <si>
    <t>Qualification subject</t>
  </si>
  <si>
    <t>F_QUALSBJ</t>
  </si>
  <si>
    <t>t.f_qualsbj</t>
  </si>
  <si>
    <t>(SELECT top 1 '('+ entry + ') ' + DW_CurrentLabel From Student.C051_Meta_Data f with(nolock) where t.F_QUALSBJ =F.Entry and fieldname = 'QUALSBJ' order by dw_fromdate desc)</t>
  </si>
  <si>
    <t>Qualification type</t>
  </si>
  <si>
    <t>F_QUALTYPE</t>
  </si>
  <si>
    <t>t.f_qualtype</t>
  </si>
  <si>
    <t>(SELECT top 1 '('+ entry + ') ' + DW_CurrentLabel From Student.C051_Meta_Data f with(nolock) where t.F_qualtype =F.Entry and fieldname = 'qualtype' order by dw_fromdate desc)</t>
  </si>
  <si>
    <t>Qualification year</t>
  </si>
  <si>
    <t>F_QUALYEAR</t>
  </si>
  <si>
    <t>ISNULL(CAST(t.F_QUALYEAR AS VARCHAR),'Unknown')</t>
  </si>
  <si>
    <t>Reason contract ended</t>
  </si>
  <si>
    <t>F_RESCON</t>
  </si>
  <si>
    <t>CASE WHEN c.DW_FromDate &lt;= 20110801 THEN 'Not appliable (2011/12 and prior)' WHEN ISNULL(c.F_ENDCON, '-1') IN ('-1', '', ' ') THEN 'Not applicable' WHEN c.F_RESCON = '-1' THEN 'Unknown' ELSE RESCON.label END</t>
  </si>
  <si>
    <t>rescon</t>
  </si>
  <si>
    <t>Reason for ending instance</t>
  </si>
  <si>
    <t>F_RSNEND</t>
  </si>
  <si>
    <t>Justification needed from customer! Health aspect falls under Special Category of Personal Data- should not be crosstabulated against other Special Categories of Personal Data</t>
  </si>
  <si>
    <t>IIF(s.F_RSNEND='' OR s.F_RSNEND='-1', 'NA', s.F_RSNEND)</t>
  </si>
  <si>
    <t>IIF(s.F_RSNEND='' OR s.F_RSNEND='-1', 'Not applicable', RSNEND.DW_CurrentLabel)</t>
  </si>
  <si>
    <t>rsnend</t>
  </si>
  <si>
    <t>Reason for taking job 1 to 9</t>
  </si>
  <si>
    <t>Reason for taking job markers 1 to 9</t>
  </si>
  <si>
    <t>Reason for taking the job</t>
  </si>
  <si>
    <t>(It fitted into my career plan/it was exactly the type of work I wanted) [JOBRSNALL1]</t>
  </si>
  <si>
    <t>JOBRSNALL1</t>
  </si>
  <si>
    <t>(To work in my family business) [JOBRSNALL10]</t>
  </si>
  <si>
    <t>JOBRSNALL10</t>
  </si>
  <si>
    <t>(It was the best job offer I received) [JOBRSNALL2]</t>
  </si>
  <si>
    <t>JOBRSNALL2</t>
  </si>
  <si>
    <t>(It was an opportunity to progress in the organisation) [JOBRSNALL3]</t>
  </si>
  <si>
    <t>JOBRSNALL3</t>
  </si>
  <si>
    <t>(To see if I would like the type of work it involved) [JOBRSNALL4]</t>
  </si>
  <si>
    <t>JOBRSNALL4</t>
  </si>
  <si>
    <t>(To gain and broaden my experience in order to get the type of job I really want) [JOBRSNALL5]</t>
  </si>
  <si>
    <t>JOBRSNALL5</t>
  </si>
  <si>
    <t>(It was the right location) [JOBRSNALL6]</t>
  </si>
  <si>
    <t>JOBRSNALL6</t>
  </si>
  <si>
    <t>(The job was well paid) [JOBRSNALL7]</t>
  </si>
  <si>
    <t>JOBRSNALL7</t>
  </si>
  <si>
    <t>(In order to earn a living) [JOBRSNALL8]</t>
  </si>
  <si>
    <t>JOBRSNALL8</t>
  </si>
  <si>
    <t>(In order to pay off debts) [JOBRSNALL9]</t>
  </si>
  <si>
    <t>JOBRSNALL9</t>
  </si>
  <si>
    <t>Recommend the provider</t>
  </si>
  <si>
    <t>[RECPROV] -opt in question</t>
  </si>
  <si>
    <t>Record type indicator</t>
  </si>
  <si>
    <t>[RECID]</t>
  </si>
  <si>
    <t>RECID</t>
  </si>
  <si>
    <t>CASE WHEN ISNULL(g.ZRESPSTATUS, '02')='02' OR ISNULL(g.XACTIVITY, '99')='99' THEN 'Not in GO publication population' else isnull(g.RECID,'NA/UNK')  end</t>
  </si>
  <si>
    <t>REF unit of assessment</t>
  </si>
  <si>
    <t>[UOA2014]</t>
  </si>
  <si>
    <t>F_UOA2014</t>
  </si>
  <si>
    <t>case when s.dw_fromdate &gt;= 20200801 then 'N/A' else ISNULL(cast(r.F_UOA2014 as varchar), 'Unknown') end</t>
  </si>
  <si>
    <t>case when s.dw_fromdate &gt;= 20200801 then 'N/A' else ISNULL(cast(UOA2014.label as varchar), 'Unknown') end</t>
  </si>
  <si>
    <t>ref14</t>
  </si>
  <si>
    <t>[UOA2021] (2018/19 onwards)</t>
  </si>
  <si>
    <t>F_UOA2021</t>
  </si>
  <si>
    <t xml:space="preserve">case when s.dw_fromdate &gt;= 20180801 then ISNULL(cast(r.F_UOA2021 as varchar), 'Unknown') else 'N/A' end </t>
  </si>
  <si>
    <t xml:space="preserve">case when s.dw_fromdate &gt;= 20180801 then ISNULL(cast(UOA2021.label as varchar), 'Unknown') else 'N/A' end </t>
  </si>
  <si>
    <t>ref21</t>
  </si>
  <si>
    <t>REF unit of assessment (Staff)</t>
  </si>
  <si>
    <t>[REFUOA2021] - 2018/19 and 2019/20 only</t>
  </si>
  <si>
    <t>F_REFUOA2021</t>
  </si>
  <si>
    <t>CASE WHEN p.dw_fromdate IN (20180801, 20190801) THEN p.F_UOA ELSE 'Not applicable' END</t>
  </si>
  <si>
    <t>F_XINSTG01</t>
  </si>
  <si>
    <t>p.F_XINSTG01</t>
  </si>
  <si>
    <t>(select top 1 DW_CurrentLabel From Staff.C025_Meta_Data f with(nolock) where p.F_XINSTG01 =F.Entry AND fieldname = 'XINSTG01' order by dw_fromdate desc)</t>
  </si>
  <si>
    <t>(OU split to home countries)</t>
  </si>
  <si>
    <t>No - only non OU split available</t>
  </si>
  <si>
    <t>CASE WHEN s.F_XINSTID01 = '0001' THEN CASE WHEN s.F_CAMPID = 'S' THEN 'X' WHEN s.F_CAMPID = 'W' THEN 'W' WHEN s.F_CAMPID = 'N' THEN 'Y' WHEN s.F_CAMPID = 'A' THEN 'J' ELSE 'ERROR' END  ELSE s.F_XINSTG01 end</t>
  </si>
  <si>
    <t>CASE WHEN s.F_XINSTID01 = '0001' THEN CASE WHEN s.F_CAMPID = 'S' THEN 'Scotland' WHEN s.F_CAMPID = 'W' THEN 'Wales' WHEN s.F_CAMPID = 'N' THEN 'Northern Ireland' WHEN s.F_CAMPID = 'A' THEN 'South East' ELSE 'ERROR' END  ELSE XINSTG01.dw_currentlabel end</t>
  </si>
  <si>
    <t>instg</t>
  </si>
  <si>
    <t>s.F_XINSTG01</t>
  </si>
  <si>
    <t>(select top 1 DW_CurrentLabel From Student.C051_Meta_Data f with(nolock) where s.F_XINSTG01 =F.Entry AND fieldname = 'XINSTG01' order by dw_fromdate desc)</t>
  </si>
  <si>
    <t>Regional incomers marker</t>
  </si>
  <si>
    <t>(Graduates who go to work in a region in which they neither studied nor were domiciled)</t>
  </si>
  <si>
    <t>F_REG_INC</t>
  </si>
  <si>
    <t>CASE  WHEN gd.F_XWRKLOCN IN ('NA','NR','07','08','09') THEN 'Non-UK'  WHEN s.F_XDOMGR01 = 'XK' OR gd.F_XWRKLOCN='06' OR gd.F_XWRKLOCN='99' THEN 'Unknown' WHEN gd.F_XWRKLOCN&lt;&gt;s.F_XINSTG01 AND s.F_XDOMGR01&lt;&gt;gd.F_XWRKLOCN THEN '1' ELSE '0' END</t>
  </si>
  <si>
    <t>gd</t>
  </si>
  <si>
    <t>Regional loyals marker</t>
  </si>
  <si>
    <t>(Graduates who are domiciled in a region, went to study in the region, and remained to work in that region)</t>
  </si>
  <si>
    <t>F_REG_LOYAL</t>
  </si>
  <si>
    <t>CASE  WHEN gd.F_XWRKLOCN IN ('NA','NR','07','08','09') THEN 'Non-UK'  WHEN s.F_XDOMGR01 = 'XK' OR gd.F_XWRKLOCN='06' OR gd.F_XWRKLOCN='99' THEN 'Unknown' WHEN s.F_XDOMGR01=s.F_XINSTG01         AND s.F_XDOMGR01=gd.F_XWRKLOCN THEN '1'  ELSE '0' END</t>
  </si>
  <si>
    <t>Regional returners marker</t>
  </si>
  <si>
    <t>(Graduates domiciled in a region, who go elsewhere to study, and then return to their home region for employment)</t>
  </si>
  <si>
    <t>F_REG_RET</t>
  </si>
  <si>
    <t>CASE WHEN gd.F_XWRKLOCN IN ('NA','NR','07','08','09') THEN 'Non-UK'  WHEN s.F_XDOMGR01 = 'XK' OR gd.F_XWRKLOCN='06' OR gd.F_XWRKLOCN='99' THEN 'Unknown'  WHEN s.F_XDOMGR01&lt;&gt;s.F_XINSTG01                                           AND s.F_XDOMGR01=gd.F_XWRKLOCN THEN '1'  ELSE '0' END</t>
  </si>
  <si>
    <t>Regional stayers marker</t>
  </si>
  <si>
    <t>(Graduates who travel away from their home region to study, and then stay in that region to work)</t>
  </si>
  <si>
    <t>F_REG_STAY</t>
  </si>
  <si>
    <t>CASE  WHEN gd.F_XWRKLOCN IN ('NA','NR','07','08','09') THEN 'Non-UK' WHEN s.F_XDOMGR01 = 'XK' OR gd.F_XWRKLOCN='06' OR gd.F_XWRKLOCN='99' THEN 'Unknown'  WHEN s.F_XDOMGR01&lt;&gt;s.F_XINSTG01                                             AND s.F_XINSTG01=gd.F_XWRKLOCN THEN '1'  ELSE '0' END</t>
  </si>
  <si>
    <t>Registration marker</t>
  </si>
  <si>
    <t>F_DESIG</t>
  </si>
  <si>
    <t>CASE WHEN s.dw_fromdate &lt; 20190801 THEN 'Not applicable' WHEN s.f_XDESIG03 IN ('01','02') THEN 'Registration' ELSE 'Not registration' end</t>
  </si>
  <si>
    <t>Regulatory body  1</t>
  </si>
  <si>
    <t>F_REGBODY1</t>
  </si>
  <si>
    <t xml:space="preserve">CASE WHEN P.F_REGBODY1 IN ('',' ') THEN 'UNK' WHEN p.F_REGBODY1 IS NULL then 'UNK' ELSE p.F_REGBODY1 END </t>
  </si>
  <si>
    <t xml:space="preserve">(select top 1 DW_CurrentLabel From staff.C025_Meta_Data as f with(nolock) where p.f_regbody1 =F.Entry AND fieldname = 'regbody1' order by dw_fromdate desc) </t>
  </si>
  <si>
    <t>Regulatory body  2</t>
  </si>
  <si>
    <t>F_REGBODY2</t>
  </si>
  <si>
    <t>CASE WHEN p.F_REGBODY2 IN ('',' ') THEN 'UNK' WHEN p.F_REGBODY2 IS NULL then 'UNK' ELSE p.F_REGBODY2 END</t>
  </si>
  <si>
    <t>(select top 1 DW_CurrentLabel From staff.C025_Meta_Data as f with(nolock) where p.f_regbody2 =F.Entry AND fieldname = 'regbody2' order by dw_fromdate desc)</t>
  </si>
  <si>
    <t>Regulatory body for health and social care students 1</t>
  </si>
  <si>
    <t>isnull(c.f_regbody,'-1')</t>
  </si>
  <si>
    <t>isnull(regbody.dw_currentlabel,'Unknown')</t>
  </si>
  <si>
    <t>reg</t>
  </si>
  <si>
    <t>Regulatory body for health and social care students 2</t>
  </si>
  <si>
    <t>isnull(c.f_regbody2,'-1')</t>
  </si>
  <si>
    <t>isnull(regbody2.dw_currentlabel,'Unknown')</t>
  </si>
  <si>
    <t>Religion or belief</t>
  </si>
  <si>
    <t>F_RELBLF</t>
  </si>
  <si>
    <t>relblf</t>
  </si>
  <si>
    <t>Religion or belief (Grouped)</t>
  </si>
  <si>
    <t>(Staff) (Full)</t>
  </si>
  <si>
    <t>CASE WHEN p.F_RELBLF IN ('03','04','05','06','07','08','09') then '03' WHEN p.F_RELBLF IN ('',' ') THEN '98' ELSE ISNULL(p.F_RELBLF,'98') END</t>
  </si>
  <si>
    <t>CASE WHEN p.F_RELBLF IN ('03','04','05','06','07','08','09') then 'Christian' WHEN isnull(p.F_RELBLF,'') IN ('',' ') THEN 'Information refused' ELSE RELBLF.dw_currentlabel END</t>
  </si>
  <si>
    <t>Research assistant</t>
  </si>
  <si>
    <t>F_RESAST</t>
  </si>
  <si>
    <t xml:space="preserve">CASE WHEN ISNULL(C.F_RESAST, '-1')='-1' THEN 'Unknown' ELSE CAST(C.F_RESAST AS VARCHAR(7)) END </t>
  </si>
  <si>
    <t>CASE WHEN ISNULL(C.F_RESAST, '-1')='-1'  THEN 'Unknown/ not applicable' ELSE resast.DW_CurrentLabel END</t>
  </si>
  <si>
    <t>resast</t>
  </si>
  <si>
    <t>Research council student</t>
  </si>
  <si>
    <t>F_RCSTDNT</t>
  </si>
  <si>
    <t>CASE WHEN i.F_RCSTDNT = '-1' THEN 'U' ELSE i.F_RCSTDNT END</t>
  </si>
  <si>
    <t>isnull((select top 1 DW_CurrentLabel From Student.C051_Meta_Data as f with(nolock) where I.f_RCSTDNT =F.Entry AND fieldname = 'RCSTDNT' order by dw_fromdate desc),'Unknown')</t>
  </si>
  <si>
    <t>Research findings</t>
  </si>
  <si>
    <t>[RSCHFIND] -opt in question</t>
  </si>
  <si>
    <t>Research skills developed</t>
  </si>
  <si>
    <t>[RSCHSKILDEV] -opt in question</t>
  </si>
  <si>
    <t>Respondent marker</t>
  </si>
  <si>
    <t>Response status</t>
  </si>
  <si>
    <t>[ZRESPSTATUS]</t>
  </si>
  <si>
    <t>ZRESPSTATUS</t>
  </si>
  <si>
    <t>CASE WHEN ISNULL(g.ZRESPSTATUS, '02')='02' OR ISNULL(g.XACTIVITY, '99')='99' THEN 'Not in GO publication population' else ISNULL(g.ZRESPSTATUS, '02') end</t>
  </si>
  <si>
    <t>CASE WHEN ISNULL(g.ZRESPSTATUS, '02')='02' OR ISNULL(g.XACTIVITY, '99')='99' THEN 'Not in GO publication population' else ISNULL(ZRESPSTATUS.label, '02') end</t>
  </si>
  <si>
    <t>zrespstatus</t>
  </si>
  <si>
    <t>Russell Group marker</t>
  </si>
  <si>
    <t>RG_MKR</t>
  </si>
  <si>
    <t xml:space="preserve">case when s.f_xinstid01 in ('0110','0112','0114','0179','0116','0167','0119','0168','0132','0134','0124','0126','0137','0204','0154','0155','0156','0139','0184','0159','0160','0149','0163','0164') then 'Russell Group' else 'Other' end </t>
  </si>
  <si>
    <t>Salary</t>
  </si>
  <si>
    <t>(10K bands) - for those in full-time paid employment only</t>
  </si>
  <si>
    <t>(5K bands) - for those in full-time paid employment only</t>
  </si>
  <si>
    <t>Partial - 5K but some non-standard groups</t>
  </si>
  <si>
    <t>(Full) - for those in full-time paid employment only</t>
  </si>
  <si>
    <t>Partial - shown as salary ranges 1 to 6</t>
  </si>
  <si>
    <t>(Apportioned by FPE)</t>
  </si>
  <si>
    <t>appsalFPE</t>
  </si>
  <si>
    <t>SUM((cc.f_xsfpe01 / 100)*(CASE WHEN c.F_XSALR01 IS NULL THEN 0 ELSE c.F_XSALR01 END))</t>
  </si>
  <si>
    <t>(Apportioned by FTE)</t>
  </si>
  <si>
    <t>appsalFTE</t>
  </si>
  <si>
    <t>SUM((cc.f_xsfte01 / 100)*(CASE WHEN c.F_XPSESC01 != '1' THEN 0 WHEN c.F_XSALR01 IS NULL THEN 0 ELSE c.F_XSALR01 END))</t>
  </si>
  <si>
    <t>(Full) - Rounded to the nearest thousand (less than 1K grouped)</t>
  </si>
  <si>
    <t>F_SALARY</t>
  </si>
  <si>
    <t>Partial - salary ranges</t>
  </si>
  <si>
    <t xml:space="preserve">CASE WHEN C.F_XSALR01=0 THEN '-99999' WHEN C.F_XSALR01 BETWEEN 1 AND 999 THEN '-88888' ELSE CAST (ROUND(C.F_XSALR01,-3) AS VARCHAR) END </t>
  </si>
  <si>
    <t>(5K bands)</t>
  </si>
  <si>
    <t>F_XSALR01</t>
  </si>
  <si>
    <t>CASE WHEN C.F_XSALR01 BETWEEN 1 AND 10000 THEN '£10,000 and under' WHEN C.F_XSALR01 BETWEEN 10001 AND 15000 THEN '£10,001 to £15,000' WHEN C.F_XSALR01 BETWEEN 15001 AND 20000 THEN '£15,001 to £20,000' WHEN C.F_XSALR01 BETWEEN 20001 AND 25000 THEN '£20,001 to £25,000' WHEN C.F_XSALR01 BETWEEN 25001 AND 30000 THEN '£25,001 to £30,000' WHEN C.F_XSALR01 BETWEEN 30001 AND 35000 THEN '£30,001 to £35,000' WHEN C.F_XSALR01 BETWEEN 35001 AND 40000 THEN '£35,001 to £40,000' WHEN C.F_XSALR01 BETWEEN 40001 AND 45000 THEN '£40,001 to £45,000' WHEN C.F_XSALR01 BETWEEN 45001 AND 50000 THEN '£45,001 to £50,000' WHEN C.F_XSALR01 BETWEEN 50001 AND 55000 THEN '£50,001 to £55,000' WHEN C.F_XSALR01 BETWEEN 55001 AND 60000 THEN '£55,001 to £60,000' WHEN C.F_XSALR01 BETWEEN 60001 AND 65000 THEN '£60,001 to £65,000' WHEN C.F_XSALR01 BETWEEN 65001 AND 70000 THEN '£65,001 to £70,000' WHEN C.F_XSALR01 BETWEEN 70001 AND 75000 THEN '£70,001 to £75,000' WHEN C.F_XSALR01 BETWEEN 75001 AND 80000 THEN '£75,001 to £80,000' WHEN C.F_XSALR01 BETWEEN 80001 AND 85000 THEN '£80,001 to £85,000' WHEN C.F_XSALR01 BETWEEN 85001 AND 90000 THEN '£85,001 to £90,000' WHEN C.F_XSALR01 BETWEEN 90001 AND 95000 THEN '£90,001 to £95,000' WHEN C.F_XSALR01 BETWEEN 95001 AND 100000 THEN '£95,001 to £100,000' WHEN C.F_XSALR01 BETWEEN 100001 AND 9999999 THEN 'Over £100,000' ELSE 'Unknown' END</t>
  </si>
  <si>
    <t>varchar(18)</t>
  </si>
  <si>
    <t>derived bands (Minimum wage - £15k/ 5k bands up to £70k/ £71k - Publication maximum/ [Unknown/Not applicable]) - for those in full-time UK paid employment only</t>
  </si>
  <si>
    <t xml:space="preserve">F_XWRKSALBAND </t>
  </si>
  <si>
    <t xml:space="preserve">[XWRKSALARY] (Rounded to the nearest £1,000)- for those in full-time UK paid employment excluding salary outliers. </t>
  </si>
  <si>
    <t>XWRKSALARY</t>
  </si>
  <si>
    <t>Salary currency</t>
  </si>
  <si>
    <t>[EMPCURRENCY]</t>
  </si>
  <si>
    <t>EMPCURRENCY</t>
  </si>
  <si>
    <t>CASE WHEN ISNULL(g.ZRESPSTATUS, '02')='02' OR ISNULL(g.XACTIVITY, '99')='99' THEN 'Not in GO publication population' else IIF(isnull(g.EMPCURRENCY,'')='','N/A',g.EMPCURRENCY) end</t>
  </si>
  <si>
    <t>empcurrency</t>
  </si>
  <si>
    <t>[ZCURRENCY]</t>
  </si>
  <si>
    <t>ZCURRENCY</t>
  </si>
  <si>
    <t>CASE WHEN ISNULL(g.ZRESPSTATUS, '02')='02' OR ISNULL(g.XACTIVITY, '99')='99' THEN 'Not in GO publication population' else isnull(g.ZCURRENCY,'999') end</t>
  </si>
  <si>
    <t>zcurrency</t>
  </si>
  <si>
    <t>Salary marker</t>
  </si>
  <si>
    <t>(Full-time paid employment/ Other employment/ Not in employment)</t>
  </si>
  <si>
    <t>XSALMARKER</t>
  </si>
  <si>
    <t>CASE WHEN ISNULL(g.ZRESPSTATUS, '02')='02' OR ISNULL(g.XACTIVITY, '99')='99' THEN 'Not in GO publication population' else isnull(g.XSALMARKER,'NA/UNK') end</t>
  </si>
  <si>
    <t>CASE WHEN ISNULL(g.ZRESPSTATUS, '02')='02' OR ISNULL(g.XACTIVITY, '99')='99' THEN 'Not in GO publication population' else isnull(XSALMARKER.label,'NA/UNK') end</t>
  </si>
  <si>
    <t>xsalmarker</t>
  </si>
  <si>
    <t>Salary point</t>
  </si>
  <si>
    <t>F_SPOINT</t>
  </si>
  <si>
    <t>isnull(c.f_spoint,'XXX')</t>
  </si>
  <si>
    <t>Seeking a teaching post</t>
  </si>
  <si>
    <t>[SEEKTEACH] -opt in question</t>
  </si>
  <si>
    <t>(4 digit) [XBUS2007SIC]</t>
  </si>
  <si>
    <t>XBUS2007SIC</t>
  </si>
  <si>
    <t>CASE WHEN ISNULL(g.ZRESPSTATUS, '02')='02' OR ISNULL(g.XACTIVITY, '99')='99' THEN 'Not in GO publication population' WHEN isnull(g.XBUS2007SIC,'9999') IN ('$$$$','9999') THEN 'NA/UNK' else ISNULL(g.XBUS2007SIC,'NA/UNK') end</t>
  </si>
  <si>
    <t>CASE WHEN ISNULL(g.ZRESPSTATUS, '02')='02' OR ISNULL(g.XACTIVITY, '99')='99' THEN 'Not in GO publication population' WHEN isnull(g.XBUS2007SIC,'9999') IN ('$$$$','9999') THEN 'NA/UNK' else ISNULL(XBUS2007SIC.label,'NA/UNK') end</t>
  </si>
  <si>
    <t>(1 digit) [XBUS2007SIC1]</t>
  </si>
  <si>
    <t>XBUS2007SIC1</t>
  </si>
  <si>
    <t>CASE WHEN ISNULL(g.ZRESPSTATUS, '02')='02' OR ISNULL(g.XACTIVITY, '99')='99' THEN 'Not in GO publication population'  WHEN isnull(g.XBUS2007SIC1,'9') IN ('$','9','_') THEN 'V' else ISNULL(g.XBUS2007SIC1,'NA/UNK') end</t>
  </si>
  <si>
    <t>CASE WHEN ISNULL(g.ZRESPSTATUS, '02')='02' OR ISNULL(g.XACTIVITY, '99')='99' THEN 'Not in GO publication population'  WHEN isnull(g.XBUS2007SIC1,'9') IN ('$','9','_') THEN 'Not known' else ISNULL(XBUS2007SIC1.label,'NA/UNK') end</t>
  </si>
  <si>
    <t>(2 digit) [XBUS2007SIC2]</t>
  </si>
  <si>
    <t>XBUS2007SIC2</t>
  </si>
  <si>
    <t>CASE WHEN ISNULL(g.ZRESPSTATUS, '02')='02' OR ISNULL(g.XACTIVITY, '99')='99' THEN 'Not in GO publication population' WHEN isnull(g.XBUS2007SIC2,'$$') IN ('$$','__') THEN 'NA/UNK' else ISNULL(g.XBUS2007SIC2,'NA/UNK') end</t>
  </si>
  <si>
    <t>CASE WHEN ISNULL(g.ZRESPSTATUS, '02')='02' OR ISNULL(g.XACTIVITY, '99')='99' THEN 'Not in GO publication population' WHEN isnull(g.XBUS2007SIC2,'$$') IN ('$$','__') THEN 'NA/UNK' else ISNULL(XBUS2007SIC2.label,'NA/UNK') end</t>
  </si>
  <si>
    <t>(5 digit) [XBUS2010SOC]</t>
  </si>
  <si>
    <t>XBUS2010SOC</t>
  </si>
  <si>
    <t>(major grouping) [XBUS2010SOC1]</t>
  </si>
  <si>
    <t>XBUS2010SOC1</t>
  </si>
  <si>
    <t>CASE WHEN ISNULL(g.ZRESPSTATUS, '02')='02' OR ISNULL(g.XACTIVITY, '99')='99' THEN 'Not in GO publication population' WHEN g.DW_FromDate &gt;= 20180801 THEN 'Not applicable 2018/19 onwards' WHEN g.XBUS2010SOC1 = '-3' THEN 'X ' else g.XBUS2010SOC1 end</t>
  </si>
  <si>
    <t>CASE WHEN ISNULL(g.ZRESPSTATUS, '02')='02' OR ISNULL(g.XACTIVITY, '99')='99' THEN 'Not in GO publication population' WHEN g.DW_FromDate &gt;= 20180801 THEN 'Not applicable 2018/19 onwards' WHEN g.XBUS2010SOC1 = '-3' THEN 'Not known/Not applicable' else XBUS2010SOC1.label end</t>
  </si>
  <si>
    <t>(minor grouping) [XBUS2010SOC3]</t>
  </si>
  <si>
    <t>XBUS2010SOC3</t>
  </si>
  <si>
    <t>CASE WHEN ISNULL(g.ZRESPSTATUS, '02')='02' OR ISNULL(g.XACTIVITY, '99')='99' THEN 'Not in GO publication population' WHEN g.DW_FromDate &gt;= 20180801 THEN 'Not applicable 2018/19 onwards'  WHEN g.XBUS2010SOC3 IN ('$$$','___','3') THEN 'NA/UNK' else ISNULL(g.XBUS2010SOC3,'NA/UNK') end</t>
  </si>
  <si>
    <t>CASE WHEN ISNULL(g.ZRESPSTATUS, '02')='02' OR ISNULL(g.XACTIVITY, '99')='99' THEN 'Not in GO publication population' WHEN g.DW_FromDate &gt;= 20180801 THEN 'Not applicable 2018/19 onwards'  WHEN g.XBUS2010SOC3 IN ('$$$','___','-3') THEN 'Unknown/ not applicable' else ISNULL(XBUS2010SOC3.label,'Unknown/ not applicable') end</t>
  </si>
  <si>
    <t>Self-employment - Standard Occupational Classification (SOC) 2020⁽¹⁾</t>
  </si>
  <si>
    <t>(4 digit) [XBUS2020SOC]</t>
  </si>
  <si>
    <t>F_XBUS2020SOC</t>
  </si>
  <si>
    <t xml:space="preserve">CASE WHEN ISNULL(g.ZRESPSTATUS, '02')='02'   OR ISNULL(g.XACTIVITY, '99')='99' THEN 'Not in GO publication population'   WHEN ISNULL(g.Xbus2020SOC, '$') IN ('$', '_','$$','__','$$$$','____','0001') THEN 'NA/UNK'   ELSE ISNULL(g.Xbus2020SOC, 'NA/UNK')END </t>
  </si>
  <si>
    <t xml:space="preserve">CASE WHEN ISNULL(g.ZRESPSTATUS, '02')='02'   OR ISNULL(g.XACTIVITY, '99')='99' THEN 'Not in GO publication population'   WHEN ISNULL(g.Xbus2020SOC, '$') IN ('$', '_','$$','__','$$$$','____','0001') THEN 'NA/UNK'   ELSE ISNULL(Xbus2020SOC.label, 'NA/UNK')END </t>
  </si>
  <si>
    <t>XBUS2020SOC</t>
  </si>
  <si>
    <t>(major grouping) [XBUS2020SOC1]</t>
  </si>
  <si>
    <t>F_XBUS2020SOC1</t>
  </si>
  <si>
    <t xml:space="preserve">CASE WHEN ISNULL(g.ZRESPSTATUS, '02')='02'   OR ISNULL(g.XACTIVITY, '99')='99' THEN 'Not in GO publication population'  WHEN ISNULL(g.Xbus2020SOC1, '$') IN ('$', '_','$$','__','X') THEN 'NA/UNK'  ELSE ISNULL(g.Xbus2020SOC1, 'NA/UNK')END </t>
  </si>
  <si>
    <t xml:space="preserve">CASE WHEN ISNULL(g.ZRESPSTATUS, '02')='02'   OR ISNULL(g.XACTIVITY, '99')='99' THEN 'Not in GO publication population'  WHEN ISNULL(g.Xbus2020SOC1, '$') IN ('$', '_','$$','__','X') THEN 'NA/UNK'  ELSE ISNULL(Xbus2020SOC1.label, 'NA/UNK')END </t>
  </si>
  <si>
    <t>XBUS2020SOC1</t>
  </si>
  <si>
    <t>(minor grouping) [XBUS2020SOC3]</t>
  </si>
  <si>
    <t>F_XBUS2020SOC3</t>
  </si>
  <si>
    <t xml:space="preserve">CASE WHEN ISNULL(g.ZRESPSTATUS, '02')='02'   OR ISNULL(g.XACTIVITY, '99')='99' THEN 'Not in GO publication population'   WHEN ISNULL(g.Xbus2020SOC3, '$') IN ('$', '_','$$','__','$$$','___') THEN 'NA/UNK'   ELSE ISNULL(g.Xbus2020SOC3, 'NA/UNK')END </t>
  </si>
  <si>
    <t xml:space="preserve">CASE WHEN ISNULL(g.ZRESPSTATUS, '02')='02'   OR ISNULL(g.XACTIVITY, '99')='99' THEN 'Not in GO publication population'   WHEN ISNULL(g.Xbus2020SOC3, '$') IN ('$', '_','$$','__','$$$','___') THEN 'NA/UNK'   ELSE ISNULL(Xbus2020SOC3.label, 'NA/UNK')END </t>
  </si>
  <si>
    <t>XBUS2020SOC3</t>
  </si>
  <si>
    <t>Self-employment marker</t>
  </si>
  <si>
    <t>XBUSMARKER</t>
  </si>
  <si>
    <t>Provider &gt; Official Stats Derived Field &gt; Self-employed</t>
  </si>
  <si>
    <t>CASE WHEN ISNULL(g.ZRESPSTATUS, '02')='02' OR ISNULL(g.XACTIVITY, '99')='99' THEN 'Not in GO publication population' else isnull(g.XBUSMARKER,'NA/UNK') end</t>
  </si>
  <si>
    <t>CASE WHEN ISNULL(g.ZRESPSTATUS, '02')='02' OR ISNULL(g.XACTIVITY, '99')='99' THEN 'Not in GO publication population' else isnull(BUSMARKER.label,'NA/UNK') end</t>
  </si>
  <si>
    <t>busmarker</t>
  </si>
  <si>
    <t>Senior management marker</t>
  </si>
  <si>
    <t>(Senior manager/ Not a senior manager) - 2011/12 and prior</t>
  </si>
  <si>
    <t>SMPH</t>
  </si>
  <si>
    <t>Service Leaver</t>
  </si>
  <si>
    <t>F_SERLEAVE</t>
  </si>
  <si>
    <t>case when s.dw_fromdate &lt; 20200801 then 'Not applicable before 2020/21' else isnull(stu.f_serleave,'99') end</t>
  </si>
  <si>
    <t>(CAH 2019/20 onwards)</t>
  </si>
  <si>
    <t>(JACS before 2019/20)</t>
  </si>
  <si>
    <t>Sex</t>
  </si>
  <si>
    <t>F_SEXID</t>
  </si>
  <si>
    <t>ISNULL(CAST(s.F_SEXID AS VARCHAR(7)),'Unknown')</t>
  </si>
  <si>
    <t>isnull((select top 1 DW_CurrentLabel From Student.C051_Meta_Data f with(nolock) where s.f_sexid =F.Entry AND fieldname = 'SEXID' order by dw_fromdate desc),'Unknown')</t>
  </si>
  <si>
    <t>Sex (Staff)</t>
  </si>
  <si>
    <t>CASE WHEN p.DW_FromDate &lt;= 20070801 AND p.F_SEXID = 'M' THEN '1' WHEN p.DW_FromDate &lt;= 20070801 AND p.F_SEXID = 'F' THEN '2' WHEN p.DW_FromDate &lt;= 20070801 AND p.F_SEXID IN ('U', 'X') THEN 'U' WHEN ISNULL(p.F_SEXID, '0') = '0' THEN 'U' WHEN ISNULL(p.F_SEXID, '0') = '9' THEN '3' ELSE CAST(P.F_SEXID AS VARCHAR(1)) END</t>
  </si>
  <si>
    <t>CASE WHEN p.DW_FromDate &lt;= 20070801 AND p.F_SEXID = 'M' THEN 'Male' WHEN p.DW_FromDate &lt;= 20070801 AND p.F_SEXID = 'F' THEN 'Female' WHEN p.DW_FromDate &lt;= 20070801 AND p.F_SEXID IN ('U', 'X') THEN 'Unknown' WHEN ISNULL(p.F_SEXID, '0') = '0' THEN 'Unknown' WHEN ISNULL(p.F_SEXID, '0') = '9' THEN 'Other' WHEN ISNULL(p.F_SEXID, '0') = '1' THEN 'Male' WHEN ISNULL(p.F_SEXID, '0') = '2' THEN 'Female' WHEN ISNULL(p.F_SEXID, '0') = '3' THEN 'Other' ELSE 'ERROR' END</t>
  </si>
  <si>
    <t>Sexual orientation</t>
  </si>
  <si>
    <t>F_SEXORT</t>
  </si>
  <si>
    <t>sexort</t>
  </si>
  <si>
    <t>Significant interim study since graduation</t>
  </si>
  <si>
    <t>F_XINTSTUDY</t>
  </si>
  <si>
    <t>CASE WHEN ISNULL(g.ZRESPSTATUS, '02')='02'          OR ISNULL(g.XACTIVITY, '99')='99' THEN 'Not in GO publication population'    else isnull(g.XINTSTUDY,'NA/UNK') ENd</t>
  </si>
  <si>
    <t>CASE WHEN ISNULL(g.ZRESPSTATUS, '02')='02' OR ISNULL(g.XACTIVITY, '99')='99' THEN 'Not in GO publication population' else isnull(XINTSTUDY.label,'NA/UNK') end</t>
  </si>
  <si>
    <t>XINTSTUDY</t>
  </si>
  <si>
    <t xml:space="preserve">Significant responsibility </t>
  </si>
  <si>
    <t xml:space="preserve"> - 2018/19 onwards</t>
  </si>
  <si>
    <t>SIGRES</t>
  </si>
  <si>
    <t>CASE WHEN cc.DW_FromDate &gt;= 20180801 THEN ISNULL(CAST(C.F_SIGRES AS VARCHAR), 'Unknown') ELSE 'Not applicable (2017/18 and prior)' END</t>
  </si>
  <si>
    <t>case WHEN cc.DW_FromDate &lt;= 20170801 THEN 'Not applicable (2017/18 and prior)' when c.f_sigres=1 then 'Yes' when  c.f_sigres=2 then 'No' else isnull(cast(c.f_sigres as varchar),'Unknown') end</t>
  </si>
  <si>
    <t>SIMD deciles</t>
  </si>
  <si>
    <t>SIMD_Decile</t>
  </si>
  <si>
    <t>ISNULL(simd.IMD_Decile,'N/A')</t>
  </si>
  <si>
    <t>simd</t>
  </si>
  <si>
    <t>SIMD quintiles</t>
  </si>
  <si>
    <t>SIMD_Quintile</t>
  </si>
  <si>
    <t>case when simd.IMD_Decile in (1,2) then '1'  when simd.IMD_Decile in (3,4) then '2' when simd.IMD_Decile in (5,6) then '3' when simd.IMD_Decile in (7,8) then '4' when simd.IMD_Decile in (9,10) then '5' else 'N/A' end</t>
  </si>
  <si>
    <t>Socio-economic Classification</t>
  </si>
  <si>
    <t>F_SEC</t>
  </si>
  <si>
    <t>CASE WHEN ISNULL(s.F_SEC,'') IN (' ', '-1') THEN 'UNK'
ELSE CAST(CAST(s.F_SEC AS INT) AS varchar) END</t>
  </si>
  <si>
    <t>ISNULL((select top 1 DW_CurrentLabel From Student.C051_Meta_Data f with(nolock) where s.F_SEC =F.Entry AND fieldname = 'SEC' order by dw_fromdate desc),'Unknown')</t>
  </si>
  <si>
    <t>Source of basic salary</t>
  </si>
  <si>
    <t xml:space="preserve"> - 2013/14 onwards</t>
  </si>
  <si>
    <t>F_XSOBS01</t>
  </si>
  <si>
    <t>Partial - as a 4 way marker from XSOBS01</t>
  </si>
  <si>
    <t>CASE WHEN cc.DW_FromDate &lt;= 20120801 THEN 'Not applicable (2012/13 and prior)' ELSE CAST(C.F_XSOBS01 AS VARCHAR) END</t>
  </si>
  <si>
    <t>CASE WHEN cc.DW_FromDate &lt;= 20120801 THEN 'Not applicable (2012/13 and prior)' ELSE XSOBS01.dw_currentlabel END</t>
  </si>
  <si>
    <t>Source of basic salary 1</t>
  </si>
  <si>
    <t>F_SOBS1</t>
  </si>
  <si>
    <t>CASE WHEN cc.DW_FromDate &lt;= 20120801 THEN 'Not applicable (2012/13 and prior)' ELSE ISNULL(C.F_SOBS1,'Not applicable') END</t>
  </si>
  <si>
    <t>CASE WHEN cc.DW_FromDate &lt;= 20120801 THEN 'Not applicable (2012/13 and prior)' ELSE SOBS1.dw_currentlabel END</t>
  </si>
  <si>
    <t>XSOBS01</t>
  </si>
  <si>
    <t>Source of basic salary 2</t>
  </si>
  <si>
    <t>F_SOBS2</t>
  </si>
  <si>
    <t>CASE WHEN cc.DW_FromDate &lt;= 20120801 THEN 'Not applicable (2012/13 and prior)' ELSE ISNULL(C.F_SOBS2,'Not applicable') END</t>
  </si>
  <si>
    <t>CASE WHEN cc.DW_FromDate &lt;= 20120801 THEN 'Not applicable (2012/13 and prior)' ELSE SOBS2.dw_currentlabel END</t>
  </si>
  <si>
    <t>SOBS1</t>
  </si>
  <si>
    <t>Source of basic salary 3</t>
  </si>
  <si>
    <t>F_SOBS3</t>
  </si>
  <si>
    <t>CASE WHEN cc.DW_FromDate &lt;= 20120801 THEN 'Not applicable (2012/13 and prior)' ELSE ISNULL(C.F_SOBS3,'Not applicable') END</t>
  </si>
  <si>
    <t>CASE WHEN cc.DW_FromDate &lt;= 20120801 THEN 'Not applicable (2012/13 and prior)' ELSE SOBS3.dw_currentlabel END</t>
  </si>
  <si>
    <t>SOBS2</t>
  </si>
  <si>
    <t>Special fee indicator</t>
  </si>
  <si>
    <t>F_SPECFEE</t>
  </si>
  <si>
    <t>CASE WHEN s.F_SPECFEE IN ('',' ','-1') THEN 'unk' ELSE ISNULL(s.F_SPECFEE,'unk') END</t>
  </si>
  <si>
    <t>isnull((SELECT top 1 DW_CurrentLabel From Student.C051_Meta_Data f with(nolock) where s.F_SPECFEE =F.Entry and fieldname = 'SPECFEE' order by dw_fromdate desc) ,'Unknown')</t>
  </si>
  <si>
    <t>SOBS3</t>
  </si>
  <si>
    <t>Staff contract population</t>
  </si>
  <si>
    <t>F_XPOPC01</t>
  </si>
  <si>
    <t>CAST(C.F_XPOPC01 AS VARCHAR(1))</t>
  </si>
  <si>
    <t>(select top 1 DW_CurrentLabel From Staff.C025_Meta_Data f with(nolock) where c.F_XPOPC01 =F.Entry AND fieldname = 'XPOPC01' order by dw_fromdate desc)</t>
  </si>
  <si>
    <t>Staff contract session population</t>
  </si>
  <si>
    <t>F_XPSESC01</t>
  </si>
  <si>
    <t>cast(c.F_XPSESC01 as varchar)</t>
  </si>
  <si>
    <t>(select top 1 DW_CurrentLabel From Staff.C025_Meta_Data f with(nolock) where c.F_XPSESC01 =F.Entry AND fieldname = 'XPSESC01' order by dw_fromdate desc)</t>
  </si>
  <si>
    <t>(1 digit) (2007/08-2010/11)</t>
  </si>
  <si>
    <t>F_XSICD02</t>
  </si>
  <si>
    <t>char(1)</t>
  </si>
  <si>
    <t>(1 digit) (2011/12-2016/17)</t>
  </si>
  <si>
    <t>F_XSICD02NEW</t>
  </si>
  <si>
    <t>(2 digit)</t>
  </si>
  <si>
    <t>(4 digit)</t>
  </si>
  <si>
    <t>( marker (Relevant SIC/ Not relevant SIC/ [Unknown/Not applicable])</t>
  </si>
  <si>
    <t>(1 digit)</t>
  </si>
  <si>
    <t>(3 digit) (2007/08-2010/11)</t>
  </si>
  <si>
    <t>(3 digit) (2011/12-2016/17)</t>
  </si>
  <si>
    <t>(5 digit)</t>
  </si>
  <si>
    <t>Partial - at 1 and 3 digit level</t>
  </si>
  <si>
    <t>CASE WHEN ISNULL(s.F_SOC2010,'-1') IN ('','0000','0001','0009','-1','-3')  THEN 'Unknown/ not applicable' ELSE SUBSTRING(s.f_soc2010,1,2) END</t>
  </si>
  <si>
    <t>CASE WHEN ISNULL(s.F_SOC2010,'-1') IN ('','0000','0001','0009','-1','-3') THEN 'Unknown/ not applicable' WHEN SUBSTRING(s.F_SOC2010,1,2) = '00' THEN '(00) Retired/ unemployed' WHEN SUBSTRING(s.F_SOC2010,1,2) = '11' THEN '(11) Corporate managers and directors' WHEN SUBSTRING(s.F_SOC2010,1,2) = '12' THEN '(12) Other managers and proprietors' WHEN SUBSTRING(s.F_SOC2010,1,2) = '21' THEN '(21) Science, research, engineering and technology professionals' WHEN SUBSTRING(s.F_SOC2010,1,2) = '22' THEN '(22) Health professionals' WHEN SUBSTRING(s.F_SOC2010,1,2) = '23' THEN '(23) Teaching and educational professionals' WHEN SUBSTRING(s.F_SOC2010,1,2) = '24' THEN '(24) Business, media and public service professionals' WHEN SUBSTRING(s.F_SOC2010,1,2) = '31' THEN '(31) Science, engineering and technology associate professionals' WHEN SUBSTRING(s.F_SOC2010,1,2) = '32' THEN '(32) Health and social care associate professionals' WHEN SUBSTRING(s.F_SOC2010,1,2) = '33' THEN '(33) Protective service occupations' WHEN SUBSTRING(s.F_SOC2010,1,2) = '34' THEN '(34) Culture, media and sports occupations' WHEN SUBSTRING(s.F_SOC2010,1,2) = '35' THEN '(35) Business and public service associate professionals' WHEN SUBSTRING(s.F_SOC2010,1,2) = '41' THEN '(41) Administrative occupations' WHEN SUBSTRING(s.F_SOC2010,1,2) = '42' THEN '(42) Secretarial and related occupations' WHEN SUBSTRING(s.F_SOC2010,1,2) = '51' THEN '(51) Skilled agricultural and related trades' WHEN SUBSTRING(s.F_SOC2010,1,2) = '52' THEN '(52) Skilled metal, electrical and electronic trades' WHEN SUBSTRING(s.F_SOC2010,1,2) = '53' THEN '(53) Skilled construction and building trades' WHEN SUBSTRING(s.F_SOC2010,1,2) = '54' THEN '(54) Textiles, printing and other skilled trades' WHEN SUBSTRING(s.F_SOC2010,1,2) = '61' THEN '(61) Caring personal service occupations' WHEN SUBSTRING(s.F_SOC2010,1,2) = '62' THEN '(62) Leisure, travel and related personal service occupations' WHEN SUBSTRING(s.F_SOC2010,1,2) = '71' THEN '(71) Sales occupations' WHEN SUBSTRING(s.F_SOC2010,1,2) = '72' THEN '(72) Customer service occupations' WHEN SUBSTRING(s.F_SOC2010,1,2) = '81' THEN '(81) Process, plant and machine operatives' WHEN SUBSTRING(s.F_SOC2010,1,2) = '82' THEN '(82) Transport and mobile machine drivers and operatives' WHEN SUBSTRING(s.F_SOC2010,1,2) = '91' THEN '(91) Elementary trades and related occupations' WHEN SUBSTRING(s.F_SOC2010,1,2) = '92' THEN '(92) Elementary administration and service occupations' ELSE 'ERROR' END</t>
  </si>
  <si>
    <t>F_SOC2010</t>
  </si>
  <si>
    <t>iif(s.F_SOC2010 IN ('','0000','0001','0009','-1','-3') ,'0000',s.f_soc2010)</t>
  </si>
  <si>
    <t>iif(s.F_SOC2010 IN ('','0000','0001','0009','-1','-3'),'Unknown',soc.dw_currentlabel)</t>
  </si>
  <si>
    <t>soc2010</t>
  </si>
  <si>
    <t>Start date of contract</t>
  </si>
  <si>
    <t>F_STARTCON</t>
  </si>
  <si>
    <t>IIF(C.F_STARTCON='' OR C.F_STARTCON IS null, '9999/12', SUBSTRING(CAST(C.F_STARTCON AS VARCHAR(10)), 1, 4) + '/' + SUBSTRING(CAST(C.F_STARTCON AS VARCHAR(10)), 6, 2))</t>
  </si>
  <si>
    <t>State school marker</t>
  </si>
  <si>
    <t>F_ZSTATE_MARKER</t>
  </si>
  <si>
    <t>State-funded or non-state-funded school or college</t>
  </si>
  <si>
    <t>[TEACHFUND] -opt in question</t>
  </si>
  <si>
    <t>Student instance FTE</t>
  </si>
  <si>
    <t>(STULOAD)</t>
  </si>
  <si>
    <t>F_STULOAD</t>
  </si>
  <si>
    <t>provider &gt; Student &gt; Instance:</t>
  </si>
  <si>
    <t xml:space="preserve">ISNULL(s.F_STULOAD, 999) </t>
  </si>
  <si>
    <t>Study country</t>
  </si>
  <si>
    <t>[STUCOUNTRY]</t>
  </si>
  <si>
    <t>STUCOUNTRY</t>
  </si>
  <si>
    <t>CASE WHEN ISNULL(g.ZRESPSTATUS, '02')='02' OR ISNULL(g.XACTIVITY, '99')='99' THEN 'Not in GO publication population' else IIF(g.STUCOUNTRY='','ZZ',ISNULL(g.STUCOUNTRY,'ZZ')) end</t>
  </si>
  <si>
    <t>CASE WHEN ISNULL(g.ZRESPSTATUS, '02')='02' OR ISNULL(g.XACTIVITY, '99')='99' THEN 'Not in GO publication population' else IIF(g.STUCOUNTRY='','ZZ',ISNULL(stucountry.label,'ZZ')) end</t>
  </si>
  <si>
    <t>stucountry</t>
  </si>
  <si>
    <t>Study intensity</t>
  </si>
  <si>
    <t>[STUINTENSITY]</t>
  </si>
  <si>
    <t>STUINTENSITY</t>
  </si>
  <si>
    <t>CASE WHEN ISNULL(g.ZRESPSTATUS, '02')='02' OR ISNULL(g.XACTIVITY, '99')='99' THEN 'Not in GO publication population' else IIF(isnull(g.STUINTENSITY,'')='','N/A',g.STUINTENSITY) end</t>
  </si>
  <si>
    <t>CASE WHEN ISNULL(g.ZRESPSTATUS, '02')='02' OR ISNULL(g.XACTIVITY, '99')='99' THEN 'Not in GO publication population' else IIF(isnull(g.STUINTENSITY,'')='','N/A',stuintensity.label ) end</t>
  </si>
  <si>
    <t>stuintensity</t>
  </si>
  <si>
    <t>Study marker</t>
  </si>
  <si>
    <t>XSTUMARKER</t>
  </si>
  <si>
    <t>CASE WHEN ISNULL(g.ZRESPSTATUS, '02')='02' OR ISNULL(g.XACTIVITY, '99')='99' THEN 'Not in GO publication population' else isnull(g.XSTUMARKER,'NA/UNK') end</t>
  </si>
  <si>
    <t>CASE WHEN ISNULL(g.ZRESPSTATUS, '02')='02' OR ISNULL(g.XACTIVITY, '99')='99' THEN 'Not in GO publication population' else isnull(stumarker.label,'NA/UNK') end</t>
  </si>
  <si>
    <t>stumarker</t>
  </si>
  <si>
    <t>Study meaningful</t>
  </si>
  <si>
    <t>[STUMEAN]</t>
  </si>
  <si>
    <t>STUMEAN</t>
  </si>
  <si>
    <t>CASE WHEN ISNULL(g.ZRESPSTATUS, '02')='02' OR ISNULL(g.XACTIVITY, '99')='99' THEN 'Not in GO publication population' else IIF(isnull(g.STUMEAN,'')='','N/A',g.STUMEAN) end</t>
  </si>
  <si>
    <t>stumean</t>
  </si>
  <si>
    <t>Study on-track</t>
  </si>
  <si>
    <t>[STUONTRACK]</t>
  </si>
  <si>
    <t>STUONTRACK</t>
  </si>
  <si>
    <t>CASE WHEN ISNULL(g.ZRESPSTATUS, '02')='02' OR ISNULL(g.XACTIVITY, '99')='99' THEN 'Not in GO publication population' else IIF(isnull(g.STUONTRACK,'')='','N/A',g.STUONTRACK) end</t>
  </si>
  <si>
    <t>CASE WHEN ISNULL(g.ZRESPSTATUS, '02')='02' OR ISNULL(g.XACTIVITY, '99')='99' THEN 'Not in GO publication population' else IIF(isnull(g.STUONTRACK,'')='','N/A',stuontrack.label )end</t>
  </si>
  <si>
    <t>stuontrack</t>
  </si>
  <si>
    <t>Study skills</t>
  </si>
  <si>
    <t>[STUSKILLS]</t>
  </si>
  <si>
    <t>STUSKILLS</t>
  </si>
  <si>
    <t>CASE WHEN ISNULL(g.ZRESPSTATUS, '02')='02' OR ISNULL(g.XACTIVITY, '99')='99' THEN 'Not in GO publication population' else IIF(isnull(g.STUSKILLS,'')='','N/A',g.STUSKILLS) end</t>
  </si>
  <si>
    <t>CASE WHEN ISNULL(g.ZRESPSTATUS, '02')='02' OR ISNULL(g.XACTIVITY, '99')='99' THEN 'Not in GO publication population' else IIF(isnull(g.STUSKILLS,'')='','N/A',stuskills.label )end</t>
  </si>
  <si>
    <t>stuskills</t>
  </si>
  <si>
    <t>Subject of further study</t>
  </si>
  <si>
    <t>Subject of further study 1-3</t>
  </si>
  <si>
    <t>Subject of module</t>
  </si>
  <si>
    <t>(4 digit JACS 2.0)</t>
  </si>
  <si>
    <t>F_MODSBJ</t>
  </si>
  <si>
    <t xml:space="preserve">case when s.DW_FromDate between 20070801 and 20110801 then cc.F_MODSBJ else 'Not applicable 2012/13 onwards' end  </t>
  </si>
  <si>
    <t>iif(s.DW_FromDate between 20070801 and 20110801,modsbj.dw_currentlabel,'Not applicable 2012/13 onwards')</t>
  </si>
  <si>
    <t>modsbj</t>
  </si>
  <si>
    <t xml:space="preserve">case when s.DW_FromDate between 20120801 and 20180801 then cc.F_MODSBJ else 'Not applicable 2019/20 onwards' end  </t>
  </si>
  <si>
    <t>iif(s.DW_FromDate between 20120801 and 20180801,modsbj.dw_currentlabel,'Not applicable 2019/20 onwards')</t>
  </si>
  <si>
    <t>(Principal subject 3.0)</t>
  </si>
  <si>
    <t xml:space="preserve">case when s.DW_FromDate between 20120801 and 20180801 then cc.F_XJACS201 else 'Not applicable 2019/20 onwards' end  </t>
  </si>
  <si>
    <t>iif(s.DW_FromDate between 20120801 and 20180801,pmodsj.dw_currentlabel,'Not applicable 2019/20 onwards')</t>
  </si>
  <si>
    <t>pmodsj</t>
  </si>
  <si>
    <t>(Subject area)</t>
  </si>
  <si>
    <t xml:space="preserve">case when s.DW_FromDate between 20120801 and 20180801 then dbo.SP_JACSA01_area(cc.f_modsbj) else 'Not applicable 2019/20 onwards' end   </t>
  </si>
  <si>
    <t>iif(s.DW_FromDate between 20120801 and 20180801,amodsj.dw_currentlabel,'Not applicable 2019/20 onwards')</t>
  </si>
  <si>
    <t>amodsj</t>
  </si>
  <si>
    <t>(HECoS) (2019/20 onwards)</t>
  </si>
  <si>
    <t>F_XHECOS</t>
  </si>
  <si>
    <t>case WHEN (s.DW_FromDate &gt;= 20190801 AND (cc.F_MODSBJ IN ('',' ') OR cc.F_MODSBJ IS NULL)) THEN 'Unknown' when s.DW_FromDate &gt;= 20190801 then cast(cc.F_MODSBJ as varchar) else 'Not applicable before 2019/20' end</t>
  </si>
  <si>
    <t>case WHEN (s.DW_FromDate &gt;= 20190801 AND (cc.F_MODSBJ IN ('',' ') OR cc.F_MODSBJ IS NULL)) THEN 'Unknown' when s.DW_FromDate &gt;= 20190801 then hmodsj.dw_currentlabel else 'Not applicable before 2019/20' end</t>
  </si>
  <si>
    <t>hmodsbj</t>
  </si>
  <si>
    <t>(Principal subject 2.0)</t>
  </si>
  <si>
    <t>F_XJACS201</t>
  </si>
  <si>
    <t xml:space="preserve">case when s.DW_FromDate between 20070801 and 20110801 then cc.F_XJACS201 else 'Not applicable 2012/13 onwards' end </t>
  </si>
  <si>
    <t>iif(s.DW_FromDate between 20070801 and 20110801,pmodsj.dw_currentlabel,'Not applicable 2012/12 onwards')</t>
  </si>
  <si>
    <t>Subject of study</t>
  </si>
  <si>
    <t>(CAH1) (2019/20 onwards)</t>
  </si>
  <si>
    <t>F_XCAH01</t>
  </si>
  <si>
    <t xml:space="preserve">case when s.DW_FromDate &gt;= 20190801 then IIF(dsj.f_xcah03_1_3_4='CAH26-01-03','CAH26-01-03',dsj.f_xcah01_1_3_4) else 'N/A' end </t>
  </si>
  <si>
    <t>case when s.DW_FromDate &gt;= 20190801 then iif(dsj.f_xcah03_1_3_4='CAH26-01-03','(CAH26) Geography, Earth and Environmental Studies(social sciences)',IIF(dsj.f_xcah01_1_3_4='CAH26','(CAH26) Geography, Earth and Environmental Studies(natural sciences)',cah1.dw_currentlabel)) else 'Not applicable' end</t>
  </si>
  <si>
    <t>cah1</t>
  </si>
  <si>
    <t>(CAH1) (2012/13-2018/19)</t>
  </si>
  <si>
    <t>F_XCAH01_MAP</t>
  </si>
  <si>
    <t>CASE WHEN s.DW_FromDate&lt;20190801 and s.DW_FromDate&gt;=20120801 THEN  IIF(cahjacs.[CAH3 (Code only)]='CAH26-01-03', 'CAH26-01-03', cahjacs.[CAH1 (Code only)]) ELSE 'N/A' END</t>
  </si>
  <si>
    <t>CASE WHEN s.DW_FromDate&lt;20190801 and s.DW_FromDate&gt;=20120801 THEN  IIF(cahjacs.[CAH3 (Code only)]='CAH26-01-03','(CAH26) Geography, Earth and Environmental Studies(social sciences)', replace(cahjacs.[CAH1],'"','')) ELSE 'Not applicable' END</t>
  </si>
  <si>
    <t>cahjacs</t>
  </si>
  <si>
    <t>Emma Jones</t>
  </si>
  <si>
    <t>(CAH2) (2019/20 onwards)</t>
  </si>
  <si>
    <t>F_XCAH02</t>
  </si>
  <si>
    <t>case when s.DW_FromDate &gt;= 20190801 then IIF(dsj.f_xcah03_1_3_4='CAH26-01-03','CAH26-01-03',dsj.f_xcah02_1_3_4) ELSE 'N/A' end</t>
  </si>
  <si>
    <t>case when s.DW_FromDate &gt;= 20190801 then iif(dsj.f_xcah03_1_3_4='CAH26-01-03','(CAH26-01) Geography, Earth and Environmental Studies(social sciences)',IIF(dsj.f_xcah01_1_3_4='CAH26','(CAH26-01) Geography, Earth and Environmental Studies(natural sciences)',cah2.dw_currentlabel))  else 'Not applicable' end</t>
  </si>
  <si>
    <t>cah2</t>
  </si>
  <si>
    <t>(CAH2) (2012/13-2018/19)</t>
  </si>
  <si>
    <t>F_XCAH02_MAP</t>
  </si>
  <si>
    <t>CASE WHEN s.DW_FromDate&lt;20190801 and s.DW_FromDate&gt;=20120801 THEN  IIF(cahjacs.[CAH3 (Code only)]='CAH26-01-03', 'CAH26-01-03', cahjacs.[CAH2 (Code only)]) ELSE 'N/A' END</t>
  </si>
  <si>
    <t>CASE WHEN s.DW_FromDate&lt;20190801 and s.DW_FromDate&gt;=20120801 THEN  IIF(cahjacs.[CAH3 (Code only)]='CAH26-01-03','(CAH26) Geography, Earth and Environmental Studies(social sciences)', replace(cahjacs.[CAH2],'"','')) ELSE 'Not applicable' END</t>
  </si>
  <si>
    <t>(CAH3) (2019/20 onwards)</t>
  </si>
  <si>
    <t>F_XCAH03</t>
  </si>
  <si>
    <t>case when s.DW_FromDate &gt;= 20190801 then dsj.f_xcah03_1_3_4 else 'N/A' end</t>
  </si>
  <si>
    <t>iif(s.DW_FromDate &gt;= 20190801,cah3.dw_currentlabel,'Not applicable')</t>
  </si>
  <si>
    <t>cah3</t>
  </si>
  <si>
    <t>(CAH3) (2012/13-2018/19)</t>
  </si>
  <si>
    <t>F_XCAH03_MAP</t>
  </si>
  <si>
    <t>CASE WHEN s.DW_FromDate&lt;20190801 and s.DW_FromDate&gt;=20120801 THEN cahjacs.[CAH3 (Code only)]ELSE 'N/A' END</t>
  </si>
  <si>
    <t>CASE WHEN s.DW_FromDate&lt;20190801 and s.DW_FromDate&gt;=20120801 THEN replace(cahjacs.[CAH3],'"','') ELSE 'Not applicable' END</t>
  </si>
  <si>
    <t>case when s.DW_FromDate &gt;= 20190801 then cast(dsj.F_XHECOS as varchar) else 'N/A' end</t>
  </si>
  <si>
    <t>iif(s.DW_FromDate &gt;= 20190801,hecos.dw_currentlabel,'Not applicable')</t>
  </si>
  <si>
    <t>hecos</t>
  </si>
  <si>
    <t>F_XJACS01</t>
  </si>
  <si>
    <t>case when s.DW_FromDate between 20070801 and 20110801 then dsj.f_xjacs01 else 'N/A' end</t>
  </si>
  <si>
    <t>iif(s.DW_FromDate between 20070801 and 20110801,jacs01.dw_currentlabel,'Not applicable')</t>
  </si>
  <si>
    <t>jacs01</t>
  </si>
  <si>
    <t>case when s.DW_FromDate between 20120801 and 20180801 then dsj.F_XJACS01 else 'N/A' end</t>
  </si>
  <si>
    <t>iif(s.DW_FromDate between 20120801 and 20180801,jacs01.dw_currentlabel,'Not applicable')</t>
  </si>
  <si>
    <t>(4 digit JACS)</t>
  </si>
  <si>
    <t>(Principal subject JACS 2.0)</t>
  </si>
  <si>
    <t>case when s.DW_FromDate between 20070801 and 20110801 then dsj.f_xjacs201 else 'N/A' end</t>
  </si>
  <si>
    <t>iif(s.DW_FromDate between 20070801 and 20110801,jacs201.dw_currentlabel,'Not applicable')</t>
  </si>
  <si>
    <t>jacs201</t>
  </si>
  <si>
    <t>case when s.DW_FromDate between 20120801 and 20180801 then dsj.F_XJACS201 else 'N/A' end</t>
  </si>
  <si>
    <t>iif(s.DW_FromDate between 20120801 and 20180801,jacs201.dw_currentlabel,'Not applicable')</t>
  </si>
  <si>
    <t>(Principal subject marker- subjects offered by client)</t>
  </si>
  <si>
    <t>(Principal subject)</t>
  </si>
  <si>
    <t>- Subject area marker (Speficied subject area*/ Other)</t>
  </si>
  <si>
    <t>F_XJACSA01</t>
  </si>
  <si>
    <t>case when s.DW_FromDate between 20070801 and 20180801 then dsj.F_XJACSA01 else 'N/A' end</t>
  </si>
  <si>
    <t>iif(s.DW_FromDate between 20070801 and 20180801,jacsa01.dw_currentlabel,'Not applicable')</t>
  </si>
  <si>
    <t>jacsa01</t>
  </si>
  <si>
    <t>marker (Bespoke - EDIT AS APPROPRIATE)</t>
  </si>
  <si>
    <t>Subject of study 1</t>
  </si>
  <si>
    <t>(4-digit JACS)</t>
  </si>
  <si>
    <t>F_ZSBJ1</t>
  </si>
  <si>
    <t>case when s.DW_FromDate between 20120801 and 20180801 then d.F_ZSBJ1 else 'Not applicable 2019/20 onwards' end</t>
  </si>
  <si>
    <t>jzsbj1</t>
  </si>
  <si>
    <t>case when s.DW_FromDate between 20120801 and 20180801 then IIF(SUBSTRING(d.F_ZSBJ1, 1, 2) IN ('R0', 'T0'), 'Q0', SUBSTRING(d.F_ZSBJ1, 1, 2)) else 'Not applicable 2019/20 onwards' end</t>
  </si>
  <si>
    <t>sbjp123</t>
  </si>
  <si>
    <t>case when s.DW_FromDate between 20070801 and 20180801 then dbo.SP_JACSA01_area(d.f_zsbj1) ELSE 'Not applicable 2019/20 onwards' END</t>
  </si>
  <si>
    <t>sbja123</t>
  </si>
  <si>
    <t>F_ZSBJ1_CAH1</t>
  </si>
  <si>
    <t>case when s.DW_FromDate &gt;= 20190801 then IIF(sbj1.[CAH3 (Code only)]='CAH26-01-03','CAH26-01-03',ISNULL(sbj1.[CAH1 (Code only)],'/')) ELSE 'Not applicable before 2019/20' END</t>
  </si>
  <si>
    <t>case when s.DW_FromDate &gt;= 20190801 then IIF(sbj1.[CAH3 (Code only)]='CAH26-01-03','(CAH26) Geography, Earth and Environmental Studies(social sciences)',ISNULL(sbj1.[CAH1],'Not applicable')) ELSE 'Not applicable before 2019/20' END</t>
  </si>
  <si>
    <t>sbj1</t>
  </si>
  <si>
    <t>F_ZSBJ1_CAH1_map</t>
  </si>
  <si>
    <t>CASE WHEN s.DW_FromDate &lt; 20190801 THEN IIF(cahjacs1.[CAH3 (Code only)]='CAH26-01-03','(CAH26) Geography, Earth and Environmental Studies(social sciences)',ISNULL(cahjacs1.[CAH1 (code only)],'Not applicable')) ELSE 'Not applicable 2019/20 onwards' END</t>
  </si>
  <si>
    <t>CASE WHEN s.DW_FromDate &lt; 20190801 THEN IIF(cahjacs1.[CAH3 (Code only)]='CAH26-01-03','(CAH26) Geography, Earth and Environmental Studies(social sciences)',ISNULL(cahjacs1.[CAH1],'Not applicable')) ELSE 'Not applicable 2019/20 onwards' END</t>
  </si>
  <si>
    <t>cahjacs1</t>
  </si>
  <si>
    <t>F_ZSBJ1_CAH2</t>
  </si>
  <si>
    <t>case when s.DW_FromDate &gt;= 20190801 then IIF(sbj1.[CAH3 (Code only)]='CAH26-01-03','CAH26-01-03',ISNULL(sbj1.[CAH2 (Code only)],'/')) ELSE 'Not applicable before 2019/20' END</t>
  </si>
  <si>
    <t>case when s.DW_FromDate &gt;= 20190801 then IIF(sbj1.[CAH3 (Code only)]='CAH26-01-03','(CAH26) Geography, Earth and Environmental Studies(social sciences)',ISNULL(sbj1.[CAH2],'Not applicable')) ELSE 'Not applicable before 2019/20' END</t>
  </si>
  <si>
    <t>F_ZSBJ1_CAH2_map</t>
  </si>
  <si>
    <t>CASE WHEN s.DW_FromDate &lt; 20190801 THEN IIF(cahjacs1.[CAH3 (Code only)]='CAH26-01-03','(CAH26) Geography, Earth and Environmental Studies(social sciences)',ISNULL(cahjacs1.[CAH2 (code only)],'Not applicable')) ELSE 'Not applicable 2019/20 onwards' END</t>
  </si>
  <si>
    <t>CASE WHEN s.DW_FromDate &lt; 20190801 THEN IIF(cahjacs1.[CAH3 (Code only)]='CAH26-01-03','(CAH26) Geography, Earth and Environmental Studies(social sciences)',ISNULL(cahjacs1.[CAH2],'Not applicable')) ELSE 'Not applicable 2019/20 onwards' END</t>
  </si>
  <si>
    <t>F_ZSBJ1_CAH3</t>
  </si>
  <si>
    <t>case when s.DW_FromDate &gt;= 20190801 then ISNULL(sbj1.[CAH3 (Code only)],'/') ELSE 'Not applicable before 2019/20' END</t>
  </si>
  <si>
    <t>case when s.DW_FromDate &gt;= 20190801 then ISNULL(sbj1.[CAH3],'Not applicable') ELSE 'Not applicable before 2019/20' END</t>
  </si>
  <si>
    <t>F_ZSBJ1_CAH3_map</t>
  </si>
  <si>
    <t>CASE WHEN s.DW_FromDate &lt; 20190801 THEN ISNULL(cahjacs1.[CAH3], '/') ELSE 'Not applicable 2019/20 onwards' END</t>
  </si>
  <si>
    <t>(HECOS 2019/20 onwards)</t>
  </si>
  <si>
    <t>F_ZSBJ1_HECOS</t>
  </si>
  <si>
    <t>case when s.DW_FromDate &gt;= 20190801 then cast(d.f_zsbj1 as varchar) else 'Not applicable before 2019/20' end</t>
  </si>
  <si>
    <t>iif(s.DW_FromDate &gt;= 20190801,hzsbj1.dw_currentlabel,'Not applicable before 2019/20')</t>
  </si>
  <si>
    <t>hzsbj1</t>
  </si>
  <si>
    <t>Subject of study 1 percentage</t>
  </si>
  <si>
    <t>F_ZSBJPCT1</t>
  </si>
  <si>
    <t>case when s.DW_FromDate between 20120801 and 20180801 then cast(d.F_ZSBJPCT1 as varchar) ELSE 'Not applicable 2019/20 onwards' END</t>
  </si>
  <si>
    <t>iif(s.DW_FromDate between 20120801 and 20180801,cast(d.F_ZSBJPCT1 as varchar),'Not applicable 2019/20 onwards')</t>
  </si>
  <si>
    <t>F_ZSBJPCT1_HECOS</t>
  </si>
  <si>
    <t>case when s.DW_FromDate &gt;= 20190801 then cast(d.F_ZSBJPCT1 as varchar) ELSE 'Not applicable before 2019/20' END</t>
  </si>
  <si>
    <t>iif(s.DW_FromDate &gt;= 20190801,cast(d.F_ZSBJPCT1 as varchar),'Not applicable before 2019/20')</t>
  </si>
  <si>
    <t>Subject of study 2</t>
  </si>
  <si>
    <t>F_ZSBJ2</t>
  </si>
  <si>
    <t>case when s.DW_FromDate between 20120801 and 20180801 then case when d.f_zsbj2 in ('','/') then 'Not applicable'  else d.f_zsbj2 end ELSE 'Not applicable 2019/20 onwards' end</t>
  </si>
  <si>
    <t>jzsbj2</t>
  </si>
  <si>
    <t xml:space="preserve">case when s.DW_FromDate between 20120801 and 20180801 then CASE WHEN d.F_ZSBJ2 in ('', '/') then 'Not applicable' WHEN SUBSTRING(d.F_ZSBJ2, 1, 2) IN ('R0', 'T0') THEN 'Q0' ELSE SUBSTRING(d.F_ZSBJ2, 1, 2)END ELSE 'Not applicable 2019/20 onwards' END </t>
  </si>
  <si>
    <t>case when s.DW_FromDate between 20070801 and 20180801 then CASE WHEN d.F_ZSBJ2 in ('', '/') THEN 'Not applicable' ELSE dbo.SP_JACSA01_area(d.f_zsbj2) end ELSE 'Not applicable 2019/20 onwards' END</t>
  </si>
  <si>
    <t>F_ZSBJ2_CAH1</t>
  </si>
  <si>
    <t>case when s.DW_FromDate &gt;= 20190801 then IIF(sbj2.[CAH3 (Code only)]='CAH26-01-03','(CAH26) Geography, Earth and Environmental Studies(social sciences)',ISNULL(sbj2.[CAH1],'Not applicable')) ELSE 'Not applicable before 2019/20' END</t>
  </si>
  <si>
    <t>sbj2</t>
  </si>
  <si>
    <t>F_ZSBJ2_CAH1_map</t>
  </si>
  <si>
    <t>case when s.DW_FromDate &lt; 20190801 then case when isnull(cahjacs2.[CAH3 (Code only)],'/') in ('','/') then 'Not applicable' else IIF(cahjacs2.[CAH3 (Code only)]='CAH26-01-03','CAH26-01-03',ISNULL(cahjacs2.[CAH1 (Code only)],'/')) end ELSE 'Not applicable 2019/20 onwards' END</t>
  </si>
  <si>
    <t>case when s.DW_FromDate &lt; 20190801 then case when isnull(cahjacs2.[CAH3 (Code only)],'/') in ('','/') then 'Not applicable' else IIF(cahjacs2.[CAH3 (Code only)]='CAH26-01-03','CAH26-01-03',ISNULL(cahjacs2.[CAH1],'/')) end ELSE 'Not applicable 2019/20 onwards' END</t>
  </si>
  <si>
    <t>cahjacs2</t>
  </si>
  <si>
    <t>F_ZSBJ2_CAH2</t>
  </si>
  <si>
    <t>case when s.DW_FromDate &gt;= 20190801 then IIF(sbj2.[CAH3 (Code only)]='CAH26-01-03','(CAH26) Geography, Earth and Environmental Studies(social sciences)',ISNULL(sbj2.[CAH2],'Not applicable')) ELSE 'Not applicable before 2019/20' END</t>
  </si>
  <si>
    <t>F_ZSBJ2_CAH2_map</t>
  </si>
  <si>
    <t>case when s.DW_FromDate &lt; 20190801 then case when isnull(cahjacs2.[CAH3 (Code only)],'/') in ('','/') then 'Not applicable' else IIF(cahjacs2.[CAH3 (Code only)]='CAH26-01-03','CAH26-01-03',ISNULL(cahjacs2.[CAH2 (code only)],'/')) end ELSE 'Not applicable 2019/20 onwards' END</t>
  </si>
  <si>
    <t>case when s.DW_FromDate &lt; 20190801 then case when isnull(cahjacs2.[CAH3 (Code only)],'/') in ('','/') then 'Not applicable' else IIF(cahjacs2.[CAH3 (Code only)]='CAH26-01-03','CAH26-01-03',ISNULL(cahjacs2.[CAH2],'/')) end ELSE 'Not applicable 2019/20 onwards' END</t>
  </si>
  <si>
    <t>F_ZSBJ2_CAH3</t>
  </si>
  <si>
    <t>F_ZSBJ2_CAH3_map</t>
  </si>
  <si>
    <t xml:space="preserve">case when s.DW_FromDate &lt; 20190801 then case when isnull(cahjacs2.[CAH3 (Code only)],'/') in ('','/') then 'Not applicable' else ISNULL(cahjacs2.[CAH3 (code only)],'/') end ELSE 'Not applicable 2019/20 onwards' END </t>
  </si>
  <si>
    <t xml:space="preserve">case when s.DW_FromDate &lt; 20190801 then case when isnull(cahjacs2.[CAH3 (Code only)],'/') in ('','/') then 'Not applicable' else ISNULL(cahjacs2.[CAH3],'/') end ELSE 'Not applicable 2019/20 onwards' END </t>
  </si>
  <si>
    <t>F_ZSBJ2_HECOS</t>
  </si>
  <si>
    <t>hzsbj2</t>
  </si>
  <si>
    <t>Subject of study 2 percentage</t>
  </si>
  <si>
    <t>F_ZSBJPCT2</t>
  </si>
  <si>
    <t>case when s.DW_FromDate between 20120801 and 20180801 then case when isnull(cast(d.f_zsbjpct2 as varchar),'/') in ('','/') then 'Not applicable' else cast(d.F_ZSBJPCT2 as varchar) end ELSE 'Not applicable 2019/20 onwards' END</t>
  </si>
  <si>
    <t>case when s.DW_FromDate between 20120801 and 20180801 then case when isnull(cast(d.f_ZSBJPCT2 as varchar),'') in ('','/') then 'Not applicable' else cast(d.F_ZSBJPCT2 as varchar) end else 'Not applicable 2019/20 onwards' end</t>
  </si>
  <si>
    <t>F_ZSBJPCT2_HECOS</t>
  </si>
  <si>
    <t>case when s.DW_FromDate &gt;= 20190801 then case when isnull(cast(d.f_zsbjpct2 as varchar),'/') in ('','/') then 'Not applicable' else  cast(d.F_ZSBJPCT2 as varchar)  end ELSE 'Not applicable before 2019/20' END</t>
  </si>
  <si>
    <t>case when s.DW_FromDate &gt;= 20190801 then case when isnull(cast(d.f_ZSBJPCT2 as varchar),'') in ('','/') then 'Not applicable' else cast(d.F_ZSBJPCT2 as varchar) end else 'Not applicable before 2019/20' end</t>
  </si>
  <si>
    <t>Subject of study 3</t>
  </si>
  <si>
    <t>F_ZSBJ3</t>
  </si>
  <si>
    <t>case when s.DW_FromDate between 20120801 and 20180801 then case when isnull(d.f_zsbj3,'/') in ('','/') then 'Not applicable' else  d.f_zsbj3 end ELSE 'Not applicable 2019/20 onwards' END</t>
  </si>
  <si>
    <t>jzsbj3</t>
  </si>
  <si>
    <t>case when s.DW_FromDate between 20120801 and 20180801 then CASE when isnull(d.f_zsbj3,'/') in ('','/') THEN 'Not applicable' WHEN SUBSTRING(d.F_ZSBJ3, 1, 2) IN ('R0', 'T0') THEN 'Q0' ELSE SUBSTRING(d.F_ZSBJ3, 1, 2)END ELSE 'Not applicable 2019/20 onwards' END</t>
  </si>
  <si>
    <t>case when s.DW_FromDate between 20070801 and 20180801 then CASE WHEN isnull(d.F_ZSBJ3,'/') in ('', '/') THEN 'Not applicable' ELSE dbo.SP_JACSA01_area(d.f_zsbj3) end ELSE 'Not applicable 2019/20 onwards' END</t>
  </si>
  <si>
    <t>F_ZSBJ3_CAH1</t>
  </si>
  <si>
    <t>case when s.DW_FromDate &gt;= 20190801 then IIF(sbj3.[CAH3 (Code only)]='CAH26-01-03','(CAH26) Geography, Earth and Environmental Studies(social sciences)',ISNULL(sbj3.[CAH1],'Not applicable')) ELSE 'Not applicable before 2019/20' END</t>
  </si>
  <si>
    <t>sbj3</t>
  </si>
  <si>
    <t>F_ZSBJ3_CAH1_map</t>
  </si>
  <si>
    <t>case when s.DW_FromDate &lt; 20190801 then IIF(cahjacs3.[CAH3 (Code only)]='CAH26-01-03','(CAH26) Geography, Earth and Environmental Studies(social sciences)',ISNULL(cahjacs3.[CAH1 (code only)],'Not applicable')) ELSE 'Not applicable 2019/20 onwards' END</t>
  </si>
  <si>
    <t>case when s.DW_FromDate &lt; 20190801 then IIF(cahjacs3.[CAH3 (Code only)]='CAH26-01-03','(CAH26) Geography, Earth and Environmental Studies(social sciences)',ISNULL(cahjacs3.[CAH1],'Not applicable')) ELSE 'Not applicable 2019/20 onwards' END</t>
  </si>
  <si>
    <t>cahjacs3</t>
  </si>
  <si>
    <t>F_ZSBJ3_CAH2</t>
  </si>
  <si>
    <t>case when s.DW_FromDate &gt;= 20190801 then IIF(sbj3.[CAH3 (Code only)]='CAH26-01-03','(CAH26) Geography, Earth and Environmental Studies(social sciences)',ISNULL(sbj3.[CAH2],'Not applicable')) ELSE 'Not applicable before 2019/20' END</t>
  </si>
  <si>
    <t>F_ZSBJ3_CAH2_map</t>
  </si>
  <si>
    <t>case when s.DW_FromDate &lt; 20190801 then case when isnull(cahjacs3.[CAH3 (Code only)],'/') in ('','/') then 'Not applicable' else IIF(sbj3.[CAH3 (Code only)]='CAH26-01-03','CAH26-01-03',ISNULL(cahjacs3.[CAH2 (Code only)],'/')) end ELSE 'Not applicable 2019/20 onwards' END</t>
  </si>
  <si>
    <t>case when s.DW_FromDate &lt; 20190801 then case when isnull(cahjacs3.[CAH3 (Code only)],'/') in ('','/') then 'Not applicable' else IIF(sbj3.[CAH3 (Code only)]='CAH26-01-03','CAH26-01-03',ISNULL(cahjacs3.[CAH2],'/')) end ELSE 'Not applicable 2019/20 onwards' END</t>
  </si>
  <si>
    <t>F_ZSBJ3_CAH3</t>
  </si>
  <si>
    <t>case when s.DW_FromDate &gt;= 20190801 then ISNULL(sbj3.[CAH3],'Not applicable') ELSE 'Not applicable before 2019/20' END</t>
  </si>
  <si>
    <t>F_ZSBJ3_CAH3_map</t>
  </si>
  <si>
    <t>case when s.DW_FromDate &lt; 20190801 then case when isnull(cahjacs3.[CAH3 (Code only)],'/') in ('','/') then 'Not applicable' else ISNULL(cahjacs3.[CAH3 (Code only)],'/') end ELSE 'Not applicable 2019/20 onwards' END</t>
  </si>
  <si>
    <t>case when s.DW_FromDate &lt; 20190801 then case when isnull(cahjacs3.[CAH3 (Code only)],'/') in ('','/') then 'Not applicable' else ISNULL(cahjacs3.[CAH3],'/') end ELSE 'Not applicable 2019/20 onwards' END</t>
  </si>
  <si>
    <t>F_ZSBJ3_HECOS</t>
  </si>
  <si>
    <t>hzsbj3</t>
  </si>
  <si>
    <t>Subject of study 3 percentage</t>
  </si>
  <si>
    <t>F_ZSBJPCT3</t>
  </si>
  <si>
    <t>case when s.DW_FromDate between 20120801 and 20180801 then case when isnull(cast(d.f_zsbjpct3 as varchar),'/') in ('','/') then 'Not applicable' else  cast(d.F_ZSBJPCT3 as varchar) end else 'Not applicable after 2019/20' end</t>
  </si>
  <si>
    <t>F_ZSBJPCT3_HECOS</t>
  </si>
  <si>
    <t>case when s.DW_FromDate &gt;= 20190801 then case when isnull(cast(d.f_zsbjpct3 as varchar),'/') in ('','/') then 'Not applicable' else cast(d.F_ZSBJPCT3 as varchar) end ELSE 'Not applicable before 2019/20' END</t>
  </si>
  <si>
    <t>Subject of study 4</t>
  </si>
  <si>
    <t>(CAH1)</t>
  </si>
  <si>
    <t>F_ZSBJ4_CAH1</t>
  </si>
  <si>
    <t>case when s.DW_FromDate &gt;= 20190801 then IIF(sbj4.[CAH3 (Code only)]='CAH26-01-03','(CAH26) Geography, Earth and Environmental Studies(social sciences)',ISNULL(sbj4.[CAH1],'Not applicable')) ELSE 'Not applicable before 2019/20' END</t>
  </si>
  <si>
    <t>sbj4</t>
  </si>
  <si>
    <t>(CAH2)</t>
  </si>
  <si>
    <t>F_ZSBJ4_CAH2</t>
  </si>
  <si>
    <t>case when s.DW_FromDate &gt;= 20190801 then IIF(sbj4.[CAH3 (Code only)]='CAH26-01-03','(CAH26) Geography, Earth and Environmental Studies(social sciences)',ISNULL(sbj4.[CAH2],'Not applicable')) ELSE 'Not applicable before 2019/20' END</t>
  </si>
  <si>
    <t>(CAH3)</t>
  </si>
  <si>
    <t>F_ZSBJ4_CAH3</t>
  </si>
  <si>
    <t>case when s.DW_FromDate &gt;= 20190801 then ISNULL(sbj4.[CAH3],'Not applicable') ELSE 'Not applicable before 2019/20' END</t>
  </si>
  <si>
    <t>F_ZSBJ4_HECOS</t>
  </si>
  <si>
    <t>hzsbj4</t>
  </si>
  <si>
    <t>Subject of study 4 percentage</t>
  </si>
  <si>
    <t>F_ZSBJPCT4_HECOS</t>
  </si>
  <si>
    <t>case when s.DW_FromDate &gt;= 20190801 then  case when isnull(cast(d.f_zsbjpct4 as varchar),'/') in ('','/') then 'Not applicable' else cast(d.F_ZSBJPCT4 as varchar) end ELSE 'Not applicable before 2019/20' END</t>
  </si>
  <si>
    <t>Subject of study 5</t>
  </si>
  <si>
    <t>F_ZSBJ5_CAH1</t>
  </si>
  <si>
    <t>case when s.DW_FromDate &gt;= 20190801 then IIF(sbj5.[CAH3 (Code only)]='CAH26-01-03','(CAH26) Geography, Earth and Environmental Studies(social sciences)',ISNULL(sbj5.[CAH1],'Not applicable')) ELSE 'Not applicable before 2019/20' END</t>
  </si>
  <si>
    <t>sbj5</t>
  </si>
  <si>
    <t>F_ZSBJ5_CAH2</t>
  </si>
  <si>
    <t>case when s.DW_FromDate &gt;= 20190801 then case when isnull(sbj5.[CAH3 (Code only)],'/') in ('','/') then 'Not applicable' else IIF(sbj5.[CAH3 (Code only)]='CAH26-01-03','(CAH26) Geography, Earth and Environmental Studies(social sciences)',ISNULL(sbj5.[CAH2],'Not applicable')) end ELSE 'Not applicable before 2019/20' END</t>
  </si>
  <si>
    <t>F_ZSBJ5_CAH3</t>
  </si>
  <si>
    <t>case when s.DW_FromDate &gt;= 20190801 then ISNULL(sbj5.[CAH3],'Not applicable') ELSE 'Not applicable before 2019/20' END</t>
  </si>
  <si>
    <t>F_ZSBJ5_HECOS</t>
  </si>
  <si>
    <t>hzsbj5</t>
  </si>
  <si>
    <t>Subject of study 5 percentage</t>
  </si>
  <si>
    <t>F_ZSBJPCT5_HECOS</t>
  </si>
  <si>
    <t>case when s.DW_FromDate &gt;= 20190801 then case when isnull(cast(d.f_zsbjpct5 as varchar),'/') in ('','/') then 'Not applicable' else cast(d.F_ZSBJPCT5 as varchar) end ELSE 'Not applicable before 2019/20' END</t>
  </si>
  <si>
    <t>Subject of study balance indicator</t>
  </si>
  <si>
    <t>F_ZSBJBID</t>
  </si>
  <si>
    <t>case when s.DW_FromDate &gt;= 20190801 then cast(d.f_zsbjbid  as varchar) else 'Not applicable before 2019/20' end</t>
  </si>
  <si>
    <t>case when s.DW_FromDate &gt;= 20190801 then zsbjbid.DW_CurrentLabel else 'Not applicable before 2019/20' end</t>
  </si>
  <si>
    <t>bid</t>
  </si>
  <si>
    <t xml:space="preserve">Subject of study balance indicator </t>
  </si>
  <si>
    <t>(JACS)</t>
  </si>
  <si>
    <t>F_ZSBJBID_JACS</t>
  </si>
  <si>
    <t>case when s.DW_FromDate between 20120801 and 20180801 then cast(d.f_zsbjbid as varchar) else 'Not applicable 2019/20 onwards' end</t>
  </si>
  <si>
    <t>case when s.DW_FromDate between 20120801 and 20180801 then zsbjbid.DW_CurrentLabel else 'Not applicable 2019/20 onwards' end</t>
  </si>
  <si>
    <t>Supervising responsibility</t>
  </si>
  <si>
    <t>[SUPERVISE]</t>
  </si>
  <si>
    <t>SUPERVISE</t>
  </si>
  <si>
    <t>supervise</t>
  </si>
  <si>
    <t>F_XTARIFF</t>
  </si>
  <si>
    <t>Partial - different bands with separate applicable marker</t>
  </si>
  <si>
    <t>CASE WHEN s.F_QUALENT3 IN ('P41', 'P42', 'P46', 'P47', 'P50', 'P51', 'P53', 'P54', 'P62', 'P63', 'P64', 'P65', 'P68', 'P80', 'P91', 'P93', 'P94', 'X00', 'X01') THEN CASE WHEN s.DW_FromDate&gt;=20170801 THEN 'Not applicable' ELSE case WHEN s.F_XTARIFF IN ('$$$$', '0000', '____', '-1') THEN 'Unknown' ELSE CAST(CAST(s.f_xtariff AS INT)AS VARCHAR) END end ELSE 'Not applicable' END</t>
  </si>
  <si>
    <t>(Full) (HIN linked)</t>
  </si>
  <si>
    <t>Partial - bands only with separate applicable marker</t>
  </si>
  <si>
    <t>CASE WHEN (CASE WHEN s.DW_FromDate &gt;= 20140801 AND s.F_QUALENT3 IN ( 'P41', 'P42', 'P46', 'P47', 'P50', 'P51', 'P53', 'P54', 'P62', 'P63', 'P64', 'P65', 'P68', 'P80', 'P91', 'P93', 'P94', 'X00', 'X01') THEN '1' WHEN s.DW_FromDate BETWEEN 20100801 AND 20130801 AND (s.F_QUALENT3 IN ( 'P41', 'P42', 'P46', 'P47', 'P50', 'P51', 'P53', 'P54', 'P62', 'P63', 'P64', 'P65', 'P68', 'P80', 'P91', 'P93', 'P94', 'X00', 'X01') OR s.F_QUALENT2 IN ('39', '40', '41', '47')) THEN '1' WHEN s.DW_FromDate BETWEEN 20070801 AND 20090801 AND s.F_QUALENT2 IN ('39', '40', '41', '47') THEN '1' ELSE '0' END) = '1' THEN CASE WHEN s.DW_FromDate &gt;= 20170801 THEN CASE WHEN ot.f_xtariff = -8888 THEN 'Unknown' ELSE ot.f_xtariff END WHEN s.DW_FromDate BETWEEN 20090801 AND 20160801 THEN CASE WHEN s.F_XTARIFF IN ( '$$$$', '0000', '____', '-1' ) THEN 'Unknown' ELSE s.F_XTARIFF END WHEN s.DW_FromDate between 20070801 AND 20080801 THEN CASE WHEN s.F_XTARIFF IN ( '$$$$', '0000', '____', '-1' ) THEN 'Unknown' ELSE CAST(s.F_XTARIFF AS NUMERIC) END ELSE 'ERROR' END ELSE 'Not applicable' END</t>
  </si>
  <si>
    <t>varchar(27)</t>
  </si>
  <si>
    <t>bands (1-79/ 80-119 120-179/ 180-239/ 240-299/ 300-359/ 360-419/ 420-479/ 480-539/ 540-998/ 999 and above)</t>
  </si>
  <si>
    <t xml:space="preserve">CASE WHEN s.F_QUALENT3 IN ('P41', 'P42', 'P46', 'P47', 'P50', 'P51', 'P53', 'P54', 'P62', 'P63', 'P64', 'P65','P68', 'P80', 'P91', 'P93', 'P94', 'X00', 'X01') THEN CASE WHEN s.DW_FromDate &gt;= 20170801 THEN 'Not applicable' ELSE CASE WHEN s.F_XTARIFF IN ('$$$$', '0000', '____', '-1') THEN 'Unknown' WHEN s.F_XTARIFF BETWEEN '0001' AND '0079' THEN '1-79' WHEN s.F_XTARIFF BETWEEN '0080' AND '0119' THEN '80-119' WHEN s.F_XTARIFF BETWEEN '0120' AND '0179' THEN '120-179' WHEN s.F_XTARIFF BETWEEN '0180' AND '0239' THEN '180-239' WHEN s.F_XTARIFF BETWEEN '0240' AND '0299' THEN '240-299' WHEN s.F_XTARIFF BETWEEN '0300' AND '0359' THEN '300-359' WHEN s.F_XTARIFF BETWEEN '0360' AND '0419' THEN '360-419' WHEN s.F_XTARIFF BETWEEN '0420' AND '0479' THEN '420-479' WHEN s.F_XTARIFF BETWEEN '0480' AND '0539' THEN '480-539' WHEN s.F_XTARIFF BETWEEN '0540' AND '0998' THEN '540-998' ELSE '999 and above' END END ELSE 'Not applicable' END </t>
  </si>
  <si>
    <t>bands (1-79/ 80-119 120-179/ 180-239/ 240-299/ 300-359/ 360-419/ 420-479/ 480-539/ 540-998/ 999 and above) (HIN linked)</t>
  </si>
  <si>
    <t>CASE WHEN (CASE WHEN s.DW_FromDate &gt;= 20140801 AND s.F_QUALENT3 IN ( 'P41', 'P42', 'P46', 'P47', 'P50', 'P51', 'P53', 'P54', 'P62', 'P63', 'P64', 'P65', 'P68', 'P80', 'P91', 'P93', 'P94', 'X00', 'X01') THEN '1' WHEN s.DW_FromDate BETWEEN 20100801 AND 20130801 AND (s.F_QUALENT3 IN ( 'P41', 'P42', 'P46', 'P47', 'P50', 'P51', 'P53', 'P54', 'P62', 'P63', 'P64', 'P65', 'P68', 'P80', 'P91', 'P93', 'P94', 'X00', 'X01') OR s.F_QUALENT2 IN ('39', '40', '41', '47')) THEN '1' WHEN s.DW_FromDate BETWEEN 20070801 AND 20090801 AND s.F_QUALENT2 IN ('39', '40', '41', '47') THEN '1' ELSE '0' END) = '1' THEN CASE WHEN s.DW_FromDate &gt;= 20170801 THEN CASE WHEN ot.f_xtariff = -8888 THEN 'Unknown' WHEN ot.f_xtariff BETWEEN 1 AND 79 THEN '1-79' WHEN ot.f_xtariff BETWEEN 80 AND 119 THEN '80-119' WHEN ot.f_xtariff BETWEEN 120 AND 179 THEN '120-179' WHEN ot.f_xtariff BETWEEN 180 AND 239 THEN '180-239' WHEN ot.f_xtariff BETWEEN 240 AND 299 THEN '240-299' WHEN ot.f_xtariff BETWEEN 300 AND 359 THEN '300-359' WHEN ot.f_xtariff BETWEEN 360 AND 419 THEN '360-419' WHEN ot.f_xtariff BETWEEN 420 AND 479 THEN '420-479' WHEN ot.f_xtariff BETWEEN 480 AND 539 THEN '480-539' WHEN ot.f_xtariff BETWEEN 540 AND 998 THEN '540-998' ELSE '999 and above' END WHEN s.DW_FromDate BETWEEN 20090801 AND 20160801 THEN CASE WHEN s.F_XTARIFF IN ( '$$$$', '0000', '____', '-1' ) THEN 'Unknown' WHEN s.F_XTARIFF BETWEEN '0001' AND '0079' THEN '1-79' WHEN s.F_XTARIFF BETWEEN '0080' AND '0119' THEN '80-119' WHEN s.F_XTARIFF BETWEEN '0120' AND '0179' THEN '120-179' WHEN s.F_XTARIFF BETWEEN '0180' AND '0239' THEN '180-239' WHEN s.F_XTARIFF BETWEEN '0240' AND '0299' THEN '240-299' WHEN s.F_XTARIFF BETWEEN '0300' AND '0359' THEN '300-359' WHEN s.F_XTARIFF BETWEEN '0360' AND '0419' THEN '360-419' WHEN s.F_XTARIFF BETWEEN '0420' AND '0479' THEN '420-479' WHEN s.F_XTARIFF BETWEEN '0480' AND '0539' THEN '480-539' WHEN s.F_XTARIFF BETWEEN '0540' AND '0998' THEN '540-998' ELSE '999 and above' END WHEN s.DW_FromDate between 20070801 AND 20080801 THEN  CASE WHEN s.F_XTARIFF IN ( '$$$$', '0000', '____', '-1' ) THEN 'Unknown' WHEN CAST(s.F_XTARIFF AS NUMERIC) BETWEEN 1 AND 79 THEN '1-79' WHEN CAST(s.F_XTARIFF AS NUMERIC) BETWEEN 80 AND 119 THEN '80-119' WHEN CAST(s.F_XTARIFF AS NUMERIC) BETWEEN 120 AND 179 THEN '120-179' WHEN CAST(s.F_XTARIFF AS NUMERIC) BETWEEN 180 AND 239 THEN '180-239' WHEN CAST(s.F_XTARIFF AS NUMERIC) BETWEEN 240 AND 299 THEN '240-299' WHEN CAST(s.F_XTARIFF AS NUMERIC) BETWEEN 300 AND 359 THEN '300-359' WHEN CAST(s.F_XTARIFF AS NUMERIC) BETWEEN 360 AND 419 THEN '360-419' WHEN CAST(s.F_XTARIFF AS NUMERIC) BETWEEN 420 AND 479 THEN '420-479' WHEN CAST(s.F_XTARIFF AS NUMERIC) BETWEEN 480 AND 539 THEN '480-539' WHEN CAST(s.F_XTARIFF AS NUMERIC) BETWEEN 540 AND 998 THEN '540-998' ELSE '999 and above' END ELSE 'ERROR' END ELSE 'Not applicable' END</t>
  </si>
  <si>
    <t>varchar(14)</t>
  </si>
  <si>
    <t>F_XTARIFF_APP</t>
  </si>
  <si>
    <t xml:space="preserve">Teachers training course identifier </t>
  </si>
  <si>
    <t xml:space="preserve">iif(s.F_TTCID='','Unknown',s.F_TTCID) </t>
  </si>
  <si>
    <t>ISNULL((SELECT TOP 1 DW_CurrentLabel FROM Student.C051_Meta_Data AS f with(nolock) WHERE s.F_TTCID=F.Entry AND FieldName='TTCID' ORDER BY DW_FromDate DESC), 'Unknown')</t>
  </si>
  <si>
    <t>Teaching funded</t>
  </si>
  <si>
    <t>Teaching phase</t>
  </si>
  <si>
    <t>[TEACHPHS] -opt in question</t>
  </si>
  <si>
    <t>Teaching qualification sought subject 1</t>
  </si>
  <si>
    <t>F_TQSSUB1</t>
  </si>
  <si>
    <t>Teaching qualification sought subject 2</t>
  </si>
  <si>
    <t>F_TQSSUB2</t>
  </si>
  <si>
    <t>Teaching qualification sought subject 3</t>
  </si>
  <si>
    <t>F_TQSSUB3</t>
  </si>
  <si>
    <t>Teaching sector</t>
  </si>
  <si>
    <t>Term time accommodation</t>
  </si>
  <si>
    <t>F_TTACCOM</t>
  </si>
  <si>
    <t>IIF(s.F_TTACCOM IN ('',' ','-1'),'5',s.F_TTACCOM)</t>
  </si>
  <si>
    <t>ISNULL((SELECT top 1 DW_CurrentLabel From Student.C051_Meta_Data f with(nolock) where s.F_TTACCOM =F.Entry and fieldname = 'TTACCOM' order by dw_fromdate desc),'Not known')</t>
  </si>
  <si>
    <t>Term time address</t>
  </si>
  <si>
    <t>F_TTOUTPCODE</t>
  </si>
  <si>
    <t>CASE WHEN s.f_ttpcode IN ('ZZ', 'XK', 'XL', 'IM', 'XF', 'XG', 'XH', 'XI', '99999999') OR s.f_ttpcode IS NULL OR s.f_ttpcode='' THEN 'zzzzUnknown' WHEN SUBSTRING(s.f_ttpcode,1,3)='___' OR SUBSTRING(s.f_ttpcode,1,3)='###' OR SUBSTRING(s.f_ttpcode,1,3)='$$$' THEN 'zzzzUnknown' WHEN CHARINDEX(' ',s.f_ttpcode)=0 THEN CASE WHEN LEN(s.f_ttpcode)&gt;=5 THEN 'zzzzUnknown' ELSE s.f_ttpcode END WHEN ((s.f_ttpcode LIKE '%  %') OR (s.f_ttpcode LIKE '% %')) THEN SUBSTRING(s.f_ttpcode,1,CHARINDEX(' ',s.f_ttpcode)-1) ELSE 'zzzzUnknown' END</t>
  </si>
  <si>
    <t>F_TTSECTORPCODE</t>
  </si>
  <si>
    <t>CASE WHEN s.F_TTPCODE IN ('ZZ', 'GB', 'JE', 'XL', 'XK', 'GG', 'IM', 'XF', 'XI', 'XH', 'XG', '99999999', '1782', '2826', '3826', '4826', '5826', '6826', '7826', '8826') OR s.F_TTPCODE IS NULL OR s.F_TTPCODE='' THEN 'UK Region Unknown' WHEN SUBSTRING(s.F_TTPCODE, 1, 3)='___' OR SUBSTRING(s.F_TTPCODE, 1, 3)='###' OR SUBSTRING(s.F_TTPCODE, 1, 3)='$$$' THEN 'UK Region Unknown' WHEN CHARINDEX(' ', s.F_TTPCODE)=0 THEN CASE WHEN LEN(s.F_TTPCODE)&gt;=5 THEN 'zzzzUnknown' ELSE s.F_TTPCODE END WHEN s.F_TTPCODE LIKE '%  %' THEN CASE WHEN SUBSTRING(s.F_TTPCODE, CHARINDEX(' ', s.F_TTPCODE) + 2, 1) IN ('0', '1', '2', '3', '4', '5', '6', '7', '8', '9') THEN SUBSTRING(s.F_TTPCODE, 1, CHARINDEX(' ', s.F_TTPCODE) - 1) + ' ' + SUBSTRING(s.F_TTPCODE, CHARINDEX(' ', s.F_TTPCODE) + 2, 1) WHEN SUBSTRING(s.F_TTPCODE, CHARINDEX(' ', s.F_TTPCODE) + 2, 1)='O' THEN SUBSTRING(s.F_TTPCODE, 1, CHARINDEX(' ', s.F_TTPCODE) - 1) + ' ' + '0' ELSE SUBSTRING(s.F_TTPCODE, 1, CHARINDEX(' ', s.F_TTPCODE) - 1)END WHEN s.F_TTPCODE LIKE '% %' THEN CASE WHEN SUBSTRING(s.F_TTPCODE, CHARINDEX(' ', s.F_TTPCODE) + 1, 1) IN ('0', '1', '2', '3', '4', '5', '6', '7', '8', '9') THEN SUBSTRING(s.F_TTPCODE, 1, CHARINDEX(' ', s.F_TTPCODE) - 1) + ' ' + SUBSTRING(s.F_TTPCODE, CHARINDEX(' ', s.F_TTPCODE) + 1, 1) WHEN SUBSTRING(s.F_TTPCODE, CHARINDEX(' ', s.F_TTPCODE) + 1, 1)='O' THEN SUBSTRING(s.F_TTPCODE, 1, CHARINDEX(' ', s.F_TTPCODE) - 1) + ' ' + '0' ELSE SUBSTRING(s.F_TTPCODE, 1, CHARINDEX(' ', s.F_TTPCODE) - 1)END ELSE 'UK Region Unknown' END</t>
  </si>
  <si>
    <t xml:space="preserve">iif(tt.F_FULL_LAUA='','Unknown',ISNULL(tt.F_FULL_LAUA,'Unknown')) </t>
  </si>
  <si>
    <t>tt</t>
  </si>
  <si>
    <t>CASE WHEN tt.F_LSOA11 IN ('-3') THEN 'UNK' ELSE ISNULL(tt.F_LSOA11,'UNK') END</t>
  </si>
  <si>
    <t>F_NUTSTT2</t>
  </si>
  <si>
    <t>ISNULL(nutstt.NUTS218CD,'UNK')</t>
  </si>
  <si>
    <t>nutstt</t>
  </si>
  <si>
    <t>F_NUTSTT3</t>
  </si>
  <si>
    <t>ISNULL(nutstt.NUTS318CD,'UNK')</t>
  </si>
  <si>
    <t>Terms of employment</t>
  </si>
  <si>
    <t>F_TERMS</t>
  </si>
  <si>
    <t>c.F_TERMS</t>
  </si>
  <si>
    <t>(select top 1 DW_CurrentLabel From Staff.C025_Meta_Data f with(nolock) where c.F_terms =F.Entry AND fieldname = 'terms' order by dw_fromdate desc)</t>
  </si>
  <si>
    <t>Top 4 A Levels</t>
  </si>
  <si>
    <t>F_ZTOP_ALEVELS</t>
  </si>
  <si>
    <t>LEFT(RTRIM(d.F_ZTOP_ALEVELS+'XXXX'),4)</t>
  </si>
  <si>
    <t>Type of activity</t>
  </si>
  <si>
    <t>F_TYPE</t>
  </si>
  <si>
    <t>cast(a.F_TYPE as varchar)</t>
  </si>
  <si>
    <t>(SELECT top 1 DW_CurrentLabel From Student.C052_Meta_Data f with(nolock) where a.F_TYPE =F.Entry and fieldname = 'TYPE' order by dw_fromdate desc)</t>
  </si>
  <si>
    <t>Type of qualification</t>
  </si>
  <si>
    <t>F_XSTUTYPEQUAL</t>
  </si>
  <si>
    <t>CASE WHEN ISNULL(g.ZRESPSTATUS, '02')='02' OR ISNULL(g.XACTIVITY, '99')='99' THEN 'Not in GO publication population' else isnull(g.XSTUTYPEQUAL,'NA/UNK') end</t>
  </si>
  <si>
    <t>CASE WHEN ISNULL(g.ZRESPSTATUS, '02')='02' OR ISNULL(g.XACTIVITY, '99')='99' THEN 'Not in GO publication population' WHEN g.XSTUTYPEQUAL = 'UN' THEN 'Unknown' WHEN g.XSTUTYPEQUAL = 'NA' THEN 'Not applicable'  ELSE isnull(typeq.label,'NA/UNK') end</t>
  </si>
  <si>
    <t>typeq</t>
  </si>
  <si>
    <t>[TYPEQUAL]</t>
  </si>
  <si>
    <t>TYPEQUAL</t>
  </si>
  <si>
    <t>CASE WHEN ISNULL(g.ZRESPSTATUS, '02')='02' OR ISNULL(g.XACTIVITY, '99')='99' THEN 'Not in GO publication population' else IIF(g.TYPEQUAL='','NA',ISNULL(g.TYPEQUAL,'NA'))  end</t>
  </si>
  <si>
    <t>CASE WHEN ISNULL(g.ZRESPSTATUS, '02')='02' OR ISNULL(g.XACTIVITY, '99')='99' THEN 'Not in GO publication population' else IIF(isnull(g.TYPEQUAL,'')='','NA',typq.label)  end</t>
  </si>
  <si>
    <t>typq</t>
  </si>
  <si>
    <t>Type of qualification of further study</t>
  </si>
  <si>
    <t>UK Provider reference number</t>
  </si>
  <si>
    <t>[UKPRN]</t>
  </si>
  <si>
    <t>UKPRN</t>
  </si>
  <si>
    <t>CASE WHEN ISNULL(g.ZRESPSTATUS, '02')='02' OR ISNULL(g.XACTIVITY, '99')='99' THEN 'Not in GO publication population' else g.UKPRN end</t>
  </si>
  <si>
    <t>CASE WHEN ISNULL(g.ZRESPSTATUS, '02')='02' OR ISNULL(g.XACTIVITY, '99')='99' THEN 'Not in GO publication population' else ukp.ukprn_legalname end</t>
  </si>
  <si>
    <t>ukprn</t>
  </si>
  <si>
    <t>Unique identifier</t>
  </si>
  <si>
    <t>(Instancekey)</t>
  </si>
  <si>
    <t>(Staffid - anonymised)</t>
  </si>
  <si>
    <t>F_STAFFID</t>
  </si>
  <si>
    <t>Hashbytes('SHA2_256', CAST(p.f_staffid AS VARCHAR))</t>
  </si>
  <si>
    <t>varbinary(255)</t>
  </si>
  <si>
    <t>(anonymised HIN)*</t>
  </si>
  <si>
    <t>UNIQUE_ID</t>
  </si>
  <si>
    <t>HASHBYTES('SHA2_256', s.F_NUMHUS+s.F_XINSTID01+CAST(s.F_HUSID AS VARCHAR))</t>
  </si>
  <si>
    <t>(Jisc anonymised)*</t>
  </si>
  <si>
    <t>HASHBYTES('SHA2_256', s.F_NUMHUS+s.F_XINSTID01+CAST(s.F_HUSID AS VARCHAR)+CAST(s.DW_FromDate AS VARCHAR))</t>
  </si>
  <si>
    <t>Unit of assessment percentage</t>
  </si>
  <si>
    <t>F_UOAPCNT</t>
  </si>
  <si>
    <t>ISNULL(r.F_UOAPCNT, -999)</t>
  </si>
  <si>
    <t>r</t>
  </si>
  <si>
    <t>NUMERIC(4, 1)</t>
  </si>
  <si>
    <t>University or college name</t>
  </si>
  <si>
    <t>[UCNAME]</t>
  </si>
  <si>
    <t>UCNAME</t>
  </si>
  <si>
    <t>CASE WHEN ISNULL(g.ZRESPSTATUS, '02')='02' OR ISNULL(g.XACTIVITY, '99')='99' THEN 'Not in GO publication population' else IIF(isnull(g.UCNAME,'')='','N/A',g.UCNAME) end</t>
  </si>
  <si>
    <t>CASE WHEN ISNULL(g.ZRESPSTATUS, '02')='02' OR ISNULL(g.XACTIVITY, '99')='99' THEN 'Not in GO publication population' else IIF(isnull(g.UCNAME,'')='','N/A',prev.ukprn_legalname) end</t>
  </si>
  <si>
    <t>previnst1</t>
  </si>
  <si>
    <t>University or college name of highest previous type of qualification since graduation</t>
  </si>
  <si>
    <t>[YPREVUCNAME]</t>
  </si>
  <si>
    <t>YPREVUCNAME</t>
  </si>
  <si>
    <t>CASE WHEN ISNULL(g.ZRESPSTATUS, '02')='02' OR ISNULL(g.XACTIVITY, '99')='99' THEN 'Not in GO publication population' else ISNULL(k.yprevucname,'UNKNOWN') end</t>
  </si>
  <si>
    <t>kprevinst</t>
  </si>
  <si>
    <t>University or college name other</t>
  </si>
  <si>
    <t>[UCNAME_OTHER]</t>
  </si>
  <si>
    <t>UCNAME_OTHER</t>
  </si>
  <si>
    <t>WIMD deciles</t>
  </si>
  <si>
    <t>WIMD_Decile</t>
  </si>
  <si>
    <t>ISNULL(wimd.IMD_Decile,'N/A')</t>
  </si>
  <si>
    <t>wimd</t>
  </si>
  <si>
    <t>WIMD quintiles</t>
  </si>
  <si>
    <t>WIMD_Quintile</t>
  </si>
  <si>
    <t>case when wimd.IMD_Decile in (1,2) then '1'  when wimd.IMD_Decile in (3,4) then '2' when wimd.IMD_Decile in (5,6) then '3' when wimd.IMD_Decile in (7,8) then '4' when wimd.IMD_Decile in (9,10) then '5' else 'N/A' end</t>
  </si>
  <si>
    <t>Work - Standard Industrial Classification (SIC) 2007⁽¹⁾</t>
  </si>
  <si>
    <t>(4 digit) [XWRK2007SIC]</t>
  </si>
  <si>
    <t>F_XWRK2007SIC</t>
  </si>
  <si>
    <t>CASE WHEN ISNULL(g.ZRESPSTATUS, '02')='02' OR ISNULL(g.XACTIVITY, '99')='99' THEN 'Not in GO publication population'  WHEN isnull(g.Xwrk2007SIC,'$') IN ('$$$$', '_','$$','____','X')  THEN 'NA/UNK' else ISNULL(g.Xwrk2007SIC,'NA/UNK') end</t>
  </si>
  <si>
    <t>CASE WHEN ISNULL(g.ZRESPSTATUS, '02')='02' OR ISNULL(g.XACTIVITY, '99')='99' THEN 'Not in GO publication population'  WHEN isnull(g.Xwrk2007SIC,'$') IN ('$', '_','$$$$','____','X')  THEN 'NA/UNK' else ISNULL(Xwrk2007SIC.LABEL,'NA/UNK') end</t>
  </si>
  <si>
    <t>XWRK2007SIC</t>
  </si>
  <si>
    <t>(1 digit) [XWRK2007SIC1]</t>
  </si>
  <si>
    <t>F_XWRK2007SIC1</t>
  </si>
  <si>
    <t>CASE WHEN ISNULL(g.ZRESPSTATUS, '02')='02' OR ISNULL(g.XACTIVITY, '99')='99' THEN 'Not in GO publication population'  WHEN isnull(g.Xwrk2007SIC1,'$') IN ('$', '_','$$','__','X')  THEN 'NA/UNK' else ISNULL(g.Xwrk2007SIC1,'NA/UNK') end</t>
  </si>
  <si>
    <t>XWRK2007SIC1</t>
  </si>
  <si>
    <t>(2 digit) [XWRK2007SIC2]</t>
  </si>
  <si>
    <t>F_XWRK2007SIC2</t>
  </si>
  <si>
    <t>CASE WHEN ISNULL(g.ZRESPSTATUS, '02')='02' OR ISNULL(g.XACTIVITY, '99')='99' THEN 'Not in GO publication population'  WHEN isnull(g.Xwrk2007SIC2,'$') IN ('$$$', '_', '$$', '___', '__', 'X')  THEN 'NA/UNK' else ISNULL(g.Xwrk2007SIC2,'NA/UNK') end</t>
  </si>
  <si>
    <t>XWRK2007SIC2</t>
  </si>
  <si>
    <t>Work - Standard Occupational Classification (SOC) 2020⁽¹⁾</t>
  </si>
  <si>
    <t>(4 Digit) [XWRK2020SOC]</t>
  </si>
  <si>
    <t>F_XWRK2020SOC</t>
  </si>
  <si>
    <t xml:space="preserve">CASE WHEN ISNULL(g.ZRESPSTATUS, '02')='02'   OR ISNULL(g.XACTIVITY, '99')='99' THEN 'Not in GO publication population'   WHEN ISNULL(g.XWRK2020SOC, '$') IN ('$', '_','$$','__','$$$$','____','0001') THEN 'NA/UNK'   ELSE ISNULL(g.XWRK2020SOC, 'NA/UNK')END </t>
  </si>
  <si>
    <t>XWRK2020SOC</t>
  </si>
  <si>
    <t>(major grouping) [XWRK2020SOC1]</t>
  </si>
  <si>
    <t>F_XWRK2020SOC1</t>
  </si>
  <si>
    <t xml:space="preserve">CASE WHEN ISNULL(g.ZRESPSTATUS, '02')='02'   OR ISNULL(g.XACTIVITY, '99')='99' THEN 'Not in GO publication population'  WHEN ISNULL(g.XWRK2020SOC1, '$') IN ('$', '_','$$','__','X') THEN 'NA/UNK'  ELSE ISNULL(g.XWRK2020SOC1, 'NA/UNK')END </t>
  </si>
  <si>
    <t>XWRK2020SOC1</t>
  </si>
  <si>
    <t>(minor grouping) [XWRK2020SOC3]</t>
  </si>
  <si>
    <t>F_XWRK2020SOC3</t>
  </si>
  <si>
    <t xml:space="preserve">CASE WHEN ISNULL(g.ZRESPSTATUS, '02')='02'   OR ISNULL(g.XACTIVITY, '99')='99' THEN 'Not in GO publication population'   WHEN ISNULL(g.XWRK2020SOC3, '$') IN ('$', '_','$$','__','$$$','___') THEN 'NA/UNK'   ELSE ISNULL(g.XWRK2020SOC3, 'NA/UNK')END </t>
  </si>
  <si>
    <t xml:space="preserve">CASE WHEN ISNULL(g.ZRESPSTATUS, '02')='02'   OR ISNULL(g.XACTIVITY, '99')='99' THEN 'Not in GO publication population'   WHEN ISNULL(g.XWRK2020SOC3, '$') IN ('$', '_','$$','__','$$$','___') THEN 'NA/UNK'   ELSE ISNULL(XWRK2020SOC3.label, 'NA/UNK')END </t>
  </si>
  <si>
    <t>XWRK2020SOC3</t>
  </si>
  <si>
    <t>Work as part of a team</t>
  </si>
  <si>
    <t>[WRKPART] -opt in question</t>
  </si>
  <si>
    <t>Work autonomously</t>
  </si>
  <si>
    <t>[WRKAUTO] -opt in question</t>
  </si>
  <si>
    <t>Work for employer marker</t>
  </si>
  <si>
    <t>F_XEMPLOYERMARKER</t>
  </si>
  <si>
    <t>empmarker</t>
  </si>
  <si>
    <t>Work meaningful</t>
  </si>
  <si>
    <t>[WRKMEAN]</t>
  </si>
  <si>
    <t>WRKMEAN</t>
  </si>
  <si>
    <t>CASE WHEN ISNULL(g.ZRESPSTATUS, '02')='02' OR ISNULL(g.XACTIVITY, '99')='99' THEN 'Not in GO publication population' else IIF(isnull(g.WRKMEAN,'')='','N/A',g.WRKMEAN) end</t>
  </si>
  <si>
    <t>CASE WHEN ISNULL(g.ZRESPSTATUS, '02')='02' OR ISNULL(g.XACTIVITY, '99')='99' THEN 'Not in GO publication population' else  IIF(isnull(g.WRKMEAN,'')='','N/A',wrkmean.label) end</t>
  </si>
  <si>
    <t>wrkmean</t>
  </si>
  <si>
    <t>Work on-track</t>
  </si>
  <si>
    <t>[WRKONTRACK]</t>
  </si>
  <si>
    <t>WRKONTRACK</t>
  </si>
  <si>
    <t>CASE WHEN ISNULL(g.ZRESPSTATUS, '02')='02' OR ISNULL(g.XACTIVITY, '99')='99' THEN 'Not in GO publication population' else IIF(isnull(g.WRKONTRACK,'')='','N/A',g.WRKONTRACK) end</t>
  </si>
  <si>
    <t>CASE WHEN ISNULL(g.ZRESPSTATUS, '02')='02' OR ISNULL(g.XACTIVITY, '99')='99' THEN 'Not in GO publication population' else IIF(isnull(g.WRKONTRACK,'')='','N/A',wrkontrack.label) end</t>
  </si>
  <si>
    <t>wrkontrack</t>
  </si>
  <si>
    <t>Work placement(s) or internship(s)</t>
  </si>
  <si>
    <t>[PLCINTSHP] -opt in question</t>
  </si>
  <si>
    <t>Work skills</t>
  </si>
  <si>
    <t>[WRKSKILLS]</t>
  </si>
  <si>
    <t>WRKSKILLS</t>
  </si>
  <si>
    <t>CASE WHEN ISNULL(g.ZRESPSTATUS, '02')='02' OR ISNULL(g.XACTIVITY, '99')='99' THEN 'Not in GO publication population' else IIF(isnull(g.WRKSKILLS,'')='','N/A',g.WRKSKILLS) end</t>
  </si>
  <si>
    <t xml:space="preserve">CASE WHEN ISNULL(g.ZRESPSTATUS, '02')='02' OR ISNULL(g.XACTIVITY, '99')='99' THEN 'Not in GO publication population' else iif(isnull(g.WRKSKILLS,'')='','N/A',wrkskills.label )end </t>
  </si>
  <si>
    <t>wrkskills</t>
  </si>
  <si>
    <t>Work under supervision</t>
  </si>
  <si>
    <t>[WRKSUPER] -opt in question</t>
  </si>
  <si>
    <t>Year of programme</t>
  </si>
  <si>
    <t>(Foundation year/ 1/ 2/ 3/ 4/ 5/ 6 years and over/ Unknown)</t>
  </si>
  <si>
    <t>F_YEARPRG</t>
  </si>
  <si>
    <t>CASE WHEN s.F_YEARPRG=0 THEN 'Foundation year' WHEN ISNULL(s.F_YEARPRG, 99)=99 THEN 'Unknown' WHEN s.F_YEARPRG&gt;=6 THEN '6 years and over' ELSE CAST(s.F_YEARPRG AS VARCHAR(7))END</t>
  </si>
  <si>
    <t>Year of student</t>
  </si>
  <si>
    <t>(1/ 2/ 3/ 4/ 5/ 6 years and over/ Unknown)</t>
  </si>
  <si>
    <t>F_YEARSTU</t>
  </si>
  <si>
    <t>case when isnull(s.f_yearstu,99) = 99 then 'Unknown' when s.f_yearstu &gt;= 6 then '6 years and over' else cast(s.f_yearstu as varchar(7)) end</t>
  </si>
  <si>
    <t>Years worked</t>
  </si>
  <si>
    <t>[YEARWORK]</t>
  </si>
  <si>
    <t>YEARWORK</t>
  </si>
  <si>
    <t>Young/Mature marker</t>
  </si>
  <si>
    <t>YM_MKR</t>
  </si>
  <si>
    <t>CASE  when dbo.SP_Age(s.F_BIRTHDTE,s.F_COMDATE)  in ('-1','0') then 'Unknown' WHEN s.F_XLEV301 = 2 AND ISNULL(dbo.SP_Age(s.F_BIRTHDTE,s.F_COMDATE), -9999) BETWEEN 1 AND 20 THEN 'Young' WHEN s.F_XLEV301 = 2 AND ISNULL(dbo.SP_Age(s.F_BIRTHDTE,s.F_COMDATE), -9999) &gt; 20 THEN 'Mature' WHEN s.F_XLEV301 = 1 AND ISNULL(dbo.SP_Age(s.F_BIRTHDTE,s.F_COMDATE), -9999) BETWEEN 1 AND 24 THEN 'Young' WHEN s.F_XLEV301 = 1 AND ISNULL(dbo.SP_Age(s.F_BIRTHDTE,s.F_COMDATE), -9999) &gt; 24 THEN 'Mature' WHEN ISNULL(dbo.SP_Age(s.F_BIRTHDTE,s.F_COMDATE), -9999) = -9999 THEN 'Unknown' ELSE 'error' END</t>
  </si>
  <si>
    <t>Zero hours contract marker</t>
  </si>
  <si>
    <t>f_zerohrs</t>
  </si>
  <si>
    <t xml:space="preserve">ISNULL(c.f_zerohrs,'UNK') </t>
  </si>
  <si>
    <t>(select top 1 DW_CurrentLabel From Staff.C025_Meta_Data f with(nolock) where c.F_zerohrs =F.Entry AND fieldname = 'zerohrs' order by dw_fromdate desc)</t>
  </si>
  <si>
    <t>Activity (2007/08 - 2010/11)</t>
  </si>
  <si>
    <t>F_XACTIV01</t>
  </si>
  <si>
    <t>Type of Qualification</t>
  </si>
  <si>
    <t>F_TYPEQUAL</t>
  </si>
  <si>
    <t>varchar</t>
  </si>
  <si>
    <t>Collection:</t>
  </si>
  <si>
    <t>Unique ID:</t>
  </si>
  <si>
    <t>UniqueID2</t>
  </si>
  <si>
    <t>Additional restrictions:</t>
  </si>
  <si>
    <t>Population restrictions:</t>
  </si>
  <si>
    <t>Category of onward use:</t>
  </si>
  <si>
    <t>Student Record (excluding APs)</t>
  </si>
  <si>
    <t xml:space="preserve">AP Student Record (excluding main student record) </t>
  </si>
  <si>
    <t>Student Record and AP Student Record</t>
  </si>
  <si>
    <t>Aggregate Offshore Record</t>
  </si>
  <si>
    <t>Graduate Outcomes Survey Results Record</t>
  </si>
  <si>
    <t>Student Record (excluding APs) and Graduate Outcomes Survey Results Record</t>
  </si>
  <si>
    <t>Student Record (excluding APs) and Destinations of Leavers from Higher Education (DLHE) Survey</t>
  </si>
  <si>
    <t>AP Student Record and AP Destinations of Leavers from Higher Education (DLHE) Survey</t>
  </si>
  <si>
    <t>Finance Record</t>
  </si>
  <si>
    <t>Staff Record</t>
  </si>
  <si>
    <t>AP Student Record and Graduate Outcomes Survey Results Record</t>
  </si>
  <si>
    <t>Licence expiry date</t>
  </si>
  <si>
    <t>Match:</t>
  </si>
  <si>
    <t>AP Field available?</t>
  </si>
  <si>
    <t>AP SQL</t>
  </si>
  <si>
    <t>AP Label</t>
  </si>
  <si>
    <t>AP GroupBy</t>
  </si>
  <si>
    <t>AP Label GroupBy</t>
  </si>
  <si>
    <t>DF UniqueID</t>
  </si>
  <si>
    <t>Time series analysis (legacy vs DF)</t>
  </si>
  <si>
    <t>?</t>
  </si>
  <si>
    <t>(Subject area) - 2002/03 - 2011/12 only</t>
  </si>
  <si>
    <t>F_ACCDIS1</t>
  </si>
  <si>
    <t>CASE WHEN P.DW_FromDate NOT BETWEEN 20020801 AND 20110801 THEN 'NA_1213' WHEN ISNULL(P.F_ACCDIS1, '-1') IN ('-1', '', ' ', 'XXXX') THEN 'N/A' WHEN p.DW_FromDate BETWEEN 20080801 AND 20110801 THEN jacs2_1.F_XJACSA01_v2 WHEN p.DW_FromDate BETWEEN 20020801 AND 20070801 THEN jacs1_1.F_XJACSA01_v17 ELSE 'ERROR' END</t>
  </si>
  <si>
    <t>CASE WHEN P.DW_FromDate NOT BETWEEN 20020801 AND 20110801 THEN 'Not applicable (prior to 2002/03 and 2012/13 onwards)' WHEN ISNULL(P.F_ACCDIS1, '-1') IN ('-1', '', ' ', 'XXXX') THEN 'Not applicable' WHEN p.DW_FromDate BETWEEN 20080801 AND 20110801 THEN jacs2_1.F_XJACSA01_v2_LABELS WHEN p.DW_FromDate BETWEEN 20020801 AND 20070801 THEN jacs1_1.F_XJACSA01_v17_LABELS ELSE 'ERROR' END</t>
  </si>
  <si>
    <t>jacs_subarea_1</t>
  </si>
  <si>
    <t>Academic discipline 1 (4-digit JACS v1.7)</t>
  </si>
  <si>
    <t>2002/03 - 2007/08 only</t>
  </si>
  <si>
    <t>CASE WHEN P.DW_FromDate NOT BETWEEN 20020801 AND 20070801 THEN 'NA_0809' WHEN P.F_ACCDIS1 IN ('', ' ', 'XXXX') THEN 'N/A' ELSE P.F_ACCDIS1 END</t>
  </si>
  <si>
    <t>CASE WHEN P.DW_FromDate NOT BETWEEN 20020801 AND 20070801 THEN 'Not applicable (prior to 2002/03 and 2008/09 onwards)' WHEN P.F_ACCDIS1 IN ('', ' ', 'XXXX') THEN 'Not applicable' ELSE jacs1_1.F_XJACS01_v17_LABELS END</t>
  </si>
  <si>
    <t>jacs1_1</t>
  </si>
  <si>
    <t>Becky Hobbs</t>
  </si>
  <si>
    <t>Academic discipline 1 (4-digit JACS v2.0)</t>
  </si>
  <si>
    <t>2008/09 - 2011/12 only</t>
  </si>
  <si>
    <t>CASE WHEN P.DW_FromDate NOT BETWEEN 20080801 AND 20110801 THEN 'NA_1213' WHEN P.F_ACCDIS1 IN ('', ' ', 'XXXX') THEN 'N/A' ELSE P.F_ACCDIS1 END</t>
  </si>
  <si>
    <t>CASE WHEN P.DW_FromDate NOT BETWEEN 20080801 AND 20110801 THEN 'Not applicable (prior to 2008/09 and 2012/13 onwards)' WHEN P.F_ACCDIS1 IN ('', ' ', 'XXXX') THEN 'Not applicable' ELSE jacs2_1.F_XJACS01_v2_LABELS END</t>
  </si>
  <si>
    <t>jacs2_1</t>
  </si>
  <si>
    <t>Academic discipline 1 (Principal subject JACS v1.7)</t>
  </si>
  <si>
    <t>CASE WHEN P.DW_FromDate NOT BETWEEN 20020801 AND 20070801 THEN 'NA_0809' WHEN ISNULL(P.F_ACCDIS1, '-1') IN ('-1', '', ' ', 'XXXX') THEN 'N/A' WHEN SUBSTRING(P.F_ACCDIS1,1,3) IN ('G01', 'G91', 'G02',  'G92') THEN SUBSTRING(P.F_ACCDIS1,1,3) WHEN P.F_ACCDIS1 IN ('T0', 'R0') THEN 'Q0' WHEN SUBSTRING(P.F_ACCDIS1,1,2) = 'J0' THEN 'H0' ELSE SUBSTRING(P.F_ACCDIS1,1,2) END</t>
  </si>
  <si>
    <t>CASE WHEN P.DW_FromDate NOT BETWEEN 20020801 AND 20070801 THEN 'Not applicable (Prior to 2002/03 and 2008/09 onwards)' WHEN ISNULL(P.F_ACCDIS1, '-1') IN ('-1', '', ' ', 'XXXX') THEN 'Not applicable' ELSE jacs1_1.F_XJACS201_V17_LABELS END</t>
  </si>
  <si>
    <t>Academic discipline 1 (Principal subject v2.0)</t>
  </si>
  <si>
    <t>CASE WHEN P.DW_FromDate NOT BETWEEN 20080801 AND 20110801 THEN 'NA_1213' WHEN ISNULL(P.F_ACCDIS1, '-1') IN ('-1', '', ' ', 'XXXX') THEN 'N/A' WHEN SUBSTRING(P.F_ACCDIS1,1,3) IN ('G01', 'G91', 'G02',  'G92') THEN SUBSTRING(P.F_ACCDIS1,1,3) WHEN P.F_ACCDIS1 IN ('T0', 'R0') THEN 'Q0' WHEN SUBSTRING(P.F_ACCDIS1,1,2) = 'J0' THEN 'H0' ELSE SUBSTRING(P.F_ACCDIS1,1,2) END</t>
  </si>
  <si>
    <t>CASE WHEN P.DW_FromDate NOT BETWEEN 20080801 AND 20110801 THEN 'Not applicable (Prior to 2008/09 and 2012/13 onwards)' WHEN ISNULL(P.F_ACCDIS1, '-1') IN ('-1', '', ' ', 'XXXX') THEN 'Not applicable' ELSE jacs2_1.F_XJACS201_V2_LABELS END</t>
  </si>
  <si>
    <t>Academic discipline 2 (4-digit JACS v1.7)</t>
  </si>
  <si>
    <t>F_ACCDIS2</t>
  </si>
  <si>
    <t>CASE WHEN P.DW_FromDate NOT BETWEEN 20020801 AND 20070801 THEN 'NA_0809' WHEN P.F_ACCDIS2 IN ('', ' ', 'XXXX') THEN 'N/A' ELSE P.F_ACCDIS2 END</t>
  </si>
  <si>
    <t>CASE WHEN P.DW_FromDate NOT BETWEEN 20020801 AND 20070801 THEN 'Not applicable (prior to 2002/03 and 2008/09 onwards)' WHEN P.F_ACCDIS2 IN ('', ' ', 'XXXX') THEN 'Not applicable' ELSE jacs1_2.F_XJACS01_v17_LABELS END</t>
  </si>
  <si>
    <t>jacs1_2</t>
  </si>
  <si>
    <t>Academic discipline 2 (4-digit JACS v2.0)</t>
  </si>
  <si>
    <t>CASE WHEN P.DW_FromDate NOT BETWEEN 20080801 AND 20110801 THEN 'NA_1213' WHEN P.F_ACCDIS2 IN ('', ' ', 'XXXX') THEN 'N/A' ELSE P.F_ACCDIS2 END</t>
  </si>
  <si>
    <t>CASE WHEN P.DW_FromDate NOT BETWEEN 20080801 AND 20110801 THEN 'Not applicable (prior to 2008/09 and 2012/13 onwards)' WHEN P.F_ACCDIS2 IN ('', ' ', 'XXXX') THEN 'Not applicable' ELSE</t>
  </si>
  <si>
    <t>jacs2_2</t>
  </si>
  <si>
    <t>Academic discipline 2 (Principal subject JACS v1.7)</t>
  </si>
  <si>
    <t>CASE WHEN P.DW_FromDate NOT BETWEEN 20020801 AND 20070801 THEN 'NA_0809' WHEN ISNULL(P.F_ACCDIS2, '-1') IN ('-1', '', ' ', 'XXXX') THEN 'N/A'  WHEN SUBSTRING(P.F_ACCDIS2,1,3) IN ('G01', 'G91', 'G02',  'G92') THEN SUBSTRING(P.F_ACCDIS2,1,3) WHEN P.F_ACCDIS2 IN ('T0', 'R0') THEN 'Q0' WHEN SUBSTRING(P.F_ACCDIS2,1,2) = 'J0' THEN 'H0' ELSE SUBSTRING(P.F_ACCDIS2,1,2) END</t>
  </si>
  <si>
    <t>CASE WHEN P.DW_FromDate NOT BETWEEN 20020801 AND 20070801 THEN 'Not applicable (Prior to 2002/03 and 2008/09 onwards)' WHEN ISNULL(P.F_ACCDIS2, '-1') IN ('-1', '', ' ', 'XXXX') THEN 'Not applicable' ELSE jacs1_2.F_XJACS201_V17_LABELS END</t>
  </si>
  <si>
    <t>Academic discipline 2 (Principal subject JACS v2.0)</t>
  </si>
  <si>
    <t>CASE WHEN P.DW_FromDate NOT BETWEEN 20080801 AND 20110801 THEN 'NA_1213' WHEN ISNULL(P.F_ACCDIS2, '-1') IN ('-1', '', ' ', 'XXXX') THEN 'N/A' WHEN SUBSTRING(P.F_ACCDIS2,1,3) IN ('G01', 'G91', 'G02',  'G92') THEN SUBSTRING(P.F_ACCDIS2,1,3) WHEN P.F_ACCDIS2 IN ('T0', 'R0') THEN 'Q0' WHEN SUBSTRING(P.F_ACCDIS2,1,2) = 'J0' THEN 'H0' ELSE SUBSTRING(P.F_ACCDIS2,1,2) END</t>
  </si>
  <si>
    <t>CASE WHEN P.DW_FromDate NOT BETWEEN 20080801 AND 20110801 THEN 'Not applicable (Prior to 2008/09 and 2012/13 onwards)' WHEN ISNULL(P.F_ACCDIS2, '-1') IN ('-1', '', ' ', 'XXXX') THEN 'Not applicable' ELSE jacs2_2.F_XJACS201_V2_LABELS END</t>
  </si>
  <si>
    <t>Academic discipline 2 (Subject area)</t>
  </si>
  <si>
    <t>2002/03 - 2011/12 only</t>
  </si>
  <si>
    <t>CASE WHEN P.DW_FromDate NOT BETWEEN 20020801 AND 20110801 THEN 'NA_1213' WHEN ISNULL(P.F_ACCDIS2, '-1') IN ('-1', '', ' ', 'XXXX') THEN 'N/A' WHEN p.DW_FromDate BETWEEN 20080801 AND 20110801 THEN jacs2_2.F_XJACSA01_v2 WHEN p.DW_FromDate BETWEEN 20020801 AND 20070801 THEN jacs1_2.F_XJACSA01_v17 ELSE 'ERROR' END</t>
  </si>
  <si>
    <t>CASE WHEN P.DW_FromDate NOT BETWEEN 20020801 AND 20110801 THEN 'Not applicable (prior to 2002/03 and 2012/13 onwards)' WHEN ISNULL(P.F_ACCDIS2, '-1') IN ('-1', '', ' ', 'XXXX') THEN 'Not applicable' WHEN p.DW_FromDate BETWEEN 20080801 AND 20110801 THEN jacs2_2.F_XJACSA01_v2_LABELS WHEN p.DW_FromDate BETWEEN 20020801 AND 20070801 THEN jacs1_2.F_XJACSA01_v17_LABELS ELSE 'ERROR' END</t>
  </si>
  <si>
    <t>jacs_subarea_2</t>
  </si>
  <si>
    <t>varchar(34)</t>
  </si>
  <si>
    <t>varchar(29)</t>
  </si>
  <si>
    <t>varchar(32)</t>
  </si>
  <si>
    <t>[Activity 1]</t>
  </si>
  <si>
    <t>[Activity 2]</t>
  </si>
  <si>
    <t>[Activity 3]</t>
  </si>
  <si>
    <t>[Activity 4]</t>
  </si>
  <si>
    <t>[Activity 5]</t>
  </si>
  <si>
    <t>[Activity 6]</t>
  </si>
  <si>
    <t>[Activity 7]</t>
  </si>
  <si>
    <t>[Activity 8]</t>
  </si>
  <si>
    <t>[Activity 9]</t>
  </si>
  <si>
    <t>[Activity 10]</t>
  </si>
  <si>
    <t>[Activity 11]</t>
  </si>
  <si>
    <t>CASE WHEN s.DW_FromDate &gt;=20110801 THEN 'N/A year' WHEN AND s.F_XPDLHE02!='1' AND ISNULL(dh.F_XPDLHE,'0')!='1' AND ISNULL(dh.F_XACTIV01,'X')='X' THEN 'NDLHE' ELSE ISNULL(dh.F_XACTIV01,'Z') END</t>
  </si>
  <si>
    <t>CASE WHEN s.DW_FromDate &lt;20110801 THEN 'N/A year' WHEN s.f_xpdlhe02 != '1' AND ISNULL(dh.f_xpubpopd01, '0') != '1' AND ISNULL(dh.f_xactiv02, 'XX') = 'XX' THEN 'NDLHE' ELSE ISNULL(dh.F_XACTIV02,'ZZ') END</t>
  </si>
  <si>
    <t>CASE WHEN cc.DW_FromDate &lt;= 20110801 THEN 'Not applicable (2011/12 and prior)' ELSE cc.F_XACTSOC01 END</t>
  </si>
  <si>
    <t>CASE WHEN cc.DW_FromDate &lt;= 20110801 THEN 'Not applicable (2011/12 and prior)' ELSE XACTSOC01.DW_CurrentLabel END</t>
  </si>
  <si>
    <t>CASE when c.dw_fromdate &lt;= 20110801 then 'Not applicable (2011/12 and prior)'  else iif(P.F_ACTLEAVE='', 'Unknown/Not applicable',ACTLEAVE.dw_currentlabel) END</t>
  </si>
  <si>
    <t> </t>
  </si>
  <si>
    <t>CASE WHEN s.F_XAGEJ01 BETWEEN '01' AND '16' THEN '16 and under' WHEN s.F_XAGEJ01 BETWEEN '17' AND '74' THEN CAST(s.F_XAGEJ01 AS VARCHAR(2)) WHEN s.F_XAGEJ01 BETWEEN '75' AND '98' THEN '75 and over' ELSE 'Unknown' END</t>
  </si>
  <si>
    <t>Only available at country of HEP level. Do not use unless necessary!</t>
  </si>
  <si>
    <t xml:space="preserve">CASE WHEN s.F_QUALENT3 IN ('P41','P42','P46','P47','P50','P51','P53', 'P54', 'P62','P63','P64','P65','P68','P80','P91','P93','P94','X00','X01') AND s.dw_fromdate &gt;= '20170801' THEN 'Applicable' ELSE 'Not applicable' END </t>
  </si>
  <si>
    <t>CASE WHEN s.DW_CollectionYear &gt;= 2019 THEN CASE WHEN (IIF(s.F_INITIATIVES1 = ' ', 'UNK', s.F_INITIATIVES1) IN ('K', 'Z') OR IIF(s.F_INITIATIVES2 = ' ', 'UNK', s.F_INITIATIVES2) IN ('K', 'Z')) THEN 'Apprenticeship'   ELSE 'Not Apprenticeship' END WHEN s.DW_CollectionYear &gt;= 2016 THEN CASE  WHEN s.F_INITIATIVES1 = 'K' THEN 'Apprenticeship'  WHEN s.F_INITIATIVES2 = 'K' THEN 'Apprenticeship'  ELSE 'Not Apprenticeship' END ELSE 'Not Applicable' END</t>
  </si>
  <si>
    <t>CASE WHEN ISNULL(g.ZRESPSTATUS, '02')='02' OR ISNULL(g.XACTIVITY, '99')='99' THEN 'Not in GO publication population'  WHEN g.dw_fromdate=20200801 THEN 'Not applicable 2020/21 onwards' else IIF(isnull(g.BUSCOMPFUND1,'')='','N/A',g.BUSCOMPFUND1) end</t>
  </si>
  <si>
    <t>CASE WHEN ISNULL(g.ZRESPSTATUS, '02')='02' OR ISNULL(g.XACTIVITY, '99')='99' THEN 'Not in GO publication population'  WHEN g.dw_fromdate=20200801 THEN 'Not applicable 2020/21 onwards' else IIF(isnull(g.BUSCOMPFUND1,'')='','N/A',BUSCOMPFUND1.label) end</t>
  </si>
  <si>
    <t>[Business, self-employment or portfolio company funding 1]</t>
  </si>
  <si>
    <t>CASE WHEN ISNULL(g.ZRESPSTATUS, '02')='02' OR ISNULL(g.XACTIVITY, '99')='99' THEN 'Not in GO publication population'  WHEN g.dw_fromdate=20200801 THEN 'Not applicable 2020/21 onwards' else IIF(isnull(g.BUSCOMPFUND2,'')='','N/A',g.BUSCOMPFUND2) end</t>
  </si>
  <si>
    <t>CASE WHEN ISNULL(g.ZRESPSTATUS, '02')='02' OR ISNULL(g.XACTIVITY, '99')='99' THEN 'Not in GO publication population'  WHEN g.dw_fromdate=20200801 THEN 'Not applicable 2020/21 onwards' else IIF(isnull(g.BUSCOMPFUND2,'')='','N/A',BUSCOMPFUND2.label) end</t>
  </si>
  <si>
    <t>[Business, self-employment or portfolio company funding 2]</t>
  </si>
  <si>
    <t>CASE WHEN ISNULL(g.ZRESPSTATUS, '02')='02' OR ISNULL(g.XACTIVITY, '99')='99' THEN 'Not in GO publication population'  WHEN g.dw_fromdate=20200801 THEN 'Not applicable 2020/21 onwards' else IIF(isnull(g.BUSCOMPFUND3,'')='','N/A',g.BUSCOMPFUND3) end</t>
  </si>
  <si>
    <t>CASE WHEN ISNULL(g.ZRESPSTATUS, '02')='02' OR ISNULL(g.XACTIVITY, '99')='99' THEN 'Not in GO publication population' WHEN g.dw_fromdate=20200801 THEN 'Not applicable 2020/21 onwards' else IIF(isnull(g.BUSCOMPFUND3,'')='','N/A',BUSCOMPFUND3.label) end</t>
  </si>
  <si>
    <t>[Business, self-employment or portfolio company funding 3]</t>
  </si>
  <si>
    <t>CASE WHEN ISNULL(g.ZRESPSTATUS, '02')='02' OR ISNULL(g.XACTIVITY, '99')='99' THEN 'Not in GO publication population' WHEN g.dw_fromdate=20200801 THEN 'Not applicable 2020/21 onwards' else IIF(isnull(g.BUSCOMPFUND4,'')='','N/A',g.BUSCOMPFUND4) end</t>
  </si>
  <si>
    <t>CASE WHEN ISNULL(g.ZRESPSTATUS, '02')='02' OR ISNULL(g.XACTIVITY, '99')='99' THEN 'Not in GO publication population' WHEN g.dw_fromdate=20200801 THEN 'Not applicable 2020/21 onwards' else IIF(isnull(g.BUSCOMPFUND4,'')='','N/A',BUSCOMPFUND4.label) end</t>
  </si>
  <si>
    <t>[Business, self-employment or portfolio company funding 4]</t>
  </si>
  <si>
    <t>CASE WHEN ISNULL(g.ZRESPSTATUS, '02')='02' OR ISNULL(g.XACTIVITY, '99')='99' THEN 'Not in GO publication population' WHEN g.dw_fromdate=20200801 THEN 'Not applicable 2020/21 onwards' else IIF(isnull(g.BUSCOMPFUND5,'')='','N/A',g.BUSCOMPFUND5) end</t>
  </si>
  <si>
    <t>CASE WHEN ISNULL(g.ZRESPSTATUS, '02')='02' OR ISNULL(g.XACTIVITY, '99')='99' THEN 'Not in GO publication population' WHEN g.dw_fromdate=20200801 THEN 'Not applicable 2020/21 onwards' else IIF(isnull(g.BUSCOMPFUND5,'')='','N/A',BUSCOMPFUND5.label) end</t>
  </si>
  <si>
    <t>[Business, self-employment or portfolio company funding 5]</t>
  </si>
  <si>
    <t>CASE WHEN ISNULL(g.ZRESPSTATUS, '02')='02' OR ISNULL(g.XACTIVITY, '99')='99' THEN 'Not in GO publication population' WHEN g.dw_fromdate=20200801 THEN 'Not applicable 2020/21 onwards' else IIF(isnull(g.BUSCOMPFUND6,'')='','N/A',g.BUSCOMPFUND6) end</t>
  </si>
  <si>
    <t>CASE WHEN ISNULL(g.ZRESPSTATUS, '02')='02' OR ISNULL(g.XACTIVITY, '99')='99' THEN 'Not in GO publication population' WHEN g.dw_fromdate=20200801 THEN 'Not applicable 2020/21 onwards' else IIF(isnull(g.BUSCOMPFUND6,'')='','N/A',BUSCOMPFUND6.label) end</t>
  </si>
  <si>
    <t>[Business, self-employment or portfolio company funding 6]</t>
  </si>
  <si>
    <t>CASE WHEN ISNULL(g.ZRESPSTATUS, '02')='02' OR ISNULL(g.XACTIVITY, '99')='99' THEN 'Not in GO publication population' WHEN g.dw_fromdate=20200801 THEN 'Not applicable 2020/21 onwards' else IIF(isnull(g.BUSOWNEMP,'')='','N/A',g.BUSOWNEMP) end</t>
  </si>
  <si>
    <t>CASE WHEN ISNULL(g.ZRESPSTATUS, '02')='02' OR ISNULL(g.XACTIVITY, '99')='99' THEN 'Not in GO publication population' WHEN g.dw_fromdate=20200801 THEN 'Not applicable 2020/21 onwards' else IIF(isnull(g.BUSOWNEMP,'')='','N/A',BUSOWNEMP.label) end</t>
  </si>
  <si>
    <t>[BUSEMPCITY] (2019 and prior)</t>
  </si>
  <si>
    <t>CASE when g.dw_fromdate &gt;=20200801 then 'N/A 2020/21 onwards' WHEN ISNULL(g.ZRESPSTATUS, '02') = '02' OR ISNULL(g.XACTIVITY, '99') = '99' THEN 'Not in GO publication population' WHEN ISNULL(g.BUSEMPCITY, 'UNK') IN ('UNK', '', ' ','???') THEN 'Unknown/ not applicable' ELSE replace(replace(g.BUSEMPCITY,'"',''),'.','') END</t>
  </si>
  <si>
    <t>CASE when g.dw_fromdate &gt;=20200801 then 'N/A 2020/21 onwards'  WHEN ISNULL(g.ZRESPSTATUS, '02') = '02' OR ISNULL(g.XACTIVITY, '99') = '99' THEN 'Not in GO publication population' WHEN ISNULL(g.BUSEMPCITY, 'UNK') IN ('UNK', '', ' ','???') THEN 'Unknown/ not applicable' ELSE replace(replace(g.BUSEMPCITY,'"',''),'.','') END</t>
  </si>
  <si>
    <t>[BUSEMPCITY] (2020 and onwards)</t>
  </si>
  <si>
    <t>CASE when g.dw_fromdate &lt; 20200801 then 'N/A before 2020/21' WHEN ISNULL(g.ZRESPSTATUS, '02') = '02' OR ISNULL(g.XACTIVITY, '99') = '99' THEN 'Not in GO publication population' WHEN ISNULL(g.BUSEMPCITY, 'UNK') IN ('UNK', '', ' ','???') THEN 'Unknown/ not applicable' ELSE replace(replace(g.BUSEMPCITY,'"',''),'.','') END</t>
  </si>
  <si>
    <t>CASE when g.dw_fromdate &lt; 20200801 then 'N/A before 2020/21' WHEN ISNULL(g.ZRESPSTATUS, '02') = '02' OR ISNULL(g.XACTIVITY, '99') = '99' THEN 'Not in GO publication population' WHEN ISNULL(g.BUSEMPCITY, 'UNK') IN ('UNK', '', ' ','???') THEN 'Unknown/ not applicable' ELSE isnull(BUSEMPCITY.label,g.busempcity) END</t>
  </si>
  <si>
    <t>busempcity</t>
  </si>
  <si>
    <t>varchar(100)</t>
  </si>
  <si>
    <t>CASE WHEN g.dw_fromdate &gt;= 20200801 then 'N/A after 2020/21' when ISNULL(g.ZRESPSTATUS, '02')='02' OR ISNULL(g.XACTIVITY, '99')='99' THEN 'Not in GO publication population' else IIF(isnull(g.BUSJOBRSNALL1,'')='','N/A',g.BUSJOBRSNALL1) end</t>
  </si>
  <si>
    <t>CASE WHEN g.dw_fromdate &gt;= 20200801 then 'N/A after 2020/21' WHEN ISNULL(g.ZRESPSTATUS, '02')='02' OR ISNULL(g.XACTIVITY, '99')='99' THEN 'Not in GO publication population' else IIF(isnull(g.BUSJOBRSNALL1,'')='','N/A',BUSJOBRSNALL1.label) end</t>
  </si>
  <si>
    <t>[Business, self-employment or portfolio reason for taking the job 1]</t>
  </si>
  <si>
    <t>CASE WHEN g.dw_fromdate &gt;= 20200801 then 'N/A after 2020/21' WHEN ISNULL(g.ZRESPSTATUS, '02')='02' OR ISNULL(g.XACTIVITY, '99')='99' THEN 'Not in GO publication population' else IIF(isnull(g.BUSJOBRSNALL10,'')='','N/A',g.BUSJOBRSNALL10) end</t>
  </si>
  <si>
    <t>CASE WHEN g.dw_fromdate &gt;= 20200801 then 'N/A after 2020/21' WHEN ISNULL(g.ZRESPSTATUS, '02')='02' OR ISNULL(g.XACTIVITY, '99')='99' THEN 'Not in GO publication population' else IIF(isnull(g.BUSJOBRSNALL10,'')='','N/A',BUSJOBRSNALL10.label) end</t>
  </si>
  <si>
    <t>[Business, self-employment or portfolio reason for taking the job 10]</t>
  </si>
  <si>
    <t>CASE WHEN g.dw_fromdate &gt;= 20200801 then 'N/A after 2020/21' WHEN ISNULL(g.ZRESPSTATUS, '02')='02' OR ISNULL(g.XACTIVITY, '99')='99' THEN 'Not in GO publication population' else IIF(isnull(g.BUSJOBRSNALL2,'')='','N/A',g.BUSJOBRSNALL2) end</t>
  </si>
  <si>
    <t>CASE WHEN g.dw_fromdate &gt;= 20200801 then 'N/A after 2020/21' WHEN ISNULL(g.ZRESPSTATUS, '02')='02' OR ISNULL(g.XACTIVITY, '99')='99' THEN 'Not in GO publication population' else IIF(isnull(g.BUSJOBRSNALL2,'')='','N/A',BUSJOBRSNALL2.label) end</t>
  </si>
  <si>
    <t>[Business, self-employment or portfolio reason for taking the job 2]</t>
  </si>
  <si>
    <t>CASE WHEN g.dw_fromdate &gt;= 20200801 then 'N/A after 2020/21' WHEN ISNULL(g.ZRESPSTATUS, '02')='02' OR ISNULL(g.XACTIVITY, '99')='99' THEN 'Not in GO publication population' else IIF(isnull(g.BUSJOBRSNALL3,'')='','N/A',g.BUSJOBRSNALL3) end</t>
  </si>
  <si>
    <t>CASE WHEN g.dw_fromdate &gt;= 20200801 then 'N/A after 2020/21' WHEN ISNULL(g.ZRESPSTATUS, '02')='02' OR ISNULL(g.XACTIVITY, '99')='99' THEN 'Not in GO publication population' else IIF(isnull(g.BUSJOBRSNALL3,'')='','N/A',BUSJOBRSNALL3.label) end</t>
  </si>
  <si>
    <t>[Business, self-employment or portfolio reason for taking the job 3]</t>
  </si>
  <si>
    <t>CASE WHEN g.dw_fromdate &gt;= 20200801 then 'N/A after 2020/21' WHEN ISNULL(g.ZRESPSTATUS, '02')='02' OR ISNULL(g.XACTIVITY, '99')='99' THEN 'Not in GO publication population' else IIF(isnull(g.BUSJOBRSNALL4,'')='','N/A',g.BUSJOBRSNALL4) end</t>
  </si>
  <si>
    <t>CASE WHEN g.dw_fromdate &gt;= 20200801 then 'N/A after 2020/21' WHEN ISNULL(g.ZRESPSTATUS, '02')='02' OR ISNULL(g.XACTIVITY, '99')='99' THEN 'Not in GO publication population' else IIF(isnull(g.BUSJOBRSNALL4,'')='','N/A',BUSJOBRSNALL4.label) end</t>
  </si>
  <si>
    <t>[Business, self-employment or portfolio reason for taking the job 4]</t>
  </si>
  <si>
    <t>CASE WHEN g.dw_fromdate &gt;= 20200801 then 'N/A after 2020/21' WHEN ISNULL(g.ZRESPSTATUS, '02')='02' OR ISNULL(g.XACTIVITY, '99')='99' THEN 'Not in GO publication population' else IIF(isnull(g.BUSJOBRSNALL5,'')='','N/A',g.BUSJOBRSNALL5) end</t>
  </si>
  <si>
    <t>CASE WHEN g.dw_fromdate &gt;= 20200801 then 'N/A after 2020/21' WHEN ISNULL(g.ZRESPSTATUS, '02')='02' OR ISNULL(g.XACTIVITY, '99')='99' THEN 'Not in GO publication population' else IIF(isnull(g.BUSJOBRSNALL5,'')='','N/A',BUSJOBRSNALL5.label) end</t>
  </si>
  <si>
    <t>[Business, self-employment or portfolio reason for taking the job 5]</t>
  </si>
  <si>
    <t>CASE WHEN g.dw_fromdate &gt;= 20200801 then 'N/A after 2020/21' WHEN ISNULL(g.ZRESPSTATUS, '02')='02' OR ISNULL(g.XACTIVITY, '99')='99' THEN 'Not in GO publication population' else IIF(isnull(g.BUSJOBRSNALL6,'')='','N/A',g.BUSJOBRSNALL6) end</t>
  </si>
  <si>
    <t>CASE WHEN g.dw_fromdate &gt;= 20200801 then 'N/A after 2020/21' WHEN ISNULL(g.ZRESPSTATUS, '02')='02' OR ISNULL(g.XACTIVITY, '99')='99' THEN 'Not in GO publication population' else IIF(isnull(g.BUSJOBRSNALL6,'')='','N/A',BUSJOBRSNALL6.label) end</t>
  </si>
  <si>
    <t>[Business, self-employment or portfolio reason for taking the job 6]</t>
  </si>
  <si>
    <t>CASE WHEN g.dw_fromdate &gt;= 20200801 then 'N/A after 2020/21' WHEN ISNULL(g.ZRESPSTATUS, '02')='02' OR ISNULL(g.XACTIVITY, '99')='99' THEN 'Not in GO publication population' else IIF(isnull(g.BUSJOBRSNALL7,'')='','N/A',g.BUSJOBRSNALL7) end</t>
  </si>
  <si>
    <t>CASE WHEN g.dw_fromdate &gt;= 20200801 then 'N/A after 2020/21' WHEN ISNULL(g.ZRESPSTATUS, '02')='02' OR ISNULL(g.XACTIVITY, '99')='99' THEN 'Not in GO publication population' else IIF(isnull(g.BUSJOBRSNALL7,'')='','N/A',BUSJOBRSNALL7.label) end</t>
  </si>
  <si>
    <t>[Business, self-employment or portfolio reason for taking the job 7]</t>
  </si>
  <si>
    <t>CASE WHEN g.dw_fromdate &gt;= 20200801 then 'N/A after 2020/21' WHEN ISNULL(g.ZRESPSTATUS, '02')='02' OR ISNULL(g.XACTIVITY, '99')='99' THEN 'Not in GO publication population' else IIF(isnull(g.BUSJOBRSNALL8,'')='','N/A',g.BUSJOBRSNALL8) end</t>
  </si>
  <si>
    <t>CASE WHEN g.dw_fromdate &gt;= 20200801 then 'N/A after 2020/21' WHEN ISNULL(g.ZRESPSTATUS, '02')='02' OR ISNULL(g.XACTIVITY, '99')='99' THEN 'Not in GO publication population' else IIF(isnull(g.BUSJOBRSNALL8,'')='','N/A',BUSJOBRSNALL8.label) end</t>
  </si>
  <si>
    <t>[Business, self-employment or portfolio reason for taking the job 8]</t>
  </si>
  <si>
    <t>CASE WHEN g.dw_fromdate &gt;= 20200801 then 'N/A after 2020/21' WHEN ISNULL(g.ZRESPSTATUS, '02')='02' OR ISNULL(g.XACTIVITY, '99')='99' THEN 'Not in GO publication population' else IIF(isnull(g.BUSJOBRSNALL9,'')='','N/A',g.BUSJOBRSNALL9) end</t>
  </si>
  <si>
    <t>CASE WHEN g.dw_fromdate &gt;= 20200801 then 'N/A after 2020/21' WHEN g.dw_fromdate &gt;= 20200801 then 'N/A after 2020/21' WHEN ISNULL(g.ZRESPSTATUS, '02')='02' OR ISNULL(g.XACTIVITY, '99')='99' THEN 'Not in GO publication population' else IIF(isnull(g.BUSJOBRSNALL9,'')='','N/A',BUSJOBRSNALL9.label) end</t>
  </si>
  <si>
    <t>[Business, self-employment or portfolio reason for taking the job 9]</t>
  </si>
  <si>
    <t>CASE WHEN ISNULL(g.ZRESPSTATUS, '02')='02' OR ISNULL(g.XACTIVITY, '99')='99' THEN 'Not in GO publication population' WHEN g.dw_fromdate=20200801 THEN 'Not applicable 2020/21 onwards' else IIF(isnull(g.BUSSUPERVISE,'')='','N/A',g.BUSSUPERVISE) end</t>
  </si>
  <si>
    <t>CASE WHEN ISNULL(g.ZRESPSTATUS, '02')='02' OR ISNULL(g.XACTIVITY, '99')='99' THEN 'Not in GO publication population' WHEN g.dw_fromdate=20200801 THEN 'Not applicable 2020/21 onwards' else IIF(isnull(g.BUSSUPERVISE,'')='','N/A',BUSSUPERVISE.label) end</t>
  </si>
  <si>
    <t>Opt in question. Do not use unless necessary!</t>
  </si>
  <si>
    <t>Data Futures</t>
  </si>
  <si>
    <t>Class of degree</t>
  </si>
  <si>
    <t>(DF)</t>
  </si>
  <si>
    <t>Z_QCLASSGRP1_CYC</t>
  </si>
  <si>
    <t>df.Z_QCLASSGRP1_CYC</t>
  </si>
  <si>
    <t>matthew.lawson</t>
  </si>
  <si>
    <t>CASE WHEN c.F_CLSDCRS in (' ','', -1) or c.F_CLSDCRS is null THEN 'UNK' ELSE c.F_CLSDCRS</t>
  </si>
  <si>
    <t>CASE WHEN c.F_COLLORG IN ( ' ', '', -1 ) OR c.F_COLLORG IS NULL THEN 'UNK' ELSE c.F_COLLORG</t>
  </si>
  <si>
    <t>'N/A AP'</t>
  </si>
  <si>
    <t>CASE WHEN s.DW_FromDate =20210801 THEN 'NA 2021/22'  WHEN s.DW_FromDate in (20070801, 20080801) THEN 'Not available' WHEN d.F_ZCONT_STAT = 'N/A' THEN 'N/A' ELSE cast(d.F_ZCONT_STAT as VARCHAR(1)) END</t>
  </si>
  <si>
    <t xml:space="preserve">IIF(d.F_ZCONT_STAT='N/A','Not in base population',ISNULL((SELECT top 1 DW_CurrentLabel From Student.C051_Meta_Data f with(nolock) where d.F_ZCONT_STAT =F.Entry and fieldname = 'ZCONT_STAT' order by dw_fromdate desc),'Not applicable for 2021/22')) </t>
  </si>
  <si>
    <t>CASE WHEN ISNULL(g.ZRESPSTATUS, '02')='02' OR ISNULL(g.XACTIVITY, '99')='99' THEN 'Not in GO publication population' WHEN g.dw_fromdate=20200801 THEN 'Not applicable 2020/21 onwards' else IIF(isnull(g.CONSTART01,'')='','N/A',g.CONSTART01) end</t>
  </si>
  <si>
    <t>CASE WHEN ISNULL(g.ZRESPSTATUS, '02')='02' OR ISNULL(g.XACTIVITY, '99')='99' THEN 'Not in GO publication population' WHEN g.dw_fromdate=20200801 THEN 'Not applicable 2020/21 onwards' else IIF(isnull(g.CONSTART01,'')='','N/A',CONSTART01.label) end</t>
  </si>
  <si>
    <t>[Contract start 1]</t>
  </si>
  <si>
    <t>CASE WHEN ISNULL(g.ZRESPSTATUS, '02')='02' OR ISNULL(g.XACTIVITY, '99')='99' THEN 'Not in GO publication population' WHEN g.dw_fromdate=20200801 THEN 'Not applicable 2020/21 onwards' else IIF(isnull(g.CONSTART02,'')='','N/A',g.CONSTART02) end</t>
  </si>
  <si>
    <t>CASE WHEN ISNULL(g.ZRESPSTATUS, '02')='02' OR ISNULL(g.XACTIVITY, '99')='99' THEN 'Not in GO publication population' WHEN g.dw_fromdate=20200801 THEN 'Not applicable 2020/21 onwards' else IIF(isnull(g.CONSTART02,'')='','N/A',CONSTART02.label) end</t>
  </si>
  <si>
    <t>[Contract start 2]</t>
  </si>
  <si>
    <t>CASE WHEN ISNULL(g.ZRESPSTATUS, '02')='02' OR ISNULL(g.XACTIVITY, '99')='99' THEN 'Not in GO publication population' WHEN g.dw_fromdate=20200801 THEN 'Not applicable 2020/21 onwards' else IIF(isnull(g.CONSTART03,'')='','N/A',g.CONSTART03) end</t>
  </si>
  <si>
    <t>CASE WHEN ISNULL(g.ZRESPSTATUS, '02')='02' OR ISNULL(g.XACTIVITY, '99')='99' THEN 'Not in GO publication population' WHEN g.dw_fromdate=20200801 THEN 'Not applicable 2020/21 onwards' else IIF(isnull(g.CONSTART03,'')='','N/A',CONSTART03.label) end</t>
  </si>
  <si>
    <t>[Contract start 3]</t>
  </si>
  <si>
    <t>Cost centre 2004/05 - 2011/12 only</t>
  </si>
  <si>
    <t>CCENTRE_OLD</t>
  </si>
  <si>
    <t>CASE WHEN cc.DW_FromDate BETWEEN 20040801 AND 20110801 AND cc.F_CCENTRE = 1 THEN '01' WHEN cc.DW_FromDate BETWEEN 20040801 AND 20110801 AND cc.F_CCENTRE = 2 THEN '02' WHEN cc.DW_FromDate BETWEEN 20040801 AND 20110801 AND cc.F_CCENTRE = 3 THEN '03' WHEN cc.DW_FromDate BETWEEN 20040801 AND 20110801 AND cc.F_CCENTRE = 4 THEN '04' WHEN cc.DW_FromDate BETWEEN 20040801 AND 20110801 AND cc.F_CCENTRE = 5 THEN '05' WHEN cc.DW_FromDate BETWEEN 20040801 AND 20110801 AND cc.F_CCENTRE = 6 THEN '06' WHEN cc.DW_FromDate BETWEEN 20040801 AND 20110801 AND cc.F_CCENTRE = 7 THEN '07' WHEN cc.DW_FromDate BETWEEN 20040801 AND 20110801 AND cc.F_CCENTRE = 8 THEN '08' WHEN cc.DW_FromDate BETWEEN 20040801 AND 20110801 THEN CAST(cc.F_CCENTRE AS VARCHAR) ELSE 'NA_1213' END</t>
  </si>
  <si>
    <t>CASE WHEN cc.DW_FromDate BETWEEN 20040801 AND 20110801 AND cc.F_CCENTRE = 1 THEN '(01) Clinical medicine' WHEN cc.DW_FromDate BETWEEN 20040801 AND 20110801 AND cc.F_CCENTRE = 2 THEN '(02) Clinical dentistry' WHEN cc.DW_FromDate BETWEEN 20040801 AND 20110801 AND cc.F_CCENTRE = 3 THEN '(03) Veterinary science'	 WHEN cc.DW_FromDate BETWEEN 20040801 AND 20110801 AND cc.F_CCENTRE = 4 THEN '(04) Anatomy &amp; physiology' WHEN cc.DW_FromDate BETWEEN 20040801 AND 20110801 AND cc.F_CCENTRE = 5 THEN '(05) Nursing &amp; paramedical studies' WHEN cc.DW_FromDate BETWEEN 20040801 AND 20110801 AND cc.F_CCENTRE = 6 THEN '(06) Health &amp; community studies' WHEN cc.DW_FromDate BETWEEN 20040801 AND 20110801 AND cc.F_CCENTRE = 7 THEN '(07) Psychology &amp; behavioural sciences' WHEN cc.DW_FromDate BETWEEN 20040801 AND 20110801 AND cc.F_CCENTRE = 8 THEN '(08) Pharmacy &amp; pharmacology' WHEN cc.DW_FromDate BETWEEN 20040801 AND 20110801 THEN CCENTRE_OLD.DW_CurrentLabel ELSE 'Not applicable (Prior to 2004/05 and 2012/13 onwards)' END</t>
  </si>
  <si>
    <t>number</t>
  </si>
  <si>
    <t>varchar(41)</t>
  </si>
  <si>
    <t xml:space="preserve"> CASE WHEN S.F_XDESIG03 IN ('1','2','3','4') THEN 'Designated' else 'Non-Designated' end</t>
  </si>
  <si>
    <t>varchar(21)</t>
  </si>
  <si>
    <t>CASE when s.f_locsdy ='6' then 'Distance learning - UK based student' when s.f_locsdy ='9' then 'Distance learning - Non-UK based student (funded)' else 'Not a distance learning student' end</t>
  </si>
  <si>
    <t>CASE WHEN z.f_casward IN ('-3','') THEN 'Unknown' WHEN s.f_xhoos01='1' THEN ISNULL(CAST(z.f_casward AS VARCHAR), 'Unknown')WHEN s.f_xhoos01='2' THEN 'Non-UK' ELSE 'Unknown' END</t>
  </si>
  <si>
    <t>CASE WHEN s.F_XHOOS01 = '2' THEN 'Non-UK' WHEN ISNULL(ndom.f_nuts3, '...') = '…' THEN 'Unknown' ELSE ISNULL(ndom.f_nuts3, 'Unknown') END</t>
  </si>
  <si>
    <t>F_XDOMRC01</t>
  </si>
  <si>
    <t>CASE WHEN s.F_XHOOS01 = '1' THEN XDOMGR01.DW_CurrentLabel when  s.F_XHOOS01='2' THEN xdomrc.DW_CurrentLabel ELSE 'Unknown' END</t>
  </si>
  <si>
    <t>case WHEN s.F_XDOMREG01 ='XL' THEN 'XL' when s.f_xhoos01 = 1 then s.F_XDOMREG01 WHEN s.F_XDOMREG01 = 'NOTK' THEN 'NOTK' else s.F_XDOMUC01 END</t>
  </si>
  <si>
    <t>case WHEN s.F_XDOMREG01 ='XL' THEN 'Channel Islands'  when s.F_XDOMREG01 = 'XK' then 'United Kingdom, not otherwise specified'  when s.f_xhoos01 = 1 then s.f_xdomreg01 WHEN s.F_XDOMREG01 = 'NOTK' THEN 'Not known' ELSE xdomuc01.DW_CurrentLabel end</t>
  </si>
  <si>
    <t>CASE WHEN s.f_XDOMUC01 = 'XF' THEN 'England (county/unitary authority unknown)' WHEN s.f_XDOMUC01 = 'XI' THEN 'Wales (unitary authority unknown)' WHEN s.f_xdomuc01 = 'XG' THEN 'Northern Ireland (district council area unknown)' WHEN s.f_xdomuc01 = 'XH' THEN 'Scotland (council area unknown)' WHEN s.F_XDOMREG01 ='XL' THEN 'Channel islands' WHEN s.F_XHOOS01 = 1 THEN domcc.DW_CurrentLabel WHEN s.F_XHOOS01 = 2 THEN 'Non UK' else 'Not known' END</t>
  </si>
  <si>
    <t>case when c.dw_fromdate in (20120801, 20130801, 20190801) then isnull(c.f_ECRSTAT,'Unknown') else 'Not applicable' end</t>
  </si>
  <si>
    <t>case when c.dw_fromdate in (20120801, 20130801, 20190801) then case when c.f_ECRSTAT is null then 'Unknown' else ECRSTAT.label END  else 'Not applicable' end</t>
  </si>
  <si>
    <t>[EMPCITY] (2019 and prior)</t>
  </si>
  <si>
    <t>CASE WHEN g.dw_fromdate &gt;= 20200801 then 'N/A after 2020/21' when ISNULL(g.ZRESPSTATUS, '02') = '02' OR ISNULL(g.XACTIVITY, '99') = '99' THEN 'Not in GO publication population' WHEN ISNULL(g.EMPCITY, 'UNK') IN ('UNK', '', ' ') THEN 'Unknown/ not applicable' ELSE g.EMPCITY END</t>
  </si>
  <si>
    <t>CASE  WHEN g.dw_fromdate &gt;= 20200801 then 'N/A after 2020/21' WHEN ISNULL(g.ZRESPSTATUS, '02') = '02' OR ISNULL(g.XACTIVITY, '99') = '99' THEN 'Not in GO publication population' WHEN ISNULL(g.EMPCITY, 'UNK') IN ('UNK', '', ' ') THEN 'Unknown/ not applicable' ELSE g.EMPCITY END</t>
  </si>
  <si>
    <t>[EMPCITY] (2020 and onwards)</t>
  </si>
  <si>
    <t>CASE WHEN g.dw_fromdate &lt; 20200801 then 'N/A before 2020/21' WHEN ISNULL(g.ZRESPSTATUS, '02') = '02' OR ISNULL(g.XACTIVITY, '99') = '99' THEN 'Not in GO publication population' WHEN ISNULL(g.EMPCITY, 'UNK') IN ('UNK', '', ' ') THEN 'Unknown/ not applicable' ELSE g.EMPCITY END</t>
  </si>
  <si>
    <t>CASE  WHEN g.dw_fromdate &lt; 20200801 then 'N/A before 2020/21' WHEN ISNULL(g.ZRESPSTATUS, '02') = '02' OR ISNULL(g.XACTIVITY, '99') = '99' THEN 'Not in GO publication population' WHEN ISNULL(g.EMPCITY, 'UNK') IN ('UNK', '', ' ') THEN 'Unknown/ not applicable' ELSE isnull(EMPCITY.label,g.empcity) END</t>
  </si>
  <si>
    <t>CASE WHEN ISNULL(g.ZRESPSTATUS, '02')='02' OR ISNULL(g.XACTIVITY, '99')='99' THEN 'Not in GO publication population' WHEN isnull(g.XEMP2007SIC1,'9') IN ('$','9','_','V') THEN '(V) Not known' else ISNULL(XEMP2007SIC1.label,'NA/UNK') END</t>
  </si>
  <si>
    <t>[EMPYEAR - year started employment] (2020/21 and onwards)</t>
  </si>
  <si>
    <t>CASE WHEN g.dw_fromdate &lt; '20200801' then 'N/A before 2020/21' when ISNULL(g.ZRESPSTATUS, '02')='02' OR ISNULL(g.XACTIVITY, '99')='99' THEN 'Not in GO publication population' else IIF(isnull(g.EMPYEAR,'')='','N/A',g.EMPYEAR) end</t>
  </si>
  <si>
    <t>CASE WHEN  g.dw_fromdate &lt; '20200801' then 'N/A before 2020/21' when ISNULL(g.ZRESPSTATUS, '02')='02' OR ISNULL(g.XACTIVITY, '99')='99' THEN 'Not in GO publication population' else IIF(isnull(g.EMPYEAR,'')='','N/A',g.EMPYEAR) end</t>
  </si>
  <si>
    <t>Chris.Collins</t>
  </si>
  <si>
    <t>[EMPYEAR] (2019/20 and prior)</t>
  </si>
  <si>
    <t>CASE WHEN  g.dw_fromdate &gt;= '20200801' then 'N/A 2020/21 onwards' when ISNULL(g.ZRESPSTATUS, '02')='02' OR ISNULL(g.XACTIVITY, '99')='99' THEN 'Not in GO publication population' else IIF(isnull(g.EMPYEAR,'')='','N/A',g.EMPYEAR) end</t>
  </si>
  <si>
    <t>CASE WHEN g.dw_fromdate &gt;= '20200801' then 'N/A 2020/21 onwards' when ISNULL(g.ZRESPSTATUS, '02')='02' OR ISNULL(g.XACTIVITY, '99')='99' THEN 'Not in GO publication population' else IIF(isnull(g.EMPYEAR,'')='','N/A',EMPYEAR.label) end</t>
  </si>
  <si>
    <t>IIF(C.F_ENDCON='', '9999/12', SUBSTRING(CAST(C.F_ENDCON AS VARCHAR(10)), 1, 4) + '/' + SUBSTRING(CAST(C.F_ENDCON AS VARCHAR(10)), 6, 2))</t>
  </si>
  <si>
    <t>s.f_exchind</t>
  </si>
  <si>
    <t>CASE WHEN ISNULL(g.ZRESPSTATUS, '02')='02' OR ISNULL(g.XACTIVITY, '99')='99' THEN 'Not in GO publication population' WHEN g.dw_fromdate&gt;=20200801 THEN 'Not applicable 2020/21 onwards' else IIF(isnull(g.FIRSTJOB,'')='','N/A',g.FIRSTJOB) end</t>
  </si>
  <si>
    <t>CASE WHEN ISNULL(g.ZRESPSTATUS, '02')='02' OR ISNULL(g.XACTIVITY, '99')='99' THEN 'Not in GO publication population' WHEN g.dw_fromdate&gt;=20200801 THEN 'Not applicable 2020/21 onwards' else IIF(isnull(g.FIRSTJOB,'')='','N/A',FIRSTJOB.label) end</t>
  </si>
  <si>
    <t xml:space="preserve">CASE WHEN ISNULL(g.ZRESPSTATUS, '02')='02' OR ISNULL(g.XACTIVITY, '99')='99' THEN 'Not in GO publication population' WHEN g.dw_fromdate=20200801 THEN 'Not applicable 2020/21 onwards' WHEN ISNULL(NULLIF(g.FTPREVEMP,''),'UN')='01' AND g.FIRSTJOB='01' THEN 'NA'   WHEN ISNULL(NULLIF(g.FTPREVEMP,''),'UN')='02' AND g.FIRSTJOB='02' THEN 'NA'   WHEN ISNULL(NULLIF(g.PREVJOBNUM,''),'UN')='0' THEN '02'   WHEN ISNULL(NULLIF(g.FTPREVEMP,''),'UN')='01' THEN '01'    WHEN ISNULL(NULLIF(g.FTPREVEMP,''),'UN')='02' THEN '02'     WHEN g.FIRSTJOB='02' THEN '01'    WHEN g.FIRSTJOB='01' THEN '02' ELSE 'NA' END </t>
  </si>
  <si>
    <t>CASE WHEN ISNULL(g.ZRESPSTATUS, '02')='02' OR ISNULL(g.XACTIVITY, '99')='99' THEN 'Not in GO publication population' WHEN g.dw_fromdate=20200801 THEN 'Not applicable 2020/21 onwards' WHEN ISNULL(NULLIF(g.FTPREVEMP, ''), 'UN')='01' AND g.FIRSTJOB='01' THEN 'NA'WHEN ISNULL(NULLIF(g.FTPREVEMP, ''), 'UN')='02' AND g.FIRSTJOB='02' THEN 'NA' WHEN ISNULL(NULLIF(g.PREVJOBNUM, ''), 'UN')='0' THEN 'No' WHEN ISNULL(NULLIF(g.FTPREVEMP, ''), 'UN')='01' THEN 'Yes' WHEN ISNULL(NULLIF(g.FTPREVEMP, ''), 'UN')='02' THEN 'No' WHEN g.FIRSTJOB='02' THEN 'Yes' WHEN g.FIRSTJOB='01' THEN 'No' ELSE 'NA' END</t>
  </si>
  <si>
    <t>iif(s.F_GENDERID in ('','99','98'), 'UNK',s.F_GENDERID)</t>
  </si>
  <si>
    <t>Grade (grouped) 2007/08 and prior</t>
  </si>
  <si>
    <t>F_XGRADE01</t>
  </si>
  <si>
    <t>CASE WHEN cc.DW_FromDate &gt;= 20080801 THEN 'NA_0809' WHEN ISNULL(C.F_XGRADE01, 'U') IN ('U', '', ' ') THEN 'U' ELSE ISNULL(C.F_XGRADE01, 'U') END</t>
  </si>
  <si>
    <t>CASE WHEN cc.DW_FromDate &gt;= 20080801 THEN 'Not applicable (2008/09 onwards)' WHEN ISNULL(C.F_XGRADE01, 'U') IN ('U', '', ' ') THEN 'Unknown' ELSE xgrade01.DW_CurrentLabel END</t>
  </si>
  <si>
    <t>xgrade01</t>
  </si>
  <si>
    <t>CASE WHEN ISNULL(g.ZRESPSTATUS, '02')='02' OR ISNULL(g.XACTIVITY, '99')='99' THEN 'Not in GO publication population' WHEN g.XACTIVITY = '12' THEN 'Unemployment'  WHEN g.XACTIVITY = '10' THEN 'Unemployed and due to start work' WHEN g.XACTIVITY = '11' THEN 'Unemployed and due to start further study' else g.XACTIVITY end</t>
  </si>
  <si>
    <t>CASE WHEN ISNULL(g.ZRESPSTATUS, '02')='02' OR ISNULL(g.XACTIVITY, '99')='99' THEN 'Not in GO publication population' WHEN g.XACTIVITY = '12' THEN 'Unemployment' WHEN g.XACTIVITY = '10' THEN 'Unemployed and due to start work'  WHEN g.XACTIVITY = '11' THEN 'Unemployed and due to start further study' else XACTIVITY.label end</t>
  </si>
  <si>
    <t>case when s.DW_FromDate &lt;= 20180801 then ‘N/A’ else ISNULL(s.f_xinstid01 + s.F_CAMPID,'Unknown') end</t>
  </si>
  <si>
    <t>isnull(REPLACE(REPLACE(camp.campname, ',', ''), CHAR(0x22), ''),'Unknown')</t>
  </si>
  <si>
    <t>case when s.DW_FromDate &lt;= 20180801 then ‘Not applicable (prior to 2019/20)’ else isnull(REPLACE(REPLACE(camp.campname, ',', ''), CHAR(0x22), ''),'Unknown') end</t>
  </si>
  <si>
    <t>'HE'</t>
  </si>
  <si>
    <t>'AP'</t>
  </si>
  <si>
    <t>varchar(31)</t>
  </si>
  <si>
    <t>varchar(48)</t>
  </si>
  <si>
    <t>isnull(QUALENT3.DW_currentlabel,'(X06) Not known')</t>
  </si>
  <si>
    <t xml:space="preserve">  s.F_XQUALENT01 </t>
  </si>
  <si>
    <t>(SELECT top 1 DW_CurrentLabel From Student.C051_Meta_Data f with(nolock) where s.F_XQUALENT01  =F.Entry and fieldname = 'XQUALENT01' order by dw_fromdate desc)</t>
  </si>
  <si>
    <t>CASE When g.dw_fromdate &gt;= 20200801 then 'N/A 2020/21 onwards' when ISNULL(g.ZRESPSTATUS, '02')='02' OR ISNULL(g.XACTIVITY, '99')='99' THEN 'Not in GO publication population' else isnull(g.ZHOMECOUNTRY,'NOTK') end</t>
  </si>
  <si>
    <t>CASE When g.dw_fromdate &gt;= 20200801 then 'N/A 2020/21 onwards' WHEN ISNULL(g.ZRESPSTATUS, '02')='02' OR ISNULL(g.XACTIVITY, '99')='99' THEN 'Not in GO publication population' else isnull(ZHOMECOUNTRY.label,'Not known') end</t>
  </si>
  <si>
    <t>ISNULL(imd.IMD_Decile,'Not applicable')</t>
  </si>
  <si>
    <t>case when imd.IMD_Decile in (1,2) then '1'  when imd.IMD_Decile in (3,4) then '2' when imd.IMD_Decile in (5,6) then '3' when imd.IMD_Decile in (7,8) then '4' when imd.IMD_Decile in (9,10) then '5' else 'Not applicable' end</t>
  </si>
  <si>
    <t>case when  s.f_exchange in ('4','G','O') then 'Incoming and visiting exchange student' else 'Not an incoming and visiting exchange student' end</t>
  </si>
  <si>
    <t>varchar(45)</t>
  </si>
  <si>
    <t>N/A AP'</t>
  </si>
  <si>
    <t>Language preference</t>
  </si>
  <si>
    <t>LANGPREF</t>
  </si>
  <si>
    <t>Only for Wales 2021/22 onwards</t>
  </si>
  <si>
    <t>CASE WHEN s.DW_FromDate&lt;=20200801 then 'Not applicable' else isnull(s.F_LANGPREF,'99') end F_LANGPREF</t>
  </si>
  <si>
    <t>CASE WHEN s.DW_FromDate&lt;=20200801 then 'Not applicable before 2021/22'  WHEN s.F_LANGPREF='01' then 'Welsh' WHEN s.F_LANGPREF='02' then 'English' else 'Unknown/Not applicable' end F_LANGPREF</t>
  </si>
  <si>
    <t>External.Katie Martin</t>
  </si>
  <si>
    <t>CASE WHEN a.F_LEVEL IN ('D','L') THEN 'Postgraduate (research)' WHEN a.F_LEVEL IN ('E','M') THEN 'Postgraduate (taught)' WHEN a.F_LEVEL IN ('H', 'I') THEN 'First degree' WHEN a.F_LEVEL IN ('J', 'C') THEN 'Other undergraduate' WHEN a.F_LEVEL = 'F' THEN 'Further education' ELSE a.F_LEVEL END</t>
  </si>
  <si>
    <t>CASE WHEN s.F_XQOBTN01 in ('E00', 'D00','D01') then 'Doctorate'  WHEN s.F_XQOBTN01 in ('L00','M00','M01','M02','M10','M11','M16') then 'Masters' ELSE CAST  (s.F_XQLEV501 AS VARCHAR) END</t>
  </si>
  <si>
    <t>CASE WHEN s.F_XQOBTN01 in ('E00', 'D00','D01') then 'Doctorate'  WHEN s.F_XQOBTN01 in ('L00','M00','M01','M02','M10','M11','M16') then 'Masters' ELSE CAST  xqlev501.dw_currentlabel  END</t>
  </si>
  <si>
    <t>varchar(63)</t>
  </si>
  <si>
    <t>ISNULL((select top 1 DW_CurrentLabel From staff.C025_Meta_Data as f with(nolock) where P.f_LOCLEAVE =F.Entry AND fieldname = 'LOCLEAVE' order by dw_fromdate desc), 'Unknown/Not applicable')</t>
  </si>
  <si>
    <t>CASE WHEN ISNULL(g.ZRESPSTATUS, '02')='02' OR ISNULL(g.XACTIVITY, '99')='99' THEN 'Not in GO publication population' else xemplocn.label end</t>
  </si>
  <si>
    <t>100995, 100996, 100997</t>
  </si>
  <si>
    <t>varchar(22)</t>
  </si>
  <si>
    <t>CASE   WHEN prov.AdminCenterRussellGroup=1 THEN 'Russell Group' WHEN prov.AdminCenterUniversityAlliance=1 THEN 'University Alliance' WHEN prov.AdminCenterMillionPlusGroup=1 THEN 'Million Plus' WHEN prov.AdminCenterGuildHE=1 THEN 'Guild HE' ELSE 'Other' END</t>
  </si>
  <si>
    <t>prov</t>
  </si>
  <si>
    <t>CASE WHEN s.F_XINSTID01 IN ('0110','0112','0114','0179','0116','0167','0119','0168','0132','0134','0124','0126','0137','0204','0154','0155','0156','0139','0184','0159','0160','0149','0163','0164') THEN 'Russell Group'  WHEN s.F_XINSTID01 IN ('0127','0117','0118','0131','0133','0123','0125','0152','0141','0146','0162') THEN '1994 Group'  WHEN s.F_XINSTID01 IN ('0081','0059','0057','0051','0079','0090','0104','0072','0067','0064','0063','0060','0056','0052','0047') THEN 'University Alliance'  WHEN s.F_XINSTID01 IN (/*'0095','0048',*/'0078','0210','0100','0040','0202','0012','0076','0106','0049','0107','0085','0038','0077','0105','0058','0053','0206','0026','0037','0196') THEN 'Million Plus' WHEN s.F_XINSTID01 IN (/*'0095','0048',*/'0357','0213','0197','0230','0232','0007','0009','0342','0017','0018','0352','0299','0401','0211','0351','0304','0217','0246','0221','0260','0028','0191','0190','0308','0402','0030','0278','0032','0195','0010','0265','0194','0434','0294','0200','0218','0046','0189','0013','1108','1189','0445','0337','1073','0209','0039','0444') THEN 'Guild HE'  ELSE 'Other' END</t>
  </si>
  <si>
    <t>CASE WHEN s.F_XINSTID01 IN ('0110','0112','0114','0179','0116','0167','0119','0168','0132','0134','0124','0126','0137','0204','0154','0155','0156','0139','0184','0159','0160','0149','0163','0164') THEN 'Russell Group' 	 WHEN s.F_XINSTID01 IN ('0081','0059','0057','0051','0079','0090','0104','0072','0067','0064','0063','0060','0056','0052','0047') THEN 'University Alliance'  WHEN s.F_XINSTID01 IN (/*'0095', '0048'*/'0078','0210','0100','0040','0202','0012','0076','0106','0049','0107','0085','0038','0077','0105','0058','0053','0206','0026','0037','0196') THEN 'Million Plus' 	 WHEN s.F_XINSTID01 IN (/*'0095','0048',*/'0357','0213','0197','0230','0232','0007','0009','0342','0017','0018','0352','0299','0401','0211','0351','0304','0217','0246','0221','0260','0028','0191','0190','0308','0402','0030','0278','0032','0195','0010','0265','0194','0434','0294','0200','0218','0046','0189','0013','1108','1189','0445','0337','1073','0209','0039','0444')	THEN 'Guild HE'  ELSE 'Other'   END</t>
  </si>
  <si>
    <t>CASE WHEN c.F_INSTID IN ('0110','0112','0114','0179','0116','0167','0119','0168','0132','0134','0124','0126','0137','0204','0154','0155','0156','0139','0184','0159','0160','0149','0163','0164') THEN 'Russell Group'  WHEN f_c.F_INSTID IN ('0170','0177','0108','0178','0109','0184','0127','0110','0111','0112','0113','0203','0114','0188','0179','0115','0172','0116','0117','0167','0118','0119','0168','0131','0171','0120','0132','0133','0121','0122','0134','0123','0124','0125','0126','0135','0151','0137','0138','0152','0204','0154','0155','0001','0156','0139','0157','0141','0143','0173','0145','0158','0146','0147','0159','0160','0174','0169','0210','0161','0162','0180','0176','0185','0149','0186','0163','0164','0335','0333','0419') THEN 'Pre-92' WHEN f_c.F_INSTID IN ('0095','0047','0048','0026','0052','0007','0049','0050','0051','0009','0012','0089','0053','0010','0011','0082','0056','0002','0038','0068','0057','0058','0016','0107','0017','0106','0054','0059','0018','0060','0061','0063','0211','0064','0040','0062','0023','0065','0228','0024','0202','0076','0066','0067','0028','0086','0027','0069','0071','0072','0073','0074','0100','0030','0104','0031','0032','0033','0034','0035','0194','0039','0075','0037','0077','0014','0193','0078','0079','0196','0090','0081','0105','0080','0083','0021','0085','0046','0013','0334','0336','0262','0330','0353','0423','0425','0431','0432','0278','0434') THEN 'Post-92' WHEN f_c.F_INSTID IN ('0198','0200','0197','0199','0201','0206','0192','0015','0096','0229','0097','0087','0208','0205','0019','0020','0207','0209','0190','0230','0195','0003','0006','0101','0182','0175','0044','0091','0041','0092','0084','0337','0189','0351','0352','0213','0401','0402','0217','0218','0220','0221','0232','0240','0246','0256','0258','0260','0265','0281','0282','0284','0293','0294','0304','0306','0314','0357','0420','0422','0424','0427','0429','0430','0437','0236','0238','0295','0309','0354','0405','0409','0426','0435','0320') THEN 'Specialist' 
ELSE 'ERROR' END</t>
  </si>
  <si>
    <t>F_MODID</t>
  </si>
  <si>
    <t>CASE WHEN ISNULL(g.ZRESPSTATUS, '02')='02' OR ISNULL(g.XACTIVITY, '99')='99' THEN 'Not in GO publication population' WHEN g.dw_fromdate=20200801 THEN 'Not applicable 2020/21 onwards' WHEN ISNULL(g.empmonth,'') IN ('0','') THEN 'N/A'  else g.EMPMONTH end</t>
  </si>
  <si>
    <t>CASE WHEN ISNULL(g.ZRESPSTATUS, '02')='02' OR ISNULL(g.XACTIVITY, '99')='99' THEN 'Not in GO publication population' WHEN g.dw_fromdate=20200801 THEN 'Not applicable 2020/21 onwards'  WHEN ISNULL(g.empmonth,'') IN ('0','') THEN 'N/A' else g.EMPMONTH end</t>
  </si>
  <si>
    <t>National identity 1 - Welsh providers only</t>
  </si>
  <si>
    <t>F_NATID1</t>
  </si>
  <si>
    <t>CASE WHEN cc.DW_FromDate &gt;= 20210801 THEN 'N/A' WHEN p.F_XINSTC01 != 'W' THEN 'NA' WHEN ISNULL(p.F_NATID1, 'U') IN ('U', 'R', 'N', '', ' ') THEN 'U' ELSE ISNULL(p.F_NATID1, 'U') END</t>
  </si>
  <si>
    <t>CASE WHEN cc.DW_FromDate &gt;= 20210801 THEN 'Not applicable (2021/22 onwards)' WHEN p.F_XINSTC01 != 'W' THEN 'Not applicable (not at Welsh provider)' WHEN ISNULL(p.F_NATID1, 'U') IN ('U', 'R', 'N', '', ' ') THEN 'Unknown' ELSE natid1.DW_CurrentLabel END</t>
  </si>
  <si>
    <t>natid1</t>
  </si>
  <si>
    <t>National identity 2 - Welsh providers only</t>
  </si>
  <si>
    <t>F_NATID2</t>
  </si>
  <si>
    <t>CASE WHEN cc.DW_FromDate &gt;= 20210801 THEN 'N/A' WHEN p.F_XINSTC01 != 'W' THEN 'NA' WHEN ISNULL(p.F_NATID2, 'U') IN ('U', 'R', 'N', '', ' ') THEN 'U' ELSE ISNULL(p.F_NATID2, 'U') END</t>
  </si>
  <si>
    <t>CASE WHEN cc.DW_FromDate &gt;= 20210801 THEN 'Not applicable (2021/22 onwards)' WHEN p.F_XINSTC01 != 'W' THEN 'Not applicable (not at Welsh provider)' WHEN ISNULL(p.F_NATID2, 'U') IN ('U', 'R', 'N', '', ' ') THEN 'Unknown' ELSE natid2.DW_CurrentLabel END</t>
  </si>
  <si>
    <t>natid2</t>
  </si>
  <si>
    <t xml:space="preserve">Subject of Study (CAH1) </t>
  </si>
  <si>
    <t>Z_SUBJCAHGRP1</t>
  </si>
  <si>
    <t>IIF(dfsj.Z_SUBJCAHGRP3='CAH26-01-03','CAH26-01-03',dfsj.Z_SUBJCAHGRP1)</t>
  </si>
  <si>
    <t xml:space="preserve">Subject of Study (CAH2) </t>
  </si>
  <si>
    <t>Z_SUBJCAHGRP2</t>
  </si>
  <si>
    <t>IIF(dfsj.Z_SUBJCAHGRP3='CAH26-01-03','CAH26-01-03',dfsj.Z_SUBJCAHGRP2)</t>
  </si>
  <si>
    <t xml:space="preserve">Subject of Study (CAH3) </t>
  </si>
  <si>
    <t>Z_SUBJCAHGRP3</t>
  </si>
  <si>
    <t>dfsj.Z_SUBJCAHGRP3</t>
  </si>
  <si>
    <t>CASE WHEN s.dw_fromdate &gt;= 20170801 and s.f_qualent3 in ('P41','P42','P46','P47','P50','P51','P53','P54','P62','P63','P64','P65','P68','P80','P91','P93','P94','X00','X01') THEN  CASE WHEN s.f_xtpoints IN (0) THEN 'Unknown' ELSE cast(s.F_XTPOINTS*(sj.F_XFPE01/100) as varchar) END ELSE 'Not applicable' END</t>
  </si>
  <si>
    <t>sj</t>
  </si>
  <si>
    <t>isnull(tinst1.ukprn_legalname,'Not applicable')</t>
  </si>
  <si>
    <t>CASE WHEN right(s.F_PARED,1) IN ('7', '-1', '9', '', ' ') THEN 'Unknown' ELSE ISNULL(CAST(right(s.F_PARED,1) AS VARCHAR), 'Unknown')END</t>
  </si>
  <si>
    <t>CASE WHEN right(s.F_PARED,1) IN ('7', '-1', '9', '', ' ') THEN 'Unknown' ELSE ISNULL(pared.dw_CurrentLabel, 'Unknown')END</t>
  </si>
  <si>
    <t>F_PHDSUB</t>
  </si>
  <si>
    <t>case when pi.f_zcont_stat_T3='1' then 'Continue or qualify at same HEP' when pi.f_zcont_stat_T3='2' then 'At other UK HEP' when pi.f_zcont_stat_T3='3' then 'Not in HE' else 'Not in PI population' end</t>
  </si>
  <si>
    <t>CASE WHEN (s.F_TTCID IN ('0', '1', '2', '5', '8', '9', 'D', 'G', 'H', 'J', 'K', 'L', 'M', 'N', 'P', 'Q') OR s.F_TTCID='')  AND (s.F_LOCSDY IN ('6', '9', 'A', 'B', 'C', 'D', 'E', 'F', 'G', 'H', 'J', 'K', 'M', 'N', 'P', 'Q', 'R', 'X', 'T', 'U', 'Z') OR s.F_LOCSDY='-1')  AND (s.F_MODE IN ('01', '02', '12', '13', '14', '23', '24', '25', '31', '32', '33', '34', '35', '36', '37', '38', '39',/* '43', '44','51',*/ '52','53', '65', '66', '67', '68', '69', '73', '74', '99') OR s.F_MODE IS NULL)  AND (s.F_ENDDATE&gt;='01-DEC-' + SUBSTRING(CAST(s.DW_FromDate AS VARCHAR), 3, 2)OR s.F_ENDDATE IS NULL) AND (s.F_COMDATE&lt;='01-DEC-' + SUBSTRING(CAST(s.DW_FromDate AS VARCHAR), 3, 2)OR s.F_COMDATE IS NULL )  AND SUBSTRING(s.F_COURSEAIM, 1, 1) IN ('D', 'E', 'L', 'M', 'H', 'I', 'J', 'C') THEN  IIF(s.F_EXCHANGE IN ('4', 'G','O'), 'IVES', '1')   ELSE '0' END</t>
  </si>
  <si>
    <t>CASE WHEN (s.F_TTCID IN ('0', '1', '2', '5', '8', '9', 'D', 'G', 'H', 'J', 'K', 'L', 'M', 'N', 'P', 'Q') OR s.F_TTCID='')  AND (s.F_LOCSDY IN ('6', '9', 'A', 'B', 'C', 'D', 'E', 'F', 'G', 'H', 'J', 'K', 'M', 'N', 'P', 'Q', 'R', 'X', 'T', 'U', 'Z') OR s.F_LOCSDY='-1')  AND (s.F_MODE IN ('01', '02', '12', '13', '14', '23', '24', '25', '31', '32', '33', '34', '35', '36', '37', '38', '39',/* '43', '44','51',*/ '52','53', '65', '66', '67', '68', '69', '73', '74', '99') OR s.F_MODE IS NULL)  AND (s.F_ENDDATE&gt;='01-DEC-' + SUBSTRING(CAST(s.DW_FromDate AS VARCHAR), 3, 2)OR s.F_ENDDATE IS NULL) AND (s.F_COMDATE&lt;='01-DEC-' + SUBSTRING(CAST(s.DW_FromDate AS VARCHAR), 3, 2)OR s.F_COMDATE IS NULL )  AND SUBSTRING(s.F_COURSEAIM, 1, 1) IN ('D', 'E', 'L', 'M', 'H', 'I', 'J', 'C') THEN  IIF(s.F_EXCHANGE IN ('4', 'G','O'), 'The instance is counted within the 1 December IVES HE population', 'The instance is counted within the 1 December HE population')   ELSE 'The instance is NOT counted within the 1 December HE population' END</t>
  </si>
  <si>
    <t>CASE WHEN d.XPQUAL_INCIVES = '1' AND s.F_EXCHANGE IN ('G','4','O') THEN 'IVES' ELSE CAST(d.XPQUAL_INCIVES AS VARCHAR(1)) end</t>
  </si>
  <si>
    <t>CASE WHEN d.XPQUAL_INCIVES = '1' AND s.F_EXCHANGE IN ('G','4','O') THEN 'The instance is counted within the qualifications IVES obtained population' WHEN d.XPQUAL_INCIVES = '1'  then 'The instance is counted within the qualifications obtained population' else 'The instance is NOT counted within the qualifications obtained population' end</t>
  </si>
  <si>
    <t>CASE WHEN d.NEWXPSES_INCIVES = '1' AND s.F_EXCHANGE IN ('G','4','O') THEN 'IVES' ELSE CAST(d.NEWXPSES_INCIVES AS VARCHAR(1)) end</t>
  </si>
  <si>
    <t>CASE WHEN d.NEWXPSES_INCIVES = '1' AND s.F_EXCHANGE IN ('G','4','O') THEN 'The instance is counted within the HE session IVES population' when  d.NEWXPSES_INCIVES = '1' then 'The instance is counted within the HE session population' ELSE 'The instance is NOT counted within the session population' end</t>
  </si>
  <si>
    <t>CASE WHEN d.NEWXPSR_INCIVES = '1' AND s.F_EXCHANGE IN ('G','4','O') THEN 'IVES' ELSE CAST(d.NEWXPSR_INCIVES AS VARCHAR(1)) end</t>
  </si>
  <si>
    <t>CASE WHEN d.NEWXPSR_INCIVES = '1' AND s.F_EXCHANGE IN ('G','4','O') THEN 'The record is  counted within the HE standard registration IVES population' WHEN d.NEWXPSR_INCIVES = '1' then 'The record is  counted within the HE standard registration population'  ELSE 'The record is NOT counted within the standard registration population' end</t>
  </si>
  <si>
    <t>CASE WHEN ISNULL(g.ZRESPSTATUS, '02')='02' OR ISNULL(g.XACTIVITY, '99')='99' THEN 'Not in GO publication population' WHEN g.dw_fromdate=20200801 THEN 'Not applicable 2020/21 onwards' WHEN ISNULL(NULLIF(g.FTPREVEMP, ''), 'UN') = '01'  AND g.FIRSTJOB = '01' THEN 'NA'  WHEN ISNULL(NULLIF(g.FTPREVEMP, ''), 'UN') = '02'  AND g.FIRSTJOB = '02' THEN 'NA' WHEN ISNULL(NULLIF(g.PREVJOBNUM, ''), 'UN') = '0' THEN 'NA'  WHEN isNULL(NULLIF(g.FTPREVEMP, ''), 'UN') = '02' THEN 'NA'    WHEN g.FIRSTJOB = '01' THEN 'NA'    WHEN (   g.FTPREVEMP = '01'          OR g.FIRSTJOB = '02')      AND ISNULL(NULLIF(g.PREVJOBNUM, ''), 'UN') = 'UN' THEN 'NA'     WHEN (   g.FTPREVEMP = '01'        OR g.FIRSTJOB = '02')          AND ISNULL(NULLIF(g.PREVJOBNUM, ''), 'UN')         BETWEEN 21 AND 999 THEN 'NA'     WHEN (   g.FTPREVEMP = '01'              OR g.FIRSTJOB = '02')          AND ISNULL(NULLIF(g.PREVJOBNUM, ''), 'UN')          BETWEEN 1 AND 5 THEN ISNULL(NULLIF(g.PREVJOBNUM, ''), 'UN')     WHEN (   g.FTPREVEMP = '01'      OR g.FIRSTJOB = '02')       AND ISNULL(NULLIF(g.PREVJOBNUM, ''), 'UN')          BETWEEN 6 AND 20 THEN 'More than 5 previous jobs'     ELSE 'NA'     END</t>
  </si>
  <si>
    <t>CASE WHEN ISNULL(g.ZRESPSTATUS, '02')='02' OR ISNULL(g.XACTIVITY, '99')='99' THEN 'Not in GO publication population'  WHEN g.FURSTU != '01' THEN 'Not aiming for a formal qualification' WHEN g.FURSTU = '01' AND (g.PREVINTENSITY1 = '01' AND g.PREVTYPEQUAL1 in ('01','02','03','04','05','06','09','10')) THEN 'Significant study full-time' WHEN g.FURSTU = '01' AND (g.PREVINTENSITY2 = '01' AND g.PREVTYPEQUAL2 in ('01','02','03','04','05','06','09','10')) THEN 'Significant study full-time' WHEN g.FURSTU = '01' AND (g.PREVINTENSITY3 = '01' AND g.PREVTYPEQUAL3 in ('01','02','03','04','05','06','09','10')) THEN 'Significant study full-time' WHEN g.FURSTU = '01' AND (g.PREVINTENSITY1 = '02' AND g.PREVTYPEQUAL1 in ('01','02','03','04','05','06','09','10')) THEN 'Significant study part-time' WHEN g.FURSTU = '01' AND (g.PREVINTENSITY2 = '02' AND g.PREVTYPEQUAL2 in ('01','02','03','04','05','06','09','10')) THEN 'Significant study part-time' WHEN g.FURSTU = '01' AND (g.PREVINTENSITY3 = '02' AND g.PREVTYPEQUAL3 in ('01','02','03','04','05','06','09','10')) THEN 'Significant study part-time' WHEN (g.PREVTYPEQUAL1 in ('01','02','03','04','05','06','09','10') OR g.PREVTYPEQUAL2 IN ('01','02','03','04','05','06','09','10') OR g.PREVTYPEQUAL3 IN ('01','02','03','04','05','06','09','10')) THEN 'Significant study intensity unknown' ELSE 'Other study' END</t>
  </si>
  <si>
    <t>CASE WHEN ISNULL(g.ZRESPSTATUS, '02') = '02' OR ISNULL(g.XACTIVITY, '99') = '99' THEN 'Not in GO publication population'  WHEN g.dw_fromdate=20200801 THEN 'Not applicable 2020/21 onwards' WHEN ISNULL(g.PREVUCNAME_OTHER1, 'UNK') IN ('UNK', '', ' ') THEN 'Unknown/ not applicable' ELSE g.PREVUCNAME_OTHER1 END</t>
  </si>
  <si>
    <t>CASE WHEN ISNULL(g.ZRESPSTATUS, '02') = '02' OR ISNULL(g.XACTIVITY, '99') = '99' THEN 'Not in GO publication population'  WHEN g.dw_fromdate=20200801 THEN 'Not applicable 2020/21 onwards'  WHEN ISNULL(g.PREVUCNAME_OTHER1, 'UNK') IN ('UNK', '', ' ') THEN 'Unknown/ not applicable' ELSE g.PREVUCNAME_OTHER1 END</t>
  </si>
  <si>
    <t>CASE WHEN ISNULL(g.ZRESPSTATUS, '02') = '02' OR ISNULL(g.XACTIVITY, '99') = '99' THEN 'Not in GO publication population'  WHEN g.dw_fromdate=20200801 THEN 'Not applicable 2020/21 onwards'  WHEN ISNULL(g.PREVUCNAME_OTHER2, 'UNK') IN ('UNK', '', ' ') THEN 'Unknown/ not applicable' ELSE g.PREVUCNAME_OTHER2 END</t>
  </si>
  <si>
    <t>CASE WHEN ISNULL(g.ZRESPSTATUS, '02') = '02' OR ISNULL(g.XACTIVITY, '99') = '99' THEN 'Not in GO publication population'  WHEN g.dw_fromdate=20200801 THEN 'Not applicable 2020/21 onwards'  WHEN ISNULL(g.PREVUCNAME_OTHER3, 'UNK') IN ('UNK', '', ' ') THEN 'Unknown/ not applicable' ELSE g.PREVUCNAME_OTHER3 END</t>
  </si>
  <si>
    <t>varchar(33)</t>
  </si>
  <si>
    <t>Proportion in HESA cost centre 1 (2011/12 and prior)</t>
  </si>
  <si>
    <t>F_CCPROP1</t>
  </si>
  <si>
    <t>CASE WHEN c.DW_FromDate &gt;= 20120801 THEN -88888 ELSE c.F_CCPROP1 END</t>
  </si>
  <si>
    <t>decimal(11, 5)</t>
  </si>
  <si>
    <t>Proportion in HESA cost centre 2 (2011/12 and prior)</t>
  </si>
  <si>
    <t>F_CCPROP2</t>
  </si>
  <si>
    <t>CASE WHEN c.DW_FromDate &gt;= 20120801 THEN -88888 ELSE c.F_CCPROP2 END</t>
  </si>
  <si>
    <t>Proportion in HESA cost centre 3 (2011/12 and prior)</t>
  </si>
  <si>
    <t>F_CCPROP3</t>
  </si>
  <si>
    <t>CASE WHEN c.DW_FromDate &gt;= 20120801 THEN -88888 ELSE c.F_CCPROP3 END</t>
  </si>
  <si>
    <t>Proportion of basic salary charged against general income</t>
  </si>
  <si>
    <t>F_PSCAG</t>
  </si>
  <si>
    <t>C.F_PSCAG</t>
  </si>
  <si>
    <t>[ZSTUPROV] - Not available 2020/21 onwards</t>
  </si>
  <si>
    <t>CASE WHEN s.Dw_FromDate &gt;= 20200801 then 'Not applicable (2020/21 onwards)' WHEN ISNULL(g.ZRESPSTATUS, '02')='02' OR ISNULL(g.XACTIVITY, '99')='99' THEN 'Not in GO publication population' else ISNULL(g.ZSTUPROV,'XXXX') end</t>
  </si>
  <si>
    <t>CASE WHEN s.Dw_FromDate &gt;= 20200801 then 'Not applicable (2020/21 onwards)' WHEN ISNULL(g.ZRESPSTATUS, '02')='02' OR ISNULL(g.XACTIVITY, '99')='99' THEN 'Not in GO publication population' else ISNULL(ZSTUPROV.label,'Not known / Not applicable') end</t>
  </si>
  <si>
    <t>Free text field; Opt in question. Do not supply unless necessary!</t>
  </si>
  <si>
    <t>ISNULL((SELECT top 1 '(' + Entry + ') ' + DW_CurrentLabel From Student.C051_Meta_Data f with(nolock) where s.F_XQOBTN01 =F.Entry and fieldname = 'XQOBTN01' order by dw_fromdate desc),'No qualification')</t>
  </si>
  <si>
    <t>CASE WHEN s.DW_FromDate &gt;=20110801 THEN 'N/A year' WHEN s.F_XPDLHE02!='1' AND ISNULL(dh.F_XPDLHE,'0')!='1' AND ISNULL(dh.F_XACTIV01,'X')='X' THEN 'NDLHE'  WHEN ISNULL(dh.F_QUALREQ,'') IN ('','X') THEN 'UNK/NA' ELSE dh.F_QUALREQ END</t>
  </si>
  <si>
    <t>CASE WHEN s.DW_FromDate &lt;20110801 THEN 'N/A year'  WHEN s.f_xpdlhe02 != '1'AND ISNULL(dh.f_xpubpopd01, '0') != '1' AND ISNULL(dh.f_xactiv02, 'XX') = 'XX' THEN 'NDLHE'  WHEN ISNULL(dh.F_QUALREQ,'') IN ('','X') THEN 'UNK/NA' ELSE dh.F_QUALREQ END</t>
  </si>
  <si>
    <t>CASE WHEN c.DW_FromDate &lt;= 20110801 THEN 'Not appliable (2011/12 and prior)' WHEN ISNULL(c.F_ENDCON, '-1') IN ('-1', '', ' ') THEN 'Not applicable' WHEN c.F_RESCON = '-1' THEN 'Unknown' ELSE  CAST(c.f_rescon AS VARCHAR)  END</t>
  </si>
  <si>
    <t>CASE WHEN g.dw_fromdate &gt;= 20200801 then 'N/A 2020/21 onwards' when ISNULL(g.ZRESPSTATUS, '02')='02' OR ISNULL(g.XACTIVITY, '99')='99' THEN 'Not in GO publication population' else IIF(isnull(g.JOBRSNALL1,'')='','N/A',g.JOBRSNALL1) end</t>
  </si>
  <si>
    <t>CASE WHEN  g.dw_fromdate &gt;= 20200801 then 'N/A 2020/21 onwards' when ISNULL(g.ZRESPSTATUS, '02')='02' OR ISNULL(g.XACTIVITY, '99')='99' THEN 'Not in GO publication population' else IIF(isnull(g.JOBRSNALL1,'')='','N/A',JOBRSNALL1.label) end</t>
  </si>
  <si>
    <t>CASE WHEN g.dw_fromdate &gt;= 20200801 then 'N/A 2020/21 onwards' when  ISNULL(g.ZRESPSTATUS, '02')='02' OR ISNULL(g.XACTIVITY, '99')='99' THEN 'Not in GO publication population' else IIF(isnull(g.JOBRSNALL10,'')='','N/A',g.JOBRSNALL10) end</t>
  </si>
  <si>
    <t>CASE WHEN  g.dw_fromdate &gt;= 20200801 then 'N/A 2020/21 onwards' when ISNULL(g.ZRESPSTATUS, '02')='02' OR ISNULL(g.XACTIVITY, '99')='99' THEN 'Not in GO publication population' else IIF(isnull(g.JOBRSNALL10,'')='','N/A',JOBRSNALL10.label) end</t>
  </si>
  <si>
    <t>CASE WHEN g.dw_fromdate &gt;= 20200801 then 'N/A 2020/21 onwards' when  ISNULL(g.ZRESPSTATUS, '02')='02' OR ISNULL(g.XACTIVITY, '99')='99' THEN 'Not in GO publication population' else IIF(isnull(g.JOBRSNALL2,'')='','N/A',g.JOBRSNALL2) end</t>
  </si>
  <si>
    <t>CASE WHEN  g.dw_fromdate &gt;= 20200801 then 'N/A 2020/21 onwards' when ISNULL(g.ZRESPSTATUS, '02')='02' OR ISNULL(g.XACTIVITY, '99')='99' THEN 'Not in GO publication population' else IIF(isnull(g.JOBRSNALL2,'')='','N/A',JOBRSNALL2.label) end</t>
  </si>
  <si>
    <t>CASE WHEN g.dw_fromdate &gt;= 20200801 then 'N/A 2020/21 onwards' when  ISNULL(g.ZRESPSTATUS, '02')='02' OR ISNULL(g.XACTIVITY, '99')='99' THEN 'Not in GO publication population' else IIF(isnull(g.JOBRSNALL3,'')='','N/A',g.JOBRSNALL3) end</t>
  </si>
  <si>
    <t>CASE WHEN  g.dw_fromdate &gt;= 20200801 then 'N/A 2020/21 onwards' when ISNULL(g.ZRESPSTATUS, '02')='02' OR ISNULL(g.XACTIVITY, '99')='99' THEN 'Not in GO publication population' else IIF(isnull(g.JOBRSNALL3,'')='','N/A',JOBRSNALL3.label) end</t>
  </si>
  <si>
    <t>CASE WHEN g.dw_fromdate &gt;= 20200801 then 'N/A 2020/21 onwards' when  ISNULL(g.ZRESPSTATUS, '02')='02' OR ISNULL(g.XACTIVITY, '99')='99' THEN 'Not in GO publication population' else IIF(isnull(g.JOBRSNALL4,'')='','N/A',g.JOBRSNALL4) end</t>
  </si>
  <si>
    <t>CASE WHEN  g.dw_fromdate &gt;= 20200801 then 'N/A 2020/21 onwards' when ISNULL(g.ZRESPSTATUS, '02')='02' OR ISNULL(g.XACTIVITY, '99')='99' THEN 'Not in GO publication population' else IIF(isnull(g.JOBRSNALL4,'')='','N/A',JOBRSNALL4.label) end</t>
  </si>
  <si>
    <t>CASE WHEN g.dw_fromdate &gt;= 20200801 then 'N/A 2020/21 onwards' when  ISNULL(g.ZRESPSTATUS, '02')='02' OR ISNULL(g.XACTIVITY, '99')='99' THEN 'Not in GO publication population' else IIF(isnull(g.JOBRSNALL5,'')='','N/A',g.JOBRSNALL5) end</t>
  </si>
  <si>
    <t>CASE WHEN  g.dw_fromdate &gt;= 20200801 then 'N/A 2020/21 onwards' when ISNULL(g.ZRESPSTATUS, '02')='02' OR ISNULL(g.XACTIVITY, '99')='99' THEN 'Not in GO publication population' else IIF(isnull(g.JOBRSNALL5,'')='','N/A',JOBRSNALL5.label) end</t>
  </si>
  <si>
    <t>CASE WHEN g.dw_fromdate &gt;= 20200801 then 'N/A 2020/21 onwards' when  ISNULL(g.ZRESPSTATUS, '02')='02' OR ISNULL(g.XACTIVITY, '99')='99' THEN 'Not in GO publication population' else IIF(isnull(g.JOBRSNALL6,'')='','N/A',g.JOBRSNALL6) end</t>
  </si>
  <si>
    <t>CASE WHEN  g.dw_fromdate &gt;= 20200801 then 'N/A 2020/21 onwards' when ISNULL(g.ZRESPSTATUS, '02')='02' OR ISNULL(g.XACTIVITY, '99')='99' THEN 'Not in GO publication population' else IIF(isnull(g.JOBRSNALL6,'')='','N/A',JOBRSNALL6.label) end</t>
  </si>
  <si>
    <t>CASE WHEN g.dw_fromdate &gt;= 20200801 then 'N/A 2020/21 onwards' when  ISNULL(g.ZRESPSTATUS, '02')='02' OR ISNULL(g.XACTIVITY, '99')='99' THEN 'Not in GO publication population' else IIF(isnull(g.JOBRSNALL7,'')='','N/A',g.JOBRSNALL7) end</t>
  </si>
  <si>
    <t>CASE WHEN  g.dw_fromdate &gt;= 20200801 then 'N/A 2020/21 onwards' when ISNULL(g.ZRESPSTATUS, '02')='02' OR ISNULL(g.XACTIVITY, '99')='99' THEN 'Not in GO publication population' else IIF(isnull(g.JOBRSNALL7,'')='','N/A',JOBRSNALL7.label) end</t>
  </si>
  <si>
    <t>CASE WHEN g.dw_fromdate &gt;= 20200801 then 'N/A 2020/21 onwards' when  ISNULL(g.ZRESPSTATUS, '02')='02' OR ISNULL(g.XACTIVITY, '99')='99' THEN 'Not in GO publication population' else IIF(isnull(g.JOBRSNALL8,'')='','N/A',g.JOBRSNALL8) end</t>
  </si>
  <si>
    <t>CASE WHEN  g.dw_fromdate &gt;= 20200801 then 'N/A 2020/21 onwards' when ISNULL(g.ZRESPSTATUS, '02')='02' OR ISNULL(g.XACTIVITY, '99')='99' THEN 'Not in GO publication population' else IIF(isnull(g.JOBRSNALL8,'')='','N/A',JOBRSNALL8.label) end</t>
  </si>
  <si>
    <t>CASE WHEN  g.dw_fromdate &gt;= 20200801 then 'N/A 2020/21 onwards' when ISNULL(g.ZRESPSTATUS, '02')='02' OR ISNULL(g.XACTIVITY, '99')='99' THEN 'Not in GO publication population' else IIF(isnull(g.JOBRSNALL9,'')='','N/A',g.JOBRSNALL9) end</t>
  </si>
  <si>
    <t>CASE WHEN  g.dw_fromdate &gt;= 20200801 then 'N/A 2020/21 onwards' when ISNULL(g.ZRESPSTATUS, '02')='02' OR ISNULL(g.XACTIVITY, '99')='99' THEN 'Not in GO publication population' else IIF(isnull(g.JOBRSNALL9,'')='','N/A',JOBRSNALL9.label) end</t>
  </si>
  <si>
    <t>Records if the qualification awarded is at the same level or lower than the latest returned qualification aim</t>
  </si>
  <si>
    <t>Z_QLEVELCOMP</t>
  </si>
  <si>
    <t>df.Z_QLEVELCOMP</t>
  </si>
  <si>
    <t>Reference Year</t>
  </si>
  <si>
    <t>df.dw_fromdate</t>
  </si>
  <si>
    <t>Religion</t>
  </si>
  <si>
    <t>(Full) (DF)</t>
  </si>
  <si>
    <t>Z_RELIGION</t>
  </si>
  <si>
    <t>Special category of personal data, justification needed from customer!</t>
  </si>
  <si>
    <t>CASE WHEN ISNULL(df.RELIGION, '99') = '20' THEN 'No religious belief' WHEN ISNULL(df.RELIGION, '99') IN ('', ' ', '98', '99') THEN 'Unknown/Not applicable' WHEN ISNULL(df.RELIGION, '99') IN ('22', '23', '24', '25', '26', '27', '28') THEN '22' ELSE df.RELIGION END</t>
  </si>
  <si>
    <t>CASE WHEN s.F_RELBLF IN ('03','04','05','06','07','08','09') then '03' WHEN s.F_RELBLF IN ('',' ','98') THEN '98' ELSE ISNULL(s.F_RELBLF,'98') END</t>
  </si>
  <si>
    <t>CASE WHEN s.F_RELBLF IN ('03','04','05','06','07','08','09') then 'Christian' WHEN isnull(s.F_RELBLF,'') IN ('',' ','98') THEN 'Information refused' ELSE RELBLF.dw_currentlabel END</t>
  </si>
  <si>
    <t>CASE WHEN s.f_relblf = '01' THEN 'No religious belief' WHEN s.f_relblf IN ('99','98') THEN 'Unknown/Not applicable' ELSE 'Religious belief' END</t>
  </si>
  <si>
    <t>Religion or belief 2012/13 onwards</t>
  </si>
  <si>
    <t>(grouped) (staff)</t>
  </si>
  <si>
    <t>CASE WHEN cc.DW_FromDate &lt;= 20110801 THEN 'Not applicable (2011/12 and prior)' WHEN p.F_RELBLF = '01' THEN 'No religious belief' WHEN p.F_RELBLF IN ('98', '99', '', ' ') THEN 'Unknown/Not applicable' ELSE 'Religious belief' END</t>
  </si>
  <si>
    <t>decimal(38, 9)</t>
  </si>
  <si>
    <t>CASE when c.f_xsalr01 &lt; 20092 THEN '&lt;20092' when c.f_xsalr01 &lt;26341 THEN '&gt;=20092 and &lt;26341' when c.f_xsalr01 &lt;35326 THEN '&gt;=26341 and &lt;35326' when c.f_xsalr01 &lt;47419  THEN '&gt;=35326 and &lt;47419' when c.f_xsalr01 &lt;63668 THEN '&gt;=47419 and &lt;63668' when c.f_xsalr01 between 63668 and 9999999 THEN '&gt;=63668' ELSE 'Unknown' END</t>
  </si>
  <si>
    <t xml:space="preserve">CASE WHEN ISNULL(g.ZRESPSTATUS, '02') = '02' OR ISNULL(g.XACTIVITY, '99') = '99' THEN 'Not in GO publication population' WHEN g.XWRKLOCN IN ( '01', '02', '03', '04', '05', '06' ) AND g.XSALMARKER IN ( '01', '02' ) AND g.XWRKINTENSITY = '01' AND s.DW_FromDate&lt;=20190801 THEN CASE  WHEN CAST(g.XWRKSALARY AS DOUBLE PRECISION) &gt; 245000 THEN 'NA' WHEN g.XWRKCURRLOC = '1' AND CAST(g.XWRKSALARY AS DOUBLE PRECISION) &lt; 11513 AND g.DW_FromDate = 20170801 THEN 'NA' WHEN g.XWRKCURRLOC = '1' AND CAST(g.XWRKSALARY AS DOUBLE PRECISION) &lt; 9610 AND g.DW_FromDate = 20180801 THEN  'NA' WHEN g.XWRKCURRLOC = '1' AND CAST(g.XWRKSALARY AS DOUBLE PRECISION) &lt; 10233 AND g.DW_FromDate = 20190801 THEN 'NA' WHEN CAST(g.XWRKSALARY AS DOUBLE PRECISION) &lt;= 15000 THEN 'Minimum wage - £15,000' WHEN CAST(g.XWRKSALARY AS DOUBLE PRECISION) &lt;= 20000 THEN '£15,001 - £20,000' WHEN CAST(g.XWRKSALARY AS DOUBLE PRECISION) &lt;= 25000 THEN '£20,001 - £25,000' WHEN CAST(g.XWRKSALARY AS DOUBLE PRECISION) &lt;= 30000 THEN '£25,001 - £30,000' WHEN CAST(g.XWRKSALARY AS DOUBLE PRECISION) &lt;= 35000 THEN '£30,001 - £35,000' WHEN CAST(g.XWRKSALARY AS DOUBLE PRECISION) &lt;= 40000 THEN '£35,001 - £40,000' WHEN CAST(g.XWRKSALARY AS DOUBLE PRECISION) &lt;= 45000 THEN '£40,001 - £45,000' WHEN CAST(g.XWRKSALARY AS DOUBLE PRECISION) &lt;= 50000 THEN '£45,001 - £50,000' WHEN CAST(g.XWRKSALARY AS DOUBLE PRECISION) &lt;= 55000 THEN '£50,001 - £55,000' WHEN CAST(g.XWRKSALARY AS DOUBLE PRECISION) &lt;= 60000 THEN '£55,001 - £60,000' WHEN CAST(g.XWRKSALARY AS DOUBLE PRECISION) &lt;= 65000 THEN '£60,001 - £65,000' WHEN CAST(g.XWRKSALARY AS DOUBLE PRECISION) &lt;= 70000 THEN '£65,001 - £70,000' WHEN CAST(g.XWRKSALARY AS DOUBLE PRECISION) &lt;= 245000 THEN '£70,001 - £245,000' ELSE 'NA' END WHEN g.XWRKLOCN IN ( '01', '02', '03', '04', '05', '06' )AND g.XSALMARKER IN ( '01', '02' ) AND g.XWRKINTENSITY = '01'	 AND s.DW_FromDate&gt;20190801 AND g.EMPCURRENCY='1' THEN CASE WHEN CAST(g.XWRKSALARY AS DOUBLE PRECISION) &gt; 245000 THEN 'NA' WHEN CAST(g.XWRKSALARY AS DOUBLE PRECISION) &lt; 13042 AND g.DW_FromDate = 20200801 THEN 'NA' WHEN CAST(g.XWRKSALARY AS DOUBLE PRECISION) &lt;= 15000 THEN 'Minimum wage - £15,000' WHEN CAST(g.XWRKSALARY AS DOUBLE PRECISION) &lt;= 20000 THEN '£15,001 - £20,000' WHEN CAST(g.XWRKSALARY AS DOUBLE PRECISION) &lt;= 25000 THEN '£20,001 - £25,000' WHEN CAST(g.XWRKSALARY AS DOUBLE PRECISION) &lt;= 30000 THEN '£25,001 - £30,000' WHEN CAST(g.XWRKSALARY AS DOUBLE PRECISION) &lt;= 35000 THEN '£30,001 - £35,000' WHEN CAST(g.XWRKSALARY AS DOUBLE PRECISION) &lt;= 40000 THEN '£35,001 - £40,000' WHEN CAST(g.XWRKSALARY AS DOUBLE PRECISION) &lt;= 45000 THEN '£40,001 - £45,000' WHEN CAST(g.XWRKSALARY AS DOUBLE PRECISION) &lt;= 50000 THEN '£45,001 - £50,000' WHEN CAST(g.XWRKSALARY AS DOUBLE PRECISION) &lt;= 55000 THEN '£50,001 - £55,000' WHEN CAST(g.XWRKSALARY AS DOUBLE PRECISION) &lt;= 60000 THEN '£55,001 - £60,000' WHEN CAST(g.XWRKSALARY AS DOUBLE PRECISION) &lt;= 65000 THEN '£60,001 - £65,000' WHEN CAST(g.XWRKSALARY AS DOUBLE PRECISION) &lt;= 70000 THEN '£65,001 - £70,000' WHEN CAST(g.XWRKSALARY AS DOUBLE PRECISION) &lt;= 245000 THEN '£70,001 - £245,000' ELSE 'NA' END ELSE 'NA' END </t>
  </si>
  <si>
    <t>CASE WHEN ISNULL(g.ZRESPSTATUS, '02') = '02' OR ISNULL(g.XACTIVITY, '99') = '99' THEN 'Not in GO publication population' WHEN g.XWRKLOCN IN ( '01', '02', '03', '04', '05', '06' ) AND g.XSALMARKER IN ( '01', '02' ) AND g.XWRKINTENSITY = '01' AND s.DW_FromDate&lt;=20190801 THEN CASE WHEN g.XWRKCURRLOC = '1' AND CAST(g.XWRKSALARY AS DOUBLE PRECISION) &lt; 11513 AND g.DW_FromDate = 20170801 THEN 'NA' WHEN g.XWRKCURRLOC = '1' AND CAST(g.XWRKSALARY AS DOUBLE PRECISION) &lt; 9610 AND g.DW_FromDate = 20180801 THEN 'NA' WHEN g.XWRKCURRLOC = '1' AND CAST(g.XWRKSALARY AS DOUBLE PRECISION) &lt; 10233 AND g.DW_FromDate = 20190801 THEN 'NA' WHEN CAST(g.XWRKSALARY AS DOUBLE PRECISION) &gt; 245000 THEN 'NA' ELSE CAST(ROUND(g.XWRKSALARY, -3) AS VARCHAR) END WHEN g.XWRKLOCN IN ( '01', '02', '03', '04', '05', '06' ) AND g.XSALMARKER IN ( '01', '02' ) AND g.XWRKINTENSITY = '01' AND s.DW_FromDate&gt;20190801 AND g.EMPCURRENCY='1' THEN CASE WHEN CAST(g.XWRKSALARY AS DOUBLE PRECISION) &lt; 13042 AND g.DW_FromDate = 20200801 THEN 'NA' WHEN CAST(g.XWRKSALARY AS DOUBLE PRECISION) &gt; 245000 THEN 'NA' ELSE CAST(ROUND(g.XWRKSALARY, -3) AS VARCHAR) END  ELSE 'NA' END</t>
  </si>
  <si>
    <t>CASE WHEN ISNULL(g.ZRESPSTATUS, '02')='02' OR ISNULL(g.XACTIVITY, '99')='99' THEN 'Not in GO publication population' else IIF(isnull(g.EMPCURRENCY,'')='','N/A',empcurrency.label) end</t>
  </si>
  <si>
    <t>CASE WHEN ISNULL(g.ZRESPSTATUS, '02')='02' OR ISNULL(g.XACTIVITY, '99')='99' THEN 'Not in GO publication population' else isnull(zcurrency.label,'999') end</t>
  </si>
  <si>
    <t>Science cost centre marker</t>
  </si>
  <si>
    <t>Science_mkr</t>
  </si>
  <si>
    <t>CASE WHEN cc.F_CCENTRE IN ('110', '106', '126', '123', '112', '116', '113', '118', '102', '101', '111', '119', '115', '124', '121', '122', '120', '117', '103', '107', '114', '104', '109') THEN 'Science' ELSE 'Non Science' END</t>
  </si>
  <si>
    <t>Science subject marker</t>
  </si>
  <si>
    <t>Science_CAH</t>
  </si>
  <si>
    <t>CASE WHEN s.DW_FromDate &lt; 20190801 THEN 'N/A'  WHEN substring(dsj.f_xcah01_1_3_4,4,2) IN ('14','15','16','17','18','19','20','21','22','23','24','25') OR dsj.f_xcah03_1_3_4 = 'CAH26-01-03' THEN 'Non Science 'ELSE 'Science' END</t>
  </si>
  <si>
    <t>CASE WHEN s.DW_FromDate &lt; 20190801 THEN 'N/A' WHEN substring(dsj.f_xcah01_1_3_4,4,2) IN ('14','15','16','17','18','19','20','21','22','23','24','25') OR dsj.f_xcah03_1_3_4 = 'CAH26-01-03' THEN 'Non Science 'ELSE 'Science' END</t>
  </si>
  <si>
    <t>Science_JACS</t>
  </si>
  <si>
    <t>CASE WHEN s.DW_FromDate &gt;= 20190801 THEN 'N/A' WHEN dsj.F_XJACSA01 IN ('1','2','3','4','5','6','7','8','9','A') THEN 'Science' ELSE 'Non Science' END</t>
  </si>
  <si>
    <t>CASE WHEN ISNULL(g.ZRESPSTATUS, '02')='02' OR ISNULL(g.XACTIVITY, '99')='99' THEN 'Not in GO publication population' when g.DW_FromDate &gt;= 20180801 THEN 'Not applicable 2018/19 onwards' when g.XBUS2010SOC IN ('00010','$$$$$','-3') THEN 'NA/UNK' else ISNULL(g.XBUS2010SOC,'NA/UNK') end</t>
  </si>
  <si>
    <t>CASE WHEN ISNULL(g.ZRESPSTATUS, '02')='02' OR ISNULL(g.XACTIVITY, '99')='99' THEN 'Not in GO publication population' when g.DW_FromDate &gt;= 20180801 THEN 'Not applicable 2018/19 onwards'  WHEN g.XBUS2010SOC IN ('00010','$$$$$','-3') THEN 'Unknown/ not applicable' else ISNULL(XBUS2010SOC.label,'Unknown/ not applicable') end</t>
  </si>
  <si>
    <t>CASE WHEN c.DW_FromDate &gt;= 20120801 THEN 'Not applicable (2012/13 onwards)' ELSE CAST(c.F_SMPH AS VARCHAR) END</t>
  </si>
  <si>
    <t>CASE WHEN c.DW_FromDate &gt;= 20120801 THEN 'Not applicable (2012/13 onwards)' ELSE SMPH.label END</t>
  </si>
  <si>
    <t>Service leaver</t>
  </si>
  <si>
    <t>Z_SERLEAVE</t>
  </si>
  <si>
    <t>df.SERLEAVE</t>
  </si>
  <si>
    <t>Service student</t>
  </si>
  <si>
    <t>SERSTU</t>
  </si>
  <si>
    <t>Only for Scotland 2021/22 onwards</t>
  </si>
  <si>
    <t>CASE WHEN s.DW_FromDate&lt;=20200801 then 'Not applicable' WHEN s.f_SERSTU in ('98','99') then '99' else isnull(s.F_SERSTU,'99') end F_SERSTU</t>
  </si>
  <si>
    <t>CASE WHEN s.DW_FromDate&lt;=20200801 then 'Not applicable before 2021/22'  WHEN s.F_SERSTU='01' then 'Service student' WHEN s.F_SERSTU='02' then 'Not a service student' else 'Unknown/Not applicable' end F_SERSTU</t>
  </si>
  <si>
    <t>Z_SERSTU</t>
  </si>
  <si>
    <t>df.SERSTU</t>
  </si>
  <si>
    <t>Z_SEXID</t>
  </si>
  <si>
    <t>df.SEXID</t>
  </si>
  <si>
    <t>CASE WHEN s.F_SEXORT IN ('', ' ','99') THEN 'Unknown/Not available' ELSE ISNULL(s.F_SEXORT, 'Unknown/Not applicable')END</t>
  </si>
  <si>
    <t>CASE WHEN isnull(s.F_SEXORT,'') IN ('', ' ','99') THEN 'Unknown/Not applicable' ELSE SEXORT.dw_currentlabel END</t>
  </si>
  <si>
    <t>Z_SEXORT</t>
  </si>
  <si>
    <t>CASE WHEN df.SEXORT IN ('', ' ','99') THEN 'Unknown/Not available' ELSE ISNULL(df.SEXORT, 'Unknown/Not available')END</t>
  </si>
  <si>
    <t>Sexual orientation 2012/13 onwards</t>
  </si>
  <si>
    <t>(full) (staff)</t>
  </si>
  <si>
    <t>CASE  WHEN cc.DW_FromDate &lt;= 20110801 THEN 'NA_1112' WHEN p.F_SEXORT IN ('98', '99', '', ' ') THEN 'U' ELSE ISNULL(p.F_SEXORT,'U') END</t>
  </si>
  <si>
    <t>CASE  WHEN cc.DW_FromDate &lt;= 20110801 THEN 'Not applicable (2011/12 and prior)' WHEN p.F_SEXORT IN ('98', '99', '', ' ') THEN 'Unknown/Not applicable' ELSE ISNULL(SEXORT_STAFF.DW_CurrentLabel,'Unknown/Not applicable') END</t>
  </si>
  <si>
    <t>SEXORT_STAFF</t>
  </si>
  <si>
    <t>Special or non-regulated fee category for Engagement</t>
  </si>
  <si>
    <t>Z_FEESPECIAL</t>
  </si>
  <si>
    <t>Also available at course session level</t>
  </si>
  <si>
    <t>df.Z_FEESPECIAL</t>
  </si>
  <si>
    <t>CASE WHEN s.DW_FromDate &gt;=20110801 THEN 'N/A year'  WHEN s.F_XPDLHE02!='1' AND ISNULL(dh.F_XPDLHE,'0')!='1' AND ISNULL(dh.F_XACTIV01,'X')='X' THEN 'NDLHE'   ELSE dh.F_XSICD02 END</t>
  </si>
  <si>
    <t>CASE WHEN s.DW_FromDate &lt;20110801 THEN 'N/A year' WHEN s.f_xpdlhe02 != '1'AND ISNULL(dh.f_xpubpopd01, '0') != '1' AND ISNULL(dh.f_xactiv02, 'XX') = 'XX' THEN 'NDLHE' ELSE dh.F_XSICD02 END</t>
  </si>
  <si>
    <t xml:space="preserve">CASE WHEN s.DW_FromDate &gt;=20110801 THEN 'N/A year' WHEN s.F_XPDLHE02!='1' AND ISNULL(dh.F_XPDLHE,'0')!='1' AND ISNULL(dh.F_XACTIV01,'X')='X' THEN 'NDLHE'   WHEN dh.F_SOCDLHE2000 IN ('00000','00010','00020','XXXXX',NULL,'','     ') THEN 'UNK/NA' ELSE SUBSTRING(dh.F_SOCDLHE2000,1,3) END </t>
  </si>
  <si>
    <t>CASE WHEN s.DW_FromDate &lt;20110801 THEN 'N/A year'  WHEN s.f_xpdlhe02 != '1'AND ISNULL(dh.f_xpubpopd01, '0') != '1' AND ISNULL(dh.f_xactiv02, 'XX') = 'XX' THEN 'NDLHE'   WHEN dh.F_SOCDLHE2010 IN ('00000','00010','00020','XXXXX',NULL,'','     ') THEN 'UNK/NA'    ELSE SUBSTRING(dh.F_SOCDLHE2010,1,3) END</t>
  </si>
  <si>
    <t>varchar(23)</t>
  </si>
  <si>
    <t>UPPER(d.F_ZSTATE_MARKER)</t>
  </si>
  <si>
    <t>(SELECT top 1 DW_CurrentLabel From Student.C051_Meta_Data f with(nolock) where UPPER(d.F_ZSTATE_MARKER) =F.Entry and fieldname = 'ZSTATE_MARKER' order by dw_fromdate desc)</t>
  </si>
  <si>
    <t>Student dormant within the cycle</t>
  </si>
  <si>
    <t>Z_ACT_CYC</t>
  </si>
  <si>
    <t>Identifies dormant students - must be used with session population!</t>
  </si>
  <si>
    <t>case when df.Z_ACT_CYC = '0' then 'Dormant' else 'Not dormant for the entire cycle' end</t>
  </si>
  <si>
    <t>Student course session status during the cycle</t>
  </si>
  <si>
    <t>Z_STATUSSCS_CYC</t>
  </si>
  <si>
    <t>ddf.Z_STATUSSCS_CYC</t>
  </si>
  <si>
    <t>ddf</t>
  </si>
  <si>
    <t>Student course session status to date</t>
  </si>
  <si>
    <t>Z_STATUSXSCS</t>
  </si>
  <si>
    <t>ddf.Z_STATUSXSCS</t>
  </si>
  <si>
    <t>Student identifier (provider only)</t>
  </si>
  <si>
    <t>Z_SID</t>
  </si>
  <si>
    <t>Only for their own provider!</t>
  </si>
  <si>
    <t xml:space="preserve">ISNULL(s.F_XSTULOAD01, 999) </t>
  </si>
  <si>
    <t>numeric(18, 2)</t>
  </si>
  <si>
    <t>100983, 100984</t>
  </si>
  <si>
    <t>Student status after the end of the last Student course session</t>
  </si>
  <si>
    <t>Z_STATUSSTART</t>
  </si>
  <si>
    <t>df.Z_STATUSSTART</t>
  </si>
  <si>
    <t>Student status at the end of the last Student course session</t>
  </si>
  <si>
    <t>Z_STATUSEND</t>
  </si>
  <si>
    <t>df.Z_STATUSEND</t>
  </si>
  <si>
    <t>Student status during the cycle</t>
  </si>
  <si>
    <t>Z_STATUS_CYC</t>
  </si>
  <si>
    <t>df.Z_STATUS_CYC</t>
  </si>
  <si>
    <t>Z_DISABILITYGRP1</t>
  </si>
  <si>
    <t>IIF(df.Z_DISABILITYGRP1 in ('Z9'),'01', df.Z_DISABILITYGRP1)</t>
  </si>
  <si>
    <t>CASE WHEN ISNULL(g.ZRESPSTATUS, '02')='02' OR ISNULL(g.XACTIVITY, '99')='99' THEN 'Not in GO publication population' else isnull(stumean.label,'Not applicable/Unknown') end</t>
  </si>
  <si>
    <t>F_MODSBJ_CAH1</t>
  </si>
  <si>
    <t>CASE WHEN (s.DW_FromDate &gt;= 20190801 AND (cc.F_MODSBJ IN ( '', ' ' ) OR cc.F_MODSBJ IS NULL)) THEN 'Unknown' WHEN s.DW_FromDate &gt;= 20190801 AND msbj.[CAH3 (Code only)] = 'CAH26-01-03' THEN 'CAH26-01-03' WHEN s.DW_FromDate &gt;= 20190801 THEN ISNULL(msbj.[CAH1 (Code only)], 'Unknown') ELSE 'Not applicable before 2019/20' END</t>
  </si>
  <si>
    <t>CASE WHEN (s.DW_FromDate &gt;= 20190801 AND (cc.F_MODSBJ IN ( '', ' ' ) OR cc.F_MODSBJ IS NULL)) THEN 'Unknown' WHEN s.DW_FromDate &gt;= 20190801 AND msbj.[CAH3 (Code only)] = 'CAH26-01-03' THEN '(CAH26) Geography, Earth and Environmental Studies(social sciences)' WHEN msbj.[CAH1 (Code only)] = 'CAH26'  THEN '(CAH26) Geography, Earth and Environmental Studies(natural sciences)' WHEN s.DW_FromDate &gt;= 20190801 THEN ISNULL(msbj.[CAH1], 'Unknown') ELSE 'Not applicable before 2019/20' END</t>
  </si>
  <si>
    <t>msbj</t>
  </si>
  <si>
    <t>(CAH1) (2012/13 - 2018/19 only)</t>
  </si>
  <si>
    <t>F_MODSBJ_CAH1_MAP</t>
  </si>
  <si>
    <t>CASE WHEN (s.DW_FromDate BETWEEN 20120801 AND 20180801 AND (cc.F_MODSBJ IN ( '', ' ' ) OR cc.F_MODSBJ IS NULL)) THEN 'Unknown' WHEN s.DW_FromDate BETWEEN 20120801 AND 20180801 AND mcahjacs.[CAH3 (Code only)] = 'CAH26-01-03' THEN 'CAH26-01-03' WHEN s.DW_FromDate BETWEEN 20120801 AND 20180801 THEN ISNULL(mcahjacs.[CAH1 (Code only)], 'Unknown') ELSE 'Not applicable' END</t>
  </si>
  <si>
    <t>CASE WHEN (s.DW_FromDate BETWEEN 20120801 AND 20180801 AND (cc.F_MODSBJ IN ( '', ' ' ) OR cc.F_MODSBJ IS NULL)) THEN 'Unknown' WHEN s.DW_FromDate BETWEEN 20120801 AND 20180801 AND mcahjacs.[CAH3 (Code only)] = 'CAH26-01-03' THEN '(CAH26) Geography, Earth and Environmental Studies(social sciences)' WHEN s.DW_FromDate BETWEEN 20120801 AND 20180801 AND msbj.[CAH1 (Code only)] = 'CAH26'  THEN '(CAH26) Geography, Earth and Environmental Studies(natural sciences)' WHEN s.DW_FromDate BETWEEN 20120801 AND 20180801 THEN ISNULL(mcahjacs.[CAH1], 'Unknown') ELSE 'Not applicable' END</t>
  </si>
  <si>
    <t>mcahjacs</t>
  </si>
  <si>
    <t>F_MODSBJ_CAH2</t>
  </si>
  <si>
    <t>CASE WHEN (s.DW_FromDate &gt;= 20190801 AND (cc.F_MODSBJ IN ( '', ' ' ) OR cc.F_MODSBJ IS NULL)) THEN 'Unknown' WHEN s.DW_FromDate &gt;= 20190801 AND msbj.[CAH3 (Code only)] = 'CAH26-01-03' THEN 'CAH26-01-03' WHEN s.DW_FromDate &gt;= 20190801 THEN ISNULL(msbj.[CAH2 (Code only)], 'Unknown') ELSE 'Not applicable before 2019/20' END</t>
  </si>
  <si>
    <t>CASE WHEN (s.DW_FromDate &gt;= 20190801 AND (cc.F_MODSBJ IN ( '', ' ' ) OR cc.F_MODSBJ IS NULL)) THEN 'Unknown' WHEN s.DW_FromDate &gt;= 20190801 AND msbj.[CAH3 (Code only)] = 'CAH26-01-03' THEN '(CAH26-01) Geography, Earth and Environmental Studies(social sciences)' WHEN msbj.[CAH2 (Code only)] = 'CAH26-01'  THEN '(CAH26-01) Geography, Earth and Environmental Studies(natural sciences)' WHEN s.DW_FromDate &gt;= 20190801 THEN ISNULL(msbj.[CAH2], 'Unknown') ELSE 'Not applicable before 2019/20' END</t>
  </si>
  <si>
    <t>(CAH2) (2012/13 - 2018/19 only)</t>
  </si>
  <si>
    <t>F_MODSBJ_CAH2_MAP</t>
  </si>
  <si>
    <t>CASE WHEN (s.DW_FromDate BETWEEN 20120801 AND 20180801 AND (cc.F_MODSBJ IN ( '', ' ' ) OR cc.F_MODSBJ IS NULL)) THEN 'Unknown' WHEN s.DW_FromDate BETWEEN 20120801 AND 20180801 AND mcahjacs.[CAH3 (Code only)] = 'CAH26-01-03' THEN 'CAH26-01-03' WHEN s.DW_FromDate BETWEEN 20120801 AND 20180801 THEN ISNULL(mcahjacs.[CAH2 (Code only)], 'Unknown') ELSE 'Not applicable' END</t>
  </si>
  <si>
    <t>CASE WHEN (s.DW_FromDate BETWEEN 20120801 AND 20180801 AND (cc.F_MODSBJ IN ( '', ' ' ) OR cc.F_MODSBJ IS NULL)) THEN 'Unknown' WHEN s.DW_FromDate BETWEEN 20120801 AND 20180801 AND mcahjacs.[CAH3 (Code only)] = 'CAH26-01-03' THEN '(CAH26-01) Geography, Earth and Environmental Studies(social sciences)' WHEN s.DW_FromDate BETWEEN 20120801 AND 20180801 AND msbj.[CAH2 (Code only)] = 'CAH26-01'  THEN '(CAH26-01) Geography, Earth and Environmental Studies(natural sciences)' WHEN s.DW_FromDate BETWEEN 20120801 AND 20180801 THEN ISNULL(mcahjacs.[CAH2], 'Unknown') ELSE 'Not applicable' END</t>
  </si>
  <si>
    <t>F_MODSBJ_CAH3</t>
  </si>
  <si>
    <t>CASE WHEN (s.DW_FromDate &gt;= 20190801 AND (cc.F_MODSBJ IN ( '', ' ' ) OR cc.F_MODSBJ IS NULL)) THEN 'Unknown' WHEN s.DW_FromDate &gt;= 20190801 THEN ISNULL(msbj.[CAH3 (Code only)], 'Unknown') ELSE 'Not applicable before 2019/20' END</t>
  </si>
  <si>
    <t>CASE WHEN (s.DW_FromDate &gt;= 20190801 AND (cc.F_MODSBJ IN ( '', ' ' ) OR cc.F_MODSBJ IS NULL)) THEN 'Unknown' WHEN s.DW_FromDate &gt;= 20190801 THEN ISNULL(msbj.[CAH3], 'Unknown') ELSE 'Not applicable before 2019/20' END</t>
  </si>
  <si>
    <t>(CAH3) (2012/13 - 2018/19 only)</t>
  </si>
  <si>
    <t>F_MODSBJ_CAH3_MAP</t>
  </si>
  <si>
    <t>CASE WHEN (s.DW_FromDate BETWEEN 20120801 AND 20180801 AND (cc.F_MODSBJ IN ( '', ' ' ) OR cc.F_MODSBJ IS NULL)) THEN 'Unknown' WHEN s.DW_FromDate BETWEEN 20120801 AND 20180801 THEN ISNULL(mcahjacs.[CAH3 (Code only)], 'Unknown') ELSE 'Not applicable' END</t>
  </si>
  <si>
    <t>CASE WHEN (s.DW_FromDate BETWEEN 20120801 AND 20180801 AND (cc.F_MODSBJ IN ( '', ' ' ) OR cc.F_MODSBJ IS NULL)) THEN 'Unknown' WHEN s.DW_FromDate BETWEEN 20120801 AND 20180801 THEN ISNULL(mcahjacs.[CAH3], 'Unknown') ELSE 'Not applicable' END</t>
  </si>
  <si>
    <t>CASE WHEN s.DW_FromDate&lt;20190801 and s.DW_FromDate&gt;=20120801 THEN  IIF(cahjacs.[CAH3 (Code only)]='CAH26-01-03','(CAH26) Geography, Earth and Environmental Studies(social sciences)', IIF(cahjacs.[CAH1 (Code only)]='CAH26','(CAH26) Geography, Earth and Environmental Studies(natural sciences)',replace(cahjacs.[CAH1],'"','')) ELSE 'Not applicable' END</t>
  </si>
  <si>
    <t>CASE WHEN s.DW_FromDate&lt;20190801 and s.DW_FromDate&gt;=20120801 THEN  IIF(cahjacs.[CAH3 (Code only)]='CAH26-01-03','(CAH26-01) Geography, Earth and Environmental Studies(social sciences)', IIF(cahjacs.[CAH2 (Code only)]='CAH26-01','(CAH26-01) Geography, Earth and Environmental Studies(natural sciences)',replace(cahjacs.[CAH2],'"','')) ELSE 'Not applicable' END</t>
  </si>
  <si>
    <t>IIF(s.DW_FromDate &gt;= 20190801,'Not applicable 2019/20 onwards',IIF(d.F_ZSBJ1 IN ('', '/'),'Not applicable',jzsbj1.DW_CurrentLabel))</t>
  </si>
  <si>
    <t>varchar(67)</t>
  </si>
  <si>
    <t>IIF(s.DW_FromDate &gt;= 20190801,'Not applicable 2019/20 onwards',IIF(d.F_ZSBJ2 IN ('', '/'),'Not applicable',jzsbj2.DW_CurrentLabel))</t>
  </si>
  <si>
    <t>case when s.DW_FromDate &gt;= 20190801 then case when isnull(sbj2.[CAH3 (Code only)],'/') in ('','/','-99') then 'Not applicable' else IIF(sbj2.[CAH3 (Code only)]='CAH26-01-03','CAH26-01-03',ISNULL(sbj2.[CAH1 (Code only)],'/')) end ELSE 'Not applicable before 2019/20' END</t>
  </si>
  <si>
    <t>case when s.DW_FromDate &gt;= 20190801 then case when isnull(sbj2.[CAH3 (Code only)],'/') in ('','/','-99') then 'Not applicable' else IIF(sbj2.[CAH3 (Code only)]='CAH26-01-03','CAH26-01-03',ISNULL(sbj2.[CAH2 (Code only)],'/')) end ELSE 'Not applicable before 2019/20' END</t>
  </si>
  <si>
    <t>case when s.DW_FromDate &gt;= 20190801 then case when isnull(sbj2.[CAH3 (Code only)],'/') in ('','/','-99') then 'Not applicable' else ISNULL(sbj2.[CAH3 (Code only)],'/') end ELSE 'Not applicable before 2019/20' END</t>
  </si>
  <si>
    <t xml:space="preserve">case when s.DW_FromDate &gt;= 20190801 then case when isnull(sbj2.[CAH3 (Code only)],'/') in ('','/','-99') then 'Not applicable' else ISNULL(sbj2.[CAH3],'/') end ELSE 'Not applicable before 2019/20' END </t>
  </si>
  <si>
    <t>case when s.DW_FromDate &gt;= 20190801 then case when isnull(d.f_zsbj2,'/') in ('','/','-99') then 'Not applicable' else  cast(d.f_zsbj2 as varchar) end ELSE 'Not applicable 2019/20 onwards' END</t>
  </si>
  <si>
    <t>case when s.DW_FromDate &gt;= 20190801 then IIF(d.f_zsbj2 IN ('','/','-99'),'Not applicable',hzsbj2.dw_Currentlabel) else  'Not applicable before 2019/20' end</t>
  </si>
  <si>
    <t>IIF(s.DW_FromDate &gt;= 20190801,'Not applicable 2019/20 onwards',IIF(d.F_ZSBJ3 IN ('', '/'),'Not applicable',jzsbj3.DW_CurrentLabel))</t>
  </si>
  <si>
    <t>case when s.DW_FromDate &gt;= 20190801 then case when isnull(sbj3.[CAH3 (Code only)],'/') in ('','/','-99') then 'Not applicable' else IIF(sbj3.[CAH3 (Code only)]='CAH26-01-03','CAH26-01-03',ISNULL(sbj3.[CAH1 (Code only)],'/')) end ELSE 'Not applicable before 2019/20' END</t>
  </si>
  <si>
    <t>case when s.DW_FromDate &gt;= 20190801 then case when isnull(sbj3.[CAH3 (Code only)],'/') in ('','/','-99') then 'Not applicable' else IIF(sbj3.[CAH3 (Code only)]='CAH26-01-03','CAH26-01-03',ISNULL(sbj3.[CAH2 (Code only)],'/')) end ELSE 'Not applicable before 2019/20' END</t>
  </si>
  <si>
    <t>case when s.DW_FromDate &gt;= 20190801 then case when isnull(sbj3.[CAH3 (Code only)],'/') in ('','/','-99') then 'Not applicable' else ISNULL(sbj3.[CAH3 (Code only)],'/') end ELSE 'Not applicable before 2019/20' END</t>
  </si>
  <si>
    <t>case when s.DW_FromDate &gt;= 20190801 then case when isnull(d.f_zsbj3,'/') in ('','/','-99') then 'Not applicable' else cast(d.f_zsbj3 as varchar) end ELSE 'Not applicable before 2019/20' END</t>
  </si>
  <si>
    <t>case when s.DW_FromDate &gt;= 20190801 then IIF(d.f_zsbj3 IN ('','/','-99'),'Not applicable',hzsbj3.dw_Currentlabel) else  'Not applicable before 2019/20' end</t>
  </si>
  <si>
    <t>case when s.DW_FromDate &gt;= 20190801 then case when isnull(sbj4.[CAH3 (Code only)],'/') in ('','/','-99') then 'Not applicable' else IIF(sbj4.[CAH3 (Code only)]='CAH26-01-03','CAH26-01-03',ISNULL(sbj4.[CAH1 (Code only)],'/')) end else 'Not applicable before 2019/20' end</t>
  </si>
  <si>
    <t>case when s.DW_FromDate &gt;= 20190801 then case when isnull(sbj4.[CAH3 (Code only)],'/') in ('','/','-99') then 'Not applicable' else IIF(sbj4.[CAH3 (Code only)]='CAH26-01-03','CAH26-01-03',ISNULL(sbj4.[CAH2 (Code only)],'/')) end else 'Not applicable before 2019/20' end</t>
  </si>
  <si>
    <t>case when s.DW_FromDate &gt;= 20190801 then  case when isnull(sbj4.[CAH3 (Code only)],'/') in ('','/','-99') then 'Not applicable' else ISNULL(sbj4.[CAH3 (Code only)],'/') end else 'Not applicable before 2019/20' end</t>
  </si>
  <si>
    <t>case when s.DW_FromDate &gt;= 20190801 then  case when isnull(d.f_zsbj4,'/') in ('','/','-99') then 'Not applicable' else cast(d.f_zsbj4 as varchar) end else 'Not applicable before 2019/20' end</t>
  </si>
  <si>
    <t>case when s.DW_FromDate &gt;= 20190801 then IIF(d.f_zsbj4 IN ('','/','-99'),'Not applicable',hzsbj4.dw_Currentlabel) else  'Not applicable before 2019/20' end</t>
  </si>
  <si>
    <t>case when s.DW_FromDate &gt;= 20190801 then  case when isnull(sbj5.[CAH3 (Code only)],'/') in ('','/','-99') then 'Not applicable' else IIF(sbj5.[CAH3 (Code only)]='CAH26-01-03','CAH26-01-03',ISNULL(sbj5.[CAH1 (Code only)],'/')) end else 'Not applicable before 2019/20' end</t>
  </si>
  <si>
    <t>case when s.DW_FromDate &gt;= 20190801 then case when isnull(sbj5.[CAH3 (Code only)],'/') in ('','/','-99') then 'Not applicable' else IIF(sbj5.[CAH3 (Code only)]='CAH26-01-03','CAH26-01-03',ISNULL(sbj5.[CAH2 (Code only)],'/')) end else 'Not applicable before 2019/20' end</t>
  </si>
  <si>
    <t>case when s.DW_FromDate &gt;= 20190801 then  case when isnull(sbj5.[CAH3 (Code only)],'/') in ('','/','-99') then 'Not applicable' else ISNULL(sbj5.[CAH3 (Code only)],'/') end else 'Not applicable before 2019/20' end</t>
  </si>
  <si>
    <t>case when s.DW_FromDate &gt;= 20190801 then  case when isnull(d.f_zsbj5,'/') in ('','/','-99') then 'Not applicable' else  cast(d.f_zsbj5 as varchar) end else 'Not applicable before 2019/20' end</t>
  </si>
  <si>
    <t>case when s.DW_FromDate &gt;= 20190801 then IIF(d.f_zsbj5 IN ('','/','-99'),'Not applicable',hzsbj5.dw_Currentlabel) else  'Not applicable before 2019/20' end</t>
  </si>
  <si>
    <t>CASE WHEN ISNULL(g.ZRESPSTATUS, '02')='02' OR ISNULL(g.XACTIVITY, '99')='99' THEN 'Not in GO publication population' WHEN g.dw_fromdate=20200801 THEN 'Not applicable 2020/21 onwards' else IIF(isnull(g.SUPERVISE,'')='','N/A',g.SUPERVISE) end</t>
  </si>
  <si>
    <t>CASE WHEN ISNULL(g.ZRESPSTATUS, '02')='02' OR ISNULL(g.XACTIVITY, '99')='99' THEN 'Not in GO publication population' WHEN g.dw_fromdate=20200801 THEN 'Not applicable 2020/21 onwards'  else IIF(isnull(g.SUPERVISE,'')='','N/A',supervise.label)  end</t>
  </si>
  <si>
    <t>ot</t>
  </si>
  <si>
    <t>numeric(18, 0)</t>
  </si>
  <si>
    <t>CASE WHEN s.DW_CollectionYear &gt;= 2017 THEN 'Not applicable from 2017/18' WHEN s.F_QUALENT3 IN ('P41','P42','P46','P47','P50','P51','P53','P54','P62','P63','P64','P65','P68','P80','P91','P93','P94') THEN case WHEN s.F_XTARIFF IN ('$$$$', '0000', '____', '-1') THEN 'Unknown' else cast(s.F_XTARIFF*(sj.f_xfpe01/100) as varchar) END ELSE 'Not applicable' end</t>
  </si>
  <si>
    <t>Teacher training courses (grouped)</t>
  </si>
  <si>
    <t>Z_ITTGRP1</t>
  </si>
  <si>
    <t>ddf.Z_ITTGRP1</t>
  </si>
  <si>
    <t>IIF(ISNULL(c.F_TQSSUB1, '0')='0','UNK',CAST(c.F_TQSSUB1 AS VARCHAR))</t>
  </si>
  <si>
    <t>isnull((select top 1 DW_CurrentLabel From Student.C051_Meta_Data f with(nolock) where c.F_TQSSUB1 =F.Entry AND fieldname = 'TQSSUB' order by dw_fromdate desc),'Unknown')</t>
  </si>
  <si>
    <t>IIF(ISNULL(c.F_TQSSUB2, '0')='0','UNK',CAST(c.F_TQSSUB2 AS VARCHAR))</t>
  </si>
  <si>
    <t>isnull((select top 1 DW_CurrentLabel From Student.C051_Meta_Data f with(nolock) where c.F_TQSSUB2 =F.Entry AND fieldname = 'TQSSUB' order by dw_fromdate desc),'Unknown')</t>
  </si>
  <si>
    <t>IIF(ISNULL(c.F_TQSSUB3, '0')='0','UNK',CAST(c.F_TQSSUB3 AS VARCHAR))</t>
  </si>
  <si>
    <t>isnull((select top 1 DW_CurrentLabel From Student.C051_Meta_Data f with(nolock) where c.F_TQSSUB3 =F.Entry AND fieldname = 'TQSSUB' order by dw_fromdate desc),'Unknown')</t>
  </si>
  <si>
    <t>TTACCOM</t>
  </si>
  <si>
    <t>df.TTACCOM</t>
  </si>
  <si>
    <t>IIF(tt.F_FULL_LAUA = '', 'Unknown', ISNULL(ons.Label, 'Unknown'))</t>
  </si>
  <si>
    <t>ttlaua</t>
  </si>
  <si>
    <t>Awarding body</t>
  </si>
  <si>
    <t>Z_AWARDBOD_CYC</t>
  </si>
  <si>
    <t>df.Z_AWARDBOD_CYC</t>
  </si>
  <si>
    <t>Provider group (England - Approved (fee cap)/ England - Approved/ England - further education college/ Northern Ireland HE provider/ Scotland/ Wales HE Provider/ Northern Ireland further education college/ Wales further education college)</t>
  </si>
  <si>
    <t>Z_PROVIDERCAT</t>
  </si>
  <si>
    <t>df.Z_PROVIDERCAT</t>
  </si>
  <si>
    <t>Z_LEVEL</t>
  </si>
  <si>
    <t>df.Z_LEVEL</t>
  </si>
  <si>
    <t>Top 3 A levels</t>
  </si>
  <si>
    <t>Z_ENTQUALAGRP2</t>
  </si>
  <si>
    <t>Includes advanced highers and vocational. Top 8 Alevels also available</t>
  </si>
  <si>
    <t>df.Z_ENTQUALAGRP2</t>
  </si>
  <si>
    <t>Include Advanced highers and vocational</t>
  </si>
  <si>
    <t>Top 6 Highers</t>
  </si>
  <si>
    <t>F_ZTOP_HIGHERS</t>
  </si>
  <si>
    <t>Doesn't include advanced highers</t>
  </si>
  <si>
    <t>LEFT(RTRIM(d.F_ZTOP_HIGHERS+'XXXXXX'),6)</t>
  </si>
  <si>
    <t>INSTID</t>
  </si>
  <si>
    <t>cast(df.INSTID as varchar)</t>
  </si>
  <si>
    <t>Top 8 Highers</t>
  </si>
  <si>
    <t>Z_ENTQUALHGRP1</t>
  </si>
  <si>
    <t>Doesn't include Advanced highers, NOTE: the F_ZTOP_HIGHERS in legacy is only 6 grades not 8 so no legacy that meets the requirements</t>
  </si>
  <si>
    <t>df.Z_ENTQUALHGRP1</t>
  </si>
  <si>
    <t>Total fee for Student course session including module instance fees</t>
  </si>
  <si>
    <t>Z_FEETOTSCS</t>
  </si>
  <si>
    <t>Not supplied in combination with alevels - split into two fields if they want alevels too</t>
  </si>
  <si>
    <t>ddf.Z_FEETOTSCS</t>
  </si>
  <si>
    <t>Total student load for the Engagement across the cycle</t>
  </si>
  <si>
    <t>Z_STULOAD_CYC</t>
  </si>
  <si>
    <t>Not available for Scotland.</t>
  </si>
  <si>
    <t>df.Z_STULOAD_CYC</t>
  </si>
  <si>
    <t>decimal(4, 1)</t>
  </si>
  <si>
    <t>Total student load for the Student course session to date</t>
  </si>
  <si>
    <t>Z_STULOADSCS</t>
  </si>
  <si>
    <t>Scotland only</t>
  </si>
  <si>
    <t>ddf.Z_STULOADSCS</t>
  </si>
  <si>
    <t>Tariff</t>
  </si>
  <si>
    <t>Z_TARIFF</t>
  </si>
  <si>
    <t>case when df.Z_TARIFF = "" then "Unknown" else CAST(df.Z_TARIFF AS varchar) END</t>
  </si>
  <si>
    <t>Transgender</t>
  </si>
  <si>
    <t>Z_TRANS</t>
  </si>
  <si>
    <t>CASE WHEN df.TRANS IN ('', ' ','99') THEN 'Unknown/Not available' ELSE ISNULL(df.TRANS, 'Unknown/Not available')END</t>
  </si>
  <si>
    <t>CASE WHEN s.DW_FromDate &gt;=20110801 THEN 'N/A year' WHEN s.F_XPDLHE02!='1' AND ISNULL(dh.F_XPDLHE,'0')!='1' AND ISNULL(dh.F_XACTIV01,'X')='X' THEN 'NDLHE' WHEN CAST(dh.F_TYPEQUAL AS VARCHAR(10)) IN ('',' ','  ',NULL) THEN 'UNK/NA' ELSE CAST(ISNULL(dh.F_TYPEQUAL,'UNK/NA') AS VARCHAR(10)) END</t>
  </si>
  <si>
    <t>CASE WHEN s.DW_FromDate &lt;20110801 THEN 'N/A year'  WHEN s.f_xpdlhe02 != '1'AND ISNULL(dh.f_xpubpopd01, '0') != '1' AND ISNULL(dh.f_xactiv02, 'XX') = 'XX' THEN 'NDLHE'  WHEN CAST(dh.F_TYPEQUAL AS VARCHAR(10)) IN ('',' ','  ',NULL) THEN 'UNK/NA' ELSE CAST(ISNULL(dh.F_TYPEQUAL,'UNK/NA') AS VARCHAR(10)) END</t>
  </si>
  <si>
    <t>Not to be used unless necessary!</t>
  </si>
  <si>
    <t>CASE WHEN ISNULL(g.ZRESPSTATUS, '02')='02' OR ISNULL(g.XACTIVITY, '99')='99' THEN 'Not in GO publication population'  WHEN isnull(g.Xwrk2007SIC1,'$') IN ('$', '_','$$','__','X')  THEN 'NA/UNK' else ISNULL(Xwrk2007SIC1.LABEL,'Not applicable/Unknown') end</t>
  </si>
  <si>
    <t>CASE WHEN ISNULL(g.ZRESPSTATUS, '02')='02' OR ISNULL(g.XACTIVITY, '99')='99' THEN 'Not in GO publication population'  WHEN isnull(g.Xwrk2007SIC2,'$') IN ('$$$', '_', '$$', '___', '__', 'X')  THEN 'Unknown/ not applicable' else ISNULL(Xwrk2007SIC2.LABEL,'Not applicable/Unknown') end</t>
  </si>
  <si>
    <t xml:space="preserve">CASE WHEN ISNULL(g.ZRESPSTATUS, '02')='02'   OR ISNULL(g.XACTIVITY, '99')='99' THEN 'Not in GO publication population'   WHEN ISNULL(g.XWRK2020SOC, '$') IN ('$', '_','$$','__','$$$$','____','0001') THEN 'NA/UNK'   ELSE ISNULL(XWRK2020SOC.label, 'Not applicable/Unknown')END </t>
  </si>
  <si>
    <t xml:space="preserve">CASE WHEN ISNULL(g.ZRESPSTATUS, '02')='02'   OR ISNULL(g.XACTIVITY, '99')='99' THEN 'Not in GO publication population'  WHEN ISNULL(g.XWRK2020SOC1, '$') IN ('$', '_','$$','__','X') THEN 'NA/UNK'  ELSE ISNULL(XWRK2020SOC1.label, 'Not applicable/Unknown')END </t>
  </si>
  <si>
    <t>CASE WHEN ISNULL(g.ZRESPSTATUS, '02')='02' OR ISNULL(g.XACTIVITY, '99')='99' THEN 'Not in GO publication population' else isnull(g.XEMPLOYERMARKER,'Not applicable/Unknown') end</t>
  </si>
  <si>
    <t>CASE WHEN ISNULL(g.ZRESPSTATUS, '02')='02' OR ISNULL(g.XACTIVITY, '99')='99' THEN 'Not in GO publication population' else isnull(empmarker.label,'Not applicable/Unknown') end</t>
  </si>
  <si>
    <t>CASE WHEN ISNULL(g.ZRESPSTATUS, '02')='02' OR ISNULL(g.XACTIVITY, '99')='99' THEN 'Not in GO publication population' WHEN g.dw_fromdate&gt;=20200801 THEN 'Not applicable 2020/21 onwards'  else iif(isnull(g.YEARWORK,'') in ('','0') , 'NA/UNK' , g.YEARWORK) end</t>
  </si>
  <si>
    <t>CASE WHEN ISNULL(g.ZRESPSTATUS, '02')='02' OR ISNULL(g.XACTIVITY, '99')='99' THEN 'Not in GO publication population' WHEN g.dw_fromdate&gt;=20200801 THEN 'Not applicable 2020/21 onwards'  else iif(isnull(g.YEARWORK,'') in ('','0') , 'NA/UNK' , g.YEARWORK)end</t>
  </si>
  <si>
    <t>Primarily outside the UK (DF)</t>
  </si>
  <si>
    <t>Z_PRINONUK</t>
  </si>
  <si>
    <t>case when df.Z_PRINONUK in ('01') then  'Primarly outside the UK' else 'Not primarily outside the UK' end</t>
  </si>
  <si>
    <t>Study abroad (DF)</t>
  </si>
  <si>
    <t>STUDYABROAD</t>
  </si>
  <si>
    <t>case when df.STUDYABROAD in ('01') then  'Study abroad' else 'Not study abroad' end</t>
  </si>
  <si>
    <t>Distance (DF)</t>
  </si>
  <si>
    <t>Z_DISTANCE</t>
  </si>
  <si>
    <t>df.Z_DISTANCE</t>
  </si>
  <si>
    <t>First year marker (DF)</t>
  </si>
  <si>
    <t>Z_ENTRANT_CYC</t>
  </si>
  <si>
    <t>case when df.Z_ENTRANT_CYC= '1' then 'First year' else 'Other year' end</t>
  </si>
  <si>
    <t>Samantha Ayling</t>
  </si>
  <si>
    <t>Expected length of programme (DF)</t>
  </si>
  <si>
    <t>Z_EXPECTLENGRP1</t>
  </si>
  <si>
    <t xml:space="preserve">CAST(df.Z_EXPECTLENGRP1 AS VARCHAR) </t>
  </si>
  <si>
    <t>Ethnicity (DF)</t>
  </si>
  <si>
    <t>Z_ETHNICGRP2</t>
  </si>
  <si>
    <t xml:space="preserve">Special Category of Personal data. Justification needed from customer! Not to be crosstabulated with other Special Category of Personal data. </t>
  </si>
  <si>
    <t>df.Z_ETHNICGRP2</t>
  </si>
  <si>
    <t>(Asian – Bangladeshi or Bangladeshi British/ Asian – Chinese or Chinese British/ Asian - Indian or Indian British/ Asian - Pakistani or Pakistani British/ Any other Asian background/ Black - African or African British/ Black - Caribbean or Caribbean British/ Any other Black background/ Mixed or multiple ethnic background/ White/ Any other ethnic background/ Not applicable or not known)</t>
  </si>
  <si>
    <t>Z_ETHNICGRP3</t>
  </si>
  <si>
    <t xml:space="preserve">case when df.Z_ETHNICGRP3 in ('Z9') then 'Z9' WHEN (df.Z_PERMADDGRP1 = '01' and df.Z_ETHNICGRP3 IN ('09')) THEN 'Mixed' when df.Z_ETHNICGRP3 in ('11') then 'Other' else df.Z_ETHNICGRP3 end </t>
  </si>
  <si>
    <t>Domicile (DF)</t>
  </si>
  <si>
    <t>(County/ Unitary Authority/Non UK)</t>
  </si>
  <si>
    <t>Z_PERMADDUC</t>
  </si>
  <si>
    <t>CASE WHEN df.Z_PERMADDGRP5='05' THEN '05' WHEN df.Z_PERMADDGRP1='01' THEN df.Z_PERMADDUC WHEN df.Z_PERMADDGRP1 = '02' THEN 'Non UK' else 'NOTK' END</t>
  </si>
  <si>
    <t>(UK/Non-UK/ Not known)</t>
  </si>
  <si>
    <t>Z_PERMADDGRP1</t>
  </si>
  <si>
    <t>cast(df.Z_PERMADDGRP1 as varchar)</t>
  </si>
  <si>
    <t>Subject of Study (DF)</t>
  </si>
  <si>
    <t>(HECOS)</t>
  </si>
  <si>
    <t>Z_SUBJHECOS</t>
  </si>
  <si>
    <t>cast(dfsj.Z_SUBJHECOS as varchar)</t>
  </si>
  <si>
    <t>(Postgraduate (research)/ Postgraduate (taught) / First degree/ Other undergraduate) (DF)</t>
  </si>
  <si>
    <t>Z_LEVELGRP2</t>
  </si>
  <si>
    <t>CAST(df.Z_LEVELGRP2 AS VARCHAR)</t>
  </si>
  <si>
    <t xml:space="preserve">Tariff⁽¹⁾ bands </t>
  </si>
  <si>
    <t>(Less than 48/ 48-63/ 64-79/ 80-95/ 96-111/ 112-127/ 128-143/ 144-159/ 160-175/ 176-191/ 192-207/ 208-223/ 224-239/ 240+/ Zero or Unknown) (DF)</t>
  </si>
  <si>
    <t>Z_TARIFFGRP2</t>
  </si>
  <si>
    <t>df.Z_TARIFFGRP2</t>
  </si>
  <si>
    <t xml:space="preserve">Mode of study </t>
  </si>
  <si>
    <t>(full-time/part-time) (DF)</t>
  </si>
  <si>
    <t>Z_MODEGRP1</t>
  </si>
  <si>
    <t>No difference between mode of study and mode of qualification</t>
  </si>
  <si>
    <t>cast(df.Z_MODEGRP1 as varchar)</t>
  </si>
  <si>
    <t>Country of HE Provider (OU included in England) (DF)</t>
  </si>
  <si>
    <t>Z_PROVIDERGRP2</t>
  </si>
  <si>
    <t>cast(df.Z_PROVIDERGRP2 as varchar)</t>
  </si>
  <si>
    <t>Jisc</t>
  </si>
  <si>
    <t>2021-2023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</si>
</sst>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d/mm/yy;@"/>
  </numFmts>
  <fonts count="15"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0"/>
      <name val="Calibri"/>
      <family val="2"/>
      <scheme val="minor"/>
    </font>
    <font>
      <sz val="11"/>
      <color rgb="FF080707"/>
      <name val="Calibri"/>
      <family val="2"/>
      <scheme val="minor"/>
    </font>
    <font>
      <u/>
      <sz val="11"/>
      <color theme="10"/>
      <name val="Calibri"/>
      <family val="2"/>
      <scheme val="minor"/>
    </font>
    <font>
      <sz val="11"/>
      <name val="Calibri"/>
      <family val="2"/>
      <scheme val="minor"/>
    </font>
    <font>
      <sz val="11"/>
      <color rgb="FF172B4D"/>
      <name val="Segoe UI"/>
      <family val="2"/>
    </font>
    <font>
      <sz val="11"/>
      <color rgb="FF242424"/>
      <name val="Segoe UI"/>
      <family val="2"/>
    </font>
    <font>
      <sz val="11"/>
      <color rgb="FF000000"/>
      <name val="Calibri"/>
      <family val="2"/>
    </font>
    <font>
      <sz val="11"/>
      <color rgb="FF000000"/>
      <name val="Calibri"/>
      <family val="2"/>
      <scheme val="minor"/>
    </font>
    <font>
      <sz val="11"/>
      <name val="Calibri"/>
      <family val="2"/>
    </font>
    <font>
      <sz val="11"/>
      <color rgb="FF444444"/>
      <name val="Calibri"/>
      <family val="2"/>
      <scheme val="minor"/>
    </font>
    <font>
      <sz val="11"/>
      <color rgb="FF444444"/>
      <name val="Calibri"/>
      <family val="2"/>
      <charset val="1"/>
    </font>
  </fonts>
  <fills count="8">
    <fill>
      <patternFill patternType="none"/>
    </fill>
    <fill>
      <patternFill patternType="gray125"/>
    </fill>
    <fill>
      <patternFill patternType="solid">
        <fgColor theme="0"/>
        <bgColor indexed="64"/>
      </patternFill>
    </fill>
    <fill>
      <patternFill patternType="solid">
        <fgColor rgb="FF006666"/>
        <bgColor indexed="64"/>
      </patternFill>
    </fill>
    <fill>
      <patternFill patternType="solid">
        <fgColor theme="1" tint="0.499984740745262"/>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rgb="FFFFFF00"/>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thin">
        <color theme="4" tint="0.39997558519241921"/>
      </top>
      <bottom style="thin">
        <color theme="4" tint="0.39997558519241921"/>
      </bottom>
      <diagonal/>
    </border>
    <border>
      <left/>
      <right/>
      <top style="medium">
        <color indexed="64"/>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rgb="FF8EA9DB"/>
      </right>
      <top style="thin">
        <color rgb="FF8EA9DB"/>
      </top>
      <bottom style="thin">
        <color rgb="FF8EA9DB"/>
      </bottom>
      <diagonal/>
    </border>
    <border>
      <left/>
      <right/>
      <top/>
      <bottom style="medium">
        <color indexed="64"/>
      </bottom>
      <diagonal/>
    </border>
    <border>
      <left style="thin">
        <color indexed="64"/>
      </left>
      <right/>
      <top/>
      <bottom/>
      <diagonal/>
    </border>
  </borders>
  <cellStyleXfs count="3">
    <xf numFmtId="0" fontId="0" fillId="0" borderId="0"/>
    <xf numFmtId="0" fontId="6" fillId="0" borderId="0" applyNumberFormat="0" applyFill="0" applyBorder="0" applyAlignment="0" applyProtection="0"/>
    <xf numFmtId="0" fontId="10" fillId="0" borderId="0"/>
  </cellStyleXfs>
  <cellXfs count="97">
    <xf numFmtId="0" fontId="0" fillId="0" borderId="0" xfId="0"/>
    <xf numFmtId="0" fontId="2" fillId="0" borderId="0" xfId="0" applyFont="1"/>
    <xf numFmtId="0" fontId="3" fillId="0" borderId="0" xfId="0" applyFont="1"/>
    <xf numFmtId="0" fontId="0" fillId="0" borderId="0" xfId="0" applyProtection="1">
      <protection locked="0"/>
    </xf>
    <xf numFmtId="164" fontId="0" fillId="0" borderId="0" xfId="0" applyNumberFormat="1"/>
    <xf numFmtId="0" fontId="1" fillId="4" borderId="0" xfId="0" applyFont="1" applyFill="1"/>
    <xf numFmtId="0" fontId="1" fillId="5" borderId="0" xfId="0" applyFont="1" applyFill="1" applyProtection="1">
      <protection locked="0"/>
    </xf>
    <xf numFmtId="0" fontId="1" fillId="5" borderId="0" xfId="0" applyFont="1" applyFill="1" applyAlignment="1" applyProtection="1">
      <alignment wrapText="1"/>
      <protection locked="0"/>
    </xf>
    <xf numFmtId="0" fontId="1" fillId="6" borderId="0" xfId="0" applyFont="1" applyFill="1" applyProtection="1">
      <protection locked="0"/>
    </xf>
    <xf numFmtId="1" fontId="1" fillId="6" borderId="0" xfId="0" applyNumberFormat="1" applyFont="1" applyFill="1" applyProtection="1">
      <protection locked="0"/>
    </xf>
    <xf numFmtId="0" fontId="1" fillId="0" borderId="0" xfId="0" applyFont="1"/>
    <xf numFmtId="0" fontId="7" fillId="0" borderId="0" xfId="1" applyFont="1" applyAlignment="1">
      <alignment wrapText="1"/>
    </xf>
    <xf numFmtId="0" fontId="8" fillId="0" borderId="0" xfId="0" applyFont="1"/>
    <xf numFmtId="0" fontId="0" fillId="0" borderId="0" xfId="0" applyAlignment="1" applyProtection="1">
      <alignment wrapText="1"/>
      <protection locked="0"/>
    </xf>
    <xf numFmtId="0" fontId="0" fillId="0" borderId="0" xfId="0" quotePrefix="1" applyProtection="1">
      <protection locked="0"/>
    </xf>
    <xf numFmtId="165" fontId="0" fillId="0" borderId="0" xfId="0" applyNumberFormat="1"/>
    <xf numFmtId="0" fontId="0" fillId="0" borderId="0" xfId="0" applyAlignment="1" applyProtection="1">
      <alignment horizontal="fill"/>
      <protection locked="0"/>
    </xf>
    <xf numFmtId="0" fontId="0" fillId="0" borderId="0" xfId="0" applyAlignment="1" applyProtection="1">
      <alignment horizontal="right"/>
      <protection locked="0"/>
    </xf>
    <xf numFmtId="49" fontId="6" fillId="0" borderId="0" xfId="1" applyNumberFormat="1" applyProtection="1">
      <protection locked="0"/>
    </xf>
    <xf numFmtId="0" fontId="7" fillId="0" borderId="0" xfId="1" applyNumberFormat="1" applyFont="1" applyAlignment="1">
      <alignment wrapText="1"/>
    </xf>
    <xf numFmtId="0" fontId="0" fillId="0" borderId="0" xfId="0" quotePrefix="1" applyAlignment="1" applyProtection="1">
      <alignment wrapText="1"/>
      <protection locked="0"/>
    </xf>
    <xf numFmtId="0" fontId="0" fillId="0" borderId="0" xfId="0" applyAlignment="1" applyProtection="1">
      <alignment horizontal="left"/>
      <protection locked="0"/>
    </xf>
    <xf numFmtId="0" fontId="7" fillId="0" borderId="0" xfId="0" applyFont="1" applyProtection="1">
      <protection locked="0"/>
    </xf>
    <xf numFmtId="0" fontId="7" fillId="0" borderId="0" xfId="1" applyFont="1" applyFill="1" applyAlignment="1">
      <alignment wrapText="1"/>
    </xf>
    <xf numFmtId="0" fontId="0" fillId="0" borderId="0" xfId="0" applyAlignment="1" applyProtection="1">
      <alignment horizontal="fill" wrapText="1"/>
      <protection locked="0"/>
    </xf>
    <xf numFmtId="49" fontId="0" fillId="0" borderId="0" xfId="0" applyNumberFormat="1" applyAlignment="1" applyProtection="1">
      <alignment horizontal="fill"/>
      <protection locked="0"/>
    </xf>
    <xf numFmtId="0" fontId="9" fillId="0" borderId="0" xfId="0" applyFont="1"/>
    <xf numFmtId="1" fontId="0" fillId="0" borderId="0" xfId="0" applyNumberFormat="1" applyProtection="1">
      <protection locked="0"/>
    </xf>
    <xf numFmtId="0" fontId="0" fillId="0" borderId="0" xfId="0" applyAlignment="1">
      <alignment horizontal="fill"/>
    </xf>
    <xf numFmtId="0" fontId="7" fillId="0" borderId="0" xfId="0" applyFont="1" applyAlignment="1">
      <alignment wrapText="1"/>
    </xf>
    <xf numFmtId="0" fontId="0" fillId="0" borderId="12" xfId="0" applyBorder="1" applyProtection="1">
      <protection locked="0"/>
    </xf>
    <xf numFmtId="0" fontId="0" fillId="0" borderId="12" xfId="0" applyBorder="1" applyAlignment="1">
      <alignment horizontal="fill"/>
    </xf>
    <xf numFmtId="0" fontId="0" fillId="0" borderId="12" xfId="0" applyBorder="1" applyAlignment="1" applyProtection="1">
      <alignment horizontal="fill"/>
      <protection locked="0"/>
    </xf>
    <xf numFmtId="0" fontId="10" fillId="0" borderId="0" xfId="2"/>
    <xf numFmtId="0" fontId="7" fillId="0" borderId="0" xfId="0" applyFont="1"/>
    <xf numFmtId="0" fontId="0" fillId="0" borderId="1" xfId="0" applyBorder="1" applyAlignment="1" applyProtection="1">
      <alignment wrapText="1"/>
      <protection locked="0"/>
    </xf>
    <xf numFmtId="0" fontId="0" fillId="0" borderId="2" xfId="0" applyBorder="1" applyAlignment="1" applyProtection="1">
      <alignment wrapText="1"/>
      <protection locked="0"/>
    </xf>
    <xf numFmtId="0" fontId="0" fillId="0" borderId="3" xfId="0" applyBorder="1" applyAlignment="1" applyProtection="1">
      <alignment wrapText="1"/>
      <protection locked="0"/>
    </xf>
    <xf numFmtId="0" fontId="0" fillId="0" borderId="4" xfId="0" applyBorder="1" applyAlignment="1" applyProtection="1">
      <alignment wrapText="1"/>
      <protection locked="0"/>
    </xf>
    <xf numFmtId="0" fontId="0" fillId="2" borderId="0" xfId="0" applyFill="1"/>
    <xf numFmtId="0" fontId="0" fillId="2" borderId="0" xfId="0" applyFill="1" applyAlignment="1">
      <alignment wrapText="1"/>
    </xf>
    <xf numFmtId="0" fontId="0" fillId="0" borderId="15" xfId="0" applyBorder="1" applyAlignment="1">
      <alignment wrapText="1"/>
    </xf>
    <xf numFmtId="0" fontId="0" fillId="0" borderId="0" xfId="0" applyAlignment="1">
      <alignment wrapText="1"/>
    </xf>
    <xf numFmtId="0" fontId="1" fillId="2" borderId="0" xfId="0" applyFont="1" applyFill="1"/>
    <xf numFmtId="0" fontId="1" fillId="2" borderId="0" xfId="0" applyFont="1" applyFill="1" applyAlignment="1">
      <alignment horizontal="right"/>
    </xf>
    <xf numFmtId="0" fontId="5" fillId="0" borderId="0" xfId="0" applyFont="1" applyAlignment="1">
      <alignment vertical="center" wrapText="1"/>
    </xf>
    <xf numFmtId="0" fontId="0" fillId="0" borderId="5" xfId="0" applyBorder="1" applyAlignment="1" applyProtection="1">
      <alignment wrapText="1"/>
      <protection locked="0"/>
    </xf>
    <xf numFmtId="0" fontId="0" fillId="0" borderId="13" xfId="0" applyBorder="1"/>
    <xf numFmtId="0" fontId="0" fillId="0" borderId="9" xfId="0" applyBorder="1"/>
    <xf numFmtId="0" fontId="0" fillId="0" borderId="6" xfId="0" applyBorder="1" applyAlignment="1" applyProtection="1">
      <alignment wrapText="1"/>
      <protection locked="0"/>
    </xf>
    <xf numFmtId="0" fontId="0" fillId="0" borderId="10" xfId="0" applyBorder="1"/>
    <xf numFmtId="0" fontId="0" fillId="0" borderId="7" xfId="0" applyBorder="1" applyAlignment="1" applyProtection="1">
      <alignment wrapText="1"/>
      <protection locked="0"/>
    </xf>
    <xf numFmtId="0" fontId="0" fillId="0" borderId="16" xfId="0" applyBorder="1" applyAlignment="1">
      <alignment wrapText="1"/>
    </xf>
    <xf numFmtId="0" fontId="0" fillId="0" borderId="11" xfId="0" applyBorder="1"/>
    <xf numFmtId="0" fontId="1" fillId="2" borderId="1" xfId="0" applyFont="1" applyFill="1" applyBorder="1" applyProtection="1">
      <protection locked="0"/>
    </xf>
    <xf numFmtId="0" fontId="1" fillId="6" borderId="0" xfId="0" applyFont="1" applyFill="1" applyAlignment="1" applyProtection="1">
      <alignment horizontal="fill"/>
      <protection locked="0"/>
    </xf>
    <xf numFmtId="0" fontId="1" fillId="0" borderId="0" xfId="0" applyFont="1" applyAlignment="1">
      <alignment horizontal="fill"/>
    </xf>
    <xf numFmtId="0" fontId="10" fillId="0" borderId="17" xfId="0" applyFont="1" applyBorder="1"/>
    <xf numFmtId="0" fontId="11" fillId="0" borderId="0" xfId="0" applyFont="1"/>
    <xf numFmtId="0" fontId="0" fillId="0" borderId="17" xfId="0" applyBorder="1" applyProtection="1">
      <protection locked="0"/>
    </xf>
    <xf numFmtId="0" fontId="0" fillId="0" borderId="0" xfId="0" quotePrefix="1" applyAlignment="1" applyProtection="1">
      <alignment horizontal="fill"/>
      <protection locked="0"/>
    </xf>
    <xf numFmtId="0" fontId="7" fillId="0" borderId="0" xfId="0" applyFont="1" applyAlignment="1" applyProtection="1">
      <alignment horizontal="fill"/>
      <protection locked="0"/>
    </xf>
    <xf numFmtId="0" fontId="12" fillId="0" borderId="17" xfId="0" applyFont="1" applyBorder="1"/>
    <xf numFmtId="0" fontId="13" fillId="0" borderId="0" xfId="0" applyFont="1"/>
    <xf numFmtId="0" fontId="11" fillId="0" borderId="0" xfId="0" applyFont="1" applyAlignment="1">
      <alignment horizontal="left" vertical="top" wrapText="1"/>
    </xf>
    <xf numFmtId="0" fontId="9" fillId="0" borderId="0" xfId="0" applyFont="1" applyAlignment="1">
      <alignment horizontal="fill"/>
    </xf>
    <xf numFmtId="0" fontId="0" fillId="7" borderId="0" xfId="0" applyFill="1" applyProtection="1">
      <protection locked="0"/>
    </xf>
    <xf numFmtId="0" fontId="0" fillId="7" borderId="0" xfId="0" applyFill="1"/>
    <xf numFmtId="0" fontId="7" fillId="7" borderId="0" xfId="0" applyFont="1" applyFill="1" applyAlignment="1">
      <alignment wrapText="1"/>
    </xf>
    <xf numFmtId="0" fontId="0" fillId="7" borderId="0" xfId="0" applyFill="1" applyAlignment="1" applyProtection="1">
      <alignment wrapText="1"/>
      <protection locked="0"/>
    </xf>
    <xf numFmtId="0" fontId="0" fillId="7" borderId="12" xfId="0" applyFill="1" applyBorder="1" applyProtection="1">
      <protection locked="0"/>
    </xf>
    <xf numFmtId="0" fontId="0" fillId="7" borderId="12" xfId="0" applyFill="1" applyBorder="1" applyAlignment="1" applyProtection="1">
      <alignment horizontal="fill"/>
      <protection locked="0"/>
    </xf>
    <xf numFmtId="0" fontId="0" fillId="7" borderId="17" xfId="0" applyFill="1" applyBorder="1" applyProtection="1">
      <protection locked="0"/>
    </xf>
    <xf numFmtId="165" fontId="0" fillId="7" borderId="0" xfId="0" applyNumberFormat="1" applyFill="1"/>
    <xf numFmtId="0" fontId="0" fillId="7" borderId="0" xfId="0" applyFill="1" applyAlignment="1">
      <alignment horizontal="fill"/>
    </xf>
    <xf numFmtId="0" fontId="0" fillId="7" borderId="0" xfId="0" applyFill="1" applyAlignment="1" applyProtection="1">
      <alignment horizontal="fill"/>
      <protection locked="0"/>
    </xf>
    <xf numFmtId="0" fontId="0" fillId="0" borderId="12" xfId="0" quotePrefix="1" applyBorder="1" applyProtection="1">
      <protection locked="0"/>
    </xf>
    <xf numFmtId="0" fontId="10" fillId="0" borderId="0" xfId="0" applyFont="1"/>
    <xf numFmtId="0" fontId="10" fillId="7" borderId="0" xfId="0" applyFont="1" applyFill="1"/>
    <xf numFmtId="0" fontId="14" fillId="0" borderId="0" xfId="0" applyFont="1"/>
    <xf numFmtId="0" fontId="10" fillId="0" borderId="0" xfId="2" applyAlignment="1">
      <alignment horizontal="fill"/>
    </xf>
    <xf numFmtId="0" fontId="7" fillId="0" borderId="0" xfId="0" applyFont="1" applyAlignment="1">
      <alignment horizontal="fill"/>
    </xf>
    <xf numFmtId="0" fontId="10" fillId="0" borderId="0" xfId="0" applyFont="1" applyProtection="1">
      <protection locked="0"/>
    </xf>
    <xf numFmtId="0" fontId="10" fillId="7" borderId="0" xfId="0" applyFont="1" applyFill="1" applyProtection="1">
      <protection locked="0"/>
    </xf>
    <xf numFmtId="0" fontId="7" fillId="7" borderId="0" xfId="1" applyNumberFormat="1" applyFont="1" applyFill="1" applyAlignment="1"/>
    <xf numFmtId="0" fontId="0" fillId="7" borderId="0" xfId="0" quotePrefix="1" applyFill="1" applyAlignment="1" applyProtection="1">
      <alignment wrapText="1"/>
      <protection locked="0"/>
    </xf>
    <xf numFmtId="0" fontId="0" fillId="7" borderId="0" xfId="0" applyFill="1" applyAlignment="1" applyProtection="1">
      <alignment horizontal="right"/>
      <protection locked="0"/>
    </xf>
    <xf numFmtId="164" fontId="0" fillId="7" borderId="0" xfId="0" applyNumberFormat="1" applyFill="1"/>
    <xf numFmtId="0" fontId="7" fillId="0" borderId="0" xfId="1" applyNumberFormat="1" applyFont="1" applyFill="1" applyAlignment="1">
      <alignment wrapText="1"/>
    </xf>
    <xf numFmtId="0" fontId="0" fillId="0" borderId="8" xfId="0" applyBorder="1" applyAlignment="1">
      <alignment wrapText="1"/>
    </xf>
    <xf numFmtId="0" fontId="0" fillId="0" borderId="14" xfId="0" applyBorder="1" applyAlignment="1">
      <alignment wrapText="1"/>
    </xf>
    <xf numFmtId="0" fontId="0" fillId="0" borderId="19" xfId="0" applyBorder="1" applyAlignment="1">
      <alignment wrapText="1"/>
    </xf>
    <xf numFmtId="0" fontId="0" fillId="0" borderId="15" xfId="0" applyBorder="1" applyAlignment="1" applyProtection="1">
      <alignment wrapText="1"/>
      <protection locked="0"/>
    </xf>
    <xf numFmtId="0" fontId="1" fillId="2" borderId="18" xfId="0" applyFont="1" applyFill="1" applyBorder="1"/>
    <xf numFmtId="0" fontId="1" fillId="2" borderId="18" xfId="0" applyFont="1" applyFill="1" applyBorder="1" applyAlignment="1">
      <alignment wrapText="1"/>
    </xf>
    <xf numFmtId="14" fontId="0" fillId="0" borderId="1" xfId="0" applyNumberFormat="1" applyBorder="1" applyAlignment="1" applyProtection="1">
      <alignment wrapText="1"/>
      <protection locked="0"/>
    </xf>
    <xf numFmtId="0" fontId="4" fillId="3" borderId="0" xfId="0" applyFont="1" applyFill="1" applyAlignment="1">
      <alignment horizontal="center"/>
    </xf>
  </cellXfs>
  <cellStyles count="3">
    <cellStyle name="Hyperlink" xfId="1" builtinId="8"/>
    <cellStyle name="Normal" xfId="0" builtinId="0"/>
    <cellStyle name="Normal 4 2" xfId="2" xr:uid="{C17144E6-4694-436E-A33F-85B6BCF0E8E0}"/>
  </cellStyles>
  <dxfs count="58">
    <dxf>
      <fill>
        <patternFill>
          <bgColor rgb="FFFF5353"/>
        </patternFill>
      </fill>
    </dxf>
    <dxf>
      <fill>
        <patternFill>
          <bgColor rgb="FFFF5353"/>
        </patternFill>
      </fill>
    </dxf>
    <dxf>
      <fill>
        <patternFill>
          <bgColor rgb="FFFF5353"/>
        </patternFill>
      </fill>
    </dxf>
    <dxf>
      <fill>
        <patternFill>
          <bgColor theme="6" tint="0.59996337778862885"/>
        </patternFill>
      </fill>
    </dxf>
    <dxf>
      <fill>
        <patternFill>
          <bgColor theme="9" tint="0.59996337778862885"/>
        </patternFill>
      </fill>
    </dxf>
    <dxf>
      <fill>
        <patternFill>
          <bgColor theme="9" tint="0.59996337778862885"/>
        </patternFill>
      </fill>
    </dxf>
    <dxf>
      <fill>
        <patternFill>
          <bgColor theme="6"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alignment horizontal="fill" vertical="bottom" textRotation="0" wrapText="0" indent="0" justifyLastLine="0" shrinkToFit="0" readingOrder="0"/>
    </dxf>
    <dxf>
      <alignment horizontal="fill" vertical="bottom" textRotation="0" wrapText="0" indent="0" justifyLastLine="0" shrinkToFit="0" readingOrder="0"/>
    </dxf>
    <dxf>
      <numFmt numFmtId="0" formatCode="General"/>
      <alignment horizontal="fill" vertical="bottom" textRotation="0" wrapText="0" indent="0" justifyLastLine="0" shrinkToFit="0" readingOrder="0"/>
    </dxf>
    <dxf>
      <numFmt numFmtId="0" formatCode="General"/>
      <alignment horizontal="fill" vertical="bottom" textRotation="0" wrapText="0" indent="0" justifyLastLine="0" shrinkToFit="0" readingOrder="0"/>
    </dxf>
    <dxf>
      <numFmt numFmtId="0" formatCode="General"/>
      <fill>
        <patternFill patternType="none">
          <fgColor indexed="64"/>
          <bgColor indexed="65"/>
        </patternFill>
      </fill>
      <alignment horizontal="fill" vertical="bottom" textRotation="0" wrapText="0" indent="0" justifyLastLine="0" shrinkToFit="0" readingOrder="0"/>
    </dxf>
    <dxf>
      <numFmt numFmtId="0" formatCode="General"/>
      <fill>
        <patternFill patternType="none">
          <fgColor indexed="64"/>
          <bgColor indexed="65"/>
        </patternFill>
      </fill>
      <alignment horizontal="fill" vertical="bottom" textRotation="0" wrapText="0" indent="0" justifyLastLine="0" shrinkToFit="0" readingOrder="0"/>
    </dxf>
    <dxf>
      <numFmt numFmtId="0" formatCode="General"/>
      <alignment horizontal="fill" vertical="bottom" textRotation="0" wrapText="0" indent="0" justifyLastLine="0" shrinkToFit="0" readingOrder="0"/>
    </dxf>
    <dxf>
      <numFmt numFmtId="0" formatCode="General"/>
      <alignment horizontal="fill" vertical="bottom" textRotation="0" wrapText="0" indent="0" justifyLastLine="0" shrinkToFit="0" readingOrder="0"/>
    </dxf>
    <dxf>
      <numFmt numFmtId="165" formatCode="dd/mm/yy;@"/>
    </dxf>
    <dxf>
      <numFmt numFmtId="0" formatCode="General"/>
      <alignment horizontal="general" vertical="bottom" textRotation="0" wrapText="0" indent="0" justifyLastLine="0" shrinkToFit="0" readingOrder="0"/>
    </dxf>
    <dxf>
      <protection locked="0" hidden="0"/>
    </dxf>
    <dxf>
      <protection locked="0" hidden="0"/>
    </dxf>
    <dxf>
      <protection locked="0" hidden="0"/>
    </dxf>
    <dxf>
      <protection locked="0" hidden="0"/>
    </dxf>
    <dxf>
      <alignment horizontal="fill" vertical="bottom" textRotation="0" wrapText="0" indent="0" justifyLastLine="0" shrinkToFit="0" readingOrder="0"/>
      <protection locked="0" hidden="0"/>
    </dxf>
    <dxf>
      <protection locked="0" hidden="0"/>
    </dxf>
    <dxf>
      <numFmt numFmtId="0" formatCode="General"/>
      <alignment horizontal="fill" vertical="bottom" textRotation="0" indent="0" justifyLastLine="0" shrinkToFit="0" readingOrder="0"/>
      <protection locked="0" hidden="0"/>
    </dxf>
    <dxf>
      <numFmt numFmtId="0" formatCode="General"/>
      <protection locked="0" hidden="0"/>
    </dxf>
    <dxf>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protection locked="0" hidden="0"/>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strike val="0"/>
        <outline val="0"/>
        <shadow val="0"/>
        <u val="none"/>
        <vertAlign val="baseline"/>
        <sz val="11"/>
        <name val="Calibri"/>
        <family val="2"/>
        <scheme val="minor"/>
      </font>
      <alignment horizontal="general" vertical="bottom" textRotation="0" wrapText="1" indent="0" justifyLastLine="0" shrinkToFit="0" readingOrder="0"/>
      <protection locked="0" hidden="0"/>
    </dxf>
    <dxf>
      <protection locked="0" hidden="0"/>
    </dxf>
    <dxf>
      <protection locked="0" hidden="0"/>
    </dxf>
    <dxf>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numFmt numFmtId="0" formatCode="General"/>
      <alignment horizontal="general" vertical="bottom" textRotation="0" wrapText="1" indent="0" justifyLastLine="0" shrinkToFit="0" readingOrder="0"/>
    </dxf>
    <dxf>
      <numFmt numFmtId="0" formatCode="General"/>
    </dxf>
    <dxf>
      <font>
        <b/>
        <i val="0"/>
        <strike val="0"/>
        <condense val="0"/>
        <extend val="0"/>
        <outline val="0"/>
        <shadow val="0"/>
        <u val="none"/>
        <vertAlign val="baseline"/>
        <sz val="11"/>
        <color theme="1"/>
        <name val="Calibri"/>
        <scheme val="minor"/>
      </font>
      <fill>
        <patternFill patternType="none">
          <fgColor indexed="64"/>
          <bgColor auto="1"/>
        </patternFill>
      </fill>
    </dxf>
  </dxfs>
  <tableStyles count="0" defaultTableStyle="TableStyleMedium2" defaultPivotStyle="PivotStyleLight16"/>
  <colors>
    <mruColors>
      <color rgb="FFFF5353"/>
      <color rgb="FFFF5050"/>
      <color rgb="FFFF5B5B"/>
      <color rgb="FFFF3300"/>
      <color rgb="FF0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2819400</xdr:colOff>
          <xdr:row>0</xdr:row>
          <xdr:rowOff>38100</xdr:rowOff>
        </xdr:from>
        <xdr:to>
          <xdr:col>2</xdr:col>
          <xdr:colOff>76200</xdr:colOff>
          <xdr:row>1</xdr:row>
          <xdr:rowOff>12700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100" b="0" i="0" u="none" strike="noStrike" baseline="0">
                  <a:solidFill>
                    <a:srgbClr val="000000"/>
                  </a:solidFill>
                  <a:latin typeface="Calibri" pitchFamily="2" charset="0"/>
                  <a:cs typeface="Calibri" pitchFamily="2" charset="0"/>
                </a:rPr>
                <a:t>Add new row</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esa-my.sharepoint.com/Information_and_Analysis/Information_Provision/Definition_finder/DefinitionCreator.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jisc365.sharepoint.com/personal/becky_hobbs_jisc_ac_uk/Documents/Becky/NEW%20Defs%20-%20OCT2020/Old%20docs/Specification%20Builder%20-%20TESTING4%20-%20INC%20GO.xlsm"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jisc365.sharepoint.com/sites/SpecialProjectsTeam/Shared%20Documents/Tailored%20Datasets/General/All%20in%20one%20Specification%20Builder.xlsm" TargetMode="External"/><Relationship Id="rId1" Type="http://schemas.openxmlformats.org/officeDocument/2006/relationships/externalLinkPath" Target="https://jisc365.sharepoint.com/sites/SpecialProjectsTeam/Shared%20Documents/Tailored%20Datasets/General/All%20in%20one%20Specification%20Build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ate"/>
      <sheetName val="Links"/>
      <sheetName val="Working"/>
      <sheetName val="Template"/>
      <sheetName val="Build"/>
      <sheetName val="Final"/>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DP value"/>
      <sheetName val="Spec template"/>
      <sheetName val="Pick list"/>
      <sheetName val="Lists"/>
      <sheetName val="DefsWithID"/>
      <sheetName val="Restriction Defs"/>
      <sheetName val="Template"/>
      <sheetName val="Sheet1"/>
      <sheetName val="Specification Builder - TESTING"/>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pecification"/>
      <sheetName val="Convert Spec to DF"/>
      <sheetName val="Calculator"/>
      <sheetName val="Years"/>
      <sheetName val="Pick list"/>
      <sheetName val="Spec template"/>
      <sheetName val="Clean Spec"/>
      <sheetName val="Spec lookup"/>
      <sheetName val="Jisc bandings"/>
      <sheetName val="Working"/>
      <sheetName val="Field_Labelling"/>
      <sheetName val="Sheet5"/>
      <sheetName val="Field_Order"/>
      <sheetName val="DW output"/>
      <sheetName val="DW workings"/>
      <sheetName val="Defs with ID"/>
      <sheetName val="Notes"/>
      <sheetName val="Lists"/>
      <sheetName val="Lists (2)"/>
      <sheetName val="CoverageCalculator"/>
      <sheetName val="Extraction_StoryPoints"/>
      <sheetName val="Stu, qual, AOR + DLHE"/>
      <sheetName val="Staff"/>
      <sheetName val="LevelOfChecking"/>
      <sheetName val="Complexity"/>
      <sheetName val="All in one Specification Builde"/>
    </sheetNames>
    <definedNames>
      <definedName name="InsertRow"/>
    </definedNames>
    <sheetDataSet>
      <sheetData sheetId="0">
        <row r="6">
          <cell r="D6">
            <v>0</v>
          </cell>
        </row>
      </sheetData>
      <sheetData sheetId="1"/>
      <sheetData sheetId="2"/>
      <sheetData sheetId="3"/>
      <sheetData sheetId="4"/>
      <sheetData sheetId="5"/>
      <sheetData sheetId="6">
        <row r="2">
          <cell r="A2" t="str">
            <v>Specification</v>
          </cell>
        </row>
      </sheetData>
      <sheetData sheetId="7"/>
      <sheetData sheetId="8"/>
      <sheetData sheetId="9"/>
      <sheetData sheetId="10"/>
      <sheetData sheetId="11"/>
      <sheetData sheetId="12"/>
      <sheetData sheetId="13"/>
      <sheetData sheetId="14">
        <row r="2">
          <cell r="I2" t="str">
            <v>df</v>
          </cell>
        </row>
      </sheetData>
      <sheetData sheetId="15"/>
      <sheetData sheetId="16"/>
      <sheetData sheetId="17">
        <row r="2">
          <cell r="D2">
            <v>1</v>
          </cell>
        </row>
        <row r="6">
          <cell r="D6">
            <v>2</v>
          </cell>
        </row>
        <row r="7">
          <cell r="D7">
            <v>24</v>
          </cell>
        </row>
      </sheetData>
      <sheetData sheetId="18">
        <row r="13">
          <cell r="C13" t="str">
            <v>Internal</v>
          </cell>
          <cell r="D13" t="str">
            <v>Publishing</v>
          </cell>
          <cell r="E13" t="str">
            <v>Consultancy (1 customer)</v>
          </cell>
          <cell r="F13" t="str">
            <v>Consultancy (2 customers)</v>
          </cell>
          <cell r="G13" t="str">
            <v>Consultancy (3 customers)</v>
          </cell>
          <cell r="H13" t="str">
            <v>Consultancy (4 customers)</v>
          </cell>
          <cell r="I13" t="str">
            <v>Consultancy (5 customers)</v>
          </cell>
          <cell r="J13" t="str">
            <v>Consultancy (6 customers)</v>
          </cell>
          <cell r="K13" t="str">
            <v>Consultancy (7 customers)</v>
          </cell>
          <cell r="L13" t="str">
            <v>Consultancy (8 customers)</v>
          </cell>
          <cell r="M13" t="str">
            <v>Consultancy (9 customers)</v>
          </cell>
          <cell r="N13" t="str">
            <v>Consultancy (10 customers)</v>
          </cell>
          <cell r="O13" t="str">
            <v>Consultancy (11 customers)</v>
          </cell>
          <cell r="P13" t="str">
            <v>Consultancy (12 customers)</v>
          </cell>
          <cell r="Q13" t="str">
            <v>Consultancy (13 customers)</v>
          </cell>
          <cell r="R13" t="str">
            <v>Consultancy (14 customers)</v>
          </cell>
          <cell r="S13" t="str">
            <v>Consultancy (15 customers)</v>
          </cell>
          <cell r="T13" t="str">
            <v>Consultancy (16 customers)</v>
          </cell>
          <cell r="U13" t="str">
            <v>Consultancy (17 customers)</v>
          </cell>
          <cell r="V13" t="str">
            <v>Consultancy (18 customers)</v>
          </cell>
          <cell r="W13" t="str">
            <v>Consultancy (19 customers)</v>
          </cell>
          <cell r="X13" t="str">
            <v>Consultancy (20 customers)</v>
          </cell>
          <cell r="Y13" t="str">
            <v>Consultancy (21 customers)</v>
          </cell>
          <cell r="Z13" t="str">
            <v>Consultancy (22 customers)</v>
          </cell>
          <cell r="AA13" t="str">
            <v>Consultancy (23 customers)</v>
          </cell>
          <cell r="AB13" t="str">
            <v>Consultancy (24 customers)</v>
          </cell>
          <cell r="AC13" t="str">
            <v>Consultancy (25 customers)</v>
          </cell>
          <cell r="AD13" t="str">
            <v>Consultancy (26 customers)</v>
          </cell>
          <cell r="AE13" t="str">
            <v>Consultancy (27 customers)</v>
          </cell>
          <cell r="AF13" t="str">
            <v>Consultancy (28 customers)</v>
          </cell>
          <cell r="AG13" t="str">
            <v>Consultancy (29 customers)</v>
          </cell>
          <cell r="AH13" t="str">
            <v>Consultancy (30 customers)</v>
          </cell>
          <cell r="AI13" t="str">
            <v>Consultancy (31 customers)</v>
          </cell>
          <cell r="AJ13" t="str">
            <v>Consultancy (32 customers)</v>
          </cell>
          <cell r="AK13" t="str">
            <v>Consultancy (33 customers)</v>
          </cell>
          <cell r="AL13" t="str">
            <v>Consultancy (34 customers)</v>
          </cell>
          <cell r="AM13" t="str">
            <v>Consultancy (35 customers)</v>
          </cell>
          <cell r="AN13" t="str">
            <v>Consultancy (36 customers)</v>
          </cell>
          <cell r="AO13" t="str">
            <v>Consultancy (37 customers)</v>
          </cell>
          <cell r="AP13" t="str">
            <v>Consultancy (38 customers)</v>
          </cell>
          <cell r="AQ13" t="str">
            <v>Consultancy (39 customers)</v>
          </cell>
          <cell r="AR13" t="str">
            <v>Consultancy (40 customers)</v>
          </cell>
          <cell r="AS13" t="str">
            <v>Consultancy (41 customers)</v>
          </cell>
          <cell r="AT13" t="str">
            <v>Consultancy (42 customers)</v>
          </cell>
          <cell r="AU13" t="str">
            <v>Consultancy (43 customers)</v>
          </cell>
          <cell r="AV13" t="str">
            <v>Consultancy (44 customers)</v>
          </cell>
          <cell r="AW13" t="str">
            <v>Consultancy (45 customers)</v>
          </cell>
          <cell r="AX13" t="str">
            <v>Consultancy (46 customers)</v>
          </cell>
          <cell r="AY13" t="str">
            <v>Consultancy (47 customers)</v>
          </cell>
          <cell r="AZ13" t="str">
            <v>Consultancy (48 customers)</v>
          </cell>
          <cell r="BA13" t="str">
            <v>Consultancy (49 customers)</v>
          </cell>
          <cell r="BB13" t="str">
            <v>Consultancy (50 customers)</v>
          </cell>
          <cell r="BC13" t="str">
            <v>Unlimited consultancy</v>
          </cell>
        </row>
        <row r="14">
          <cell r="A14" t="str">
            <v>Student</v>
          </cell>
        </row>
        <row r="15">
          <cell r="A15" t="str">
            <v>Academic research</v>
          </cell>
        </row>
        <row r="16">
          <cell r="A16" t="str">
            <v>Small HE Jisc member</v>
          </cell>
        </row>
        <row r="17">
          <cell r="A17" t="str">
            <v>Medium HE Jisc member</v>
          </cell>
        </row>
        <row r="18">
          <cell r="A18" t="str">
            <v>Large HE Jisc member</v>
          </cell>
        </row>
        <row r="19">
          <cell r="A19" t="str">
            <v>Other Jisc member</v>
          </cell>
        </row>
        <row r="20">
          <cell r="A20" t="str">
            <v>Statutory Customer</v>
          </cell>
        </row>
        <row r="21">
          <cell r="A21" t="str">
            <v>Sector body</v>
          </cell>
        </row>
        <row r="22">
          <cell r="A22" t="str">
            <v>Not for profit</v>
          </cell>
        </row>
        <row r="23">
          <cell r="A23" t="str">
            <v>Commercial - Small</v>
          </cell>
        </row>
        <row r="24">
          <cell r="A24" t="str">
            <v>Commercial - Medium</v>
          </cell>
        </row>
        <row r="25">
          <cell r="A25" t="str">
            <v>Commercial - Large</v>
          </cell>
        </row>
        <row r="26">
          <cell r="A26" t="str">
            <v>Commercial - Extra large</v>
          </cell>
        </row>
      </sheetData>
      <sheetData sheetId="19"/>
      <sheetData sheetId="20"/>
      <sheetData sheetId="21"/>
      <sheetData sheetId="22"/>
      <sheetData sheetId="23"/>
      <sheetData sheetId="24"/>
      <sheetData sheetId="2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5A7EA5-720C-480A-95C0-A8AA1647AC35}" name="DataItems3" displayName="DataItems3" ref="A2:AH876" totalsRowShown="0" headerRowDxfId="57">
  <autoFilter ref="A2:AH876" xr:uid="{00000000-0009-0000-0100-000002000000}"/>
  <sortState xmlns:xlrd2="http://schemas.microsoft.com/office/spreadsheetml/2017/richdata2" ref="A3:AH876">
    <sortCondition ref="AH2:AH876"/>
  </sortState>
  <tableColumns count="34">
    <tableColumn id="4" xr3:uid="{55884407-57E9-494F-A833-34304246335A}" name="UniqueID" dataDxfId="56"/>
    <tableColumn id="2" xr3:uid="{43115B12-DCF9-48B5-814C-970C90C0E17D}" name="Field + Options combined" dataDxfId="55">
      <calculatedColumnFormula>DataItems3[[#This Row],[Field]]&amp;IF(DataItems3[[#This Row],[Options for supplying the Field]]="",""," "&amp;DataItems3[[#This Row],[Options for supplying the Field]])</calculatedColumnFormula>
    </tableColumn>
    <tableColumn id="34" xr3:uid="{B04E098B-2D91-4CBC-B09C-22E3B8E9E497}" name="UniqueID2" dataDxfId="54" dataCellStyle="Hyperlink"/>
    <tableColumn id="8" xr3:uid="{01BD8791-2262-409F-BA35-E8B20B5EE95C}" name="Collection" dataDxfId="53"/>
    <tableColumn id="28" xr3:uid="{BC13232E-6B1B-495A-8CD7-BB99644B6C58}" name="AP Field available?" dataDxfId="52"/>
    <tableColumn id="1" xr3:uid="{9CC5270C-4B68-4ADC-9526-53C4B2CC0FCC}" name="Field" dataDxfId="51"/>
    <tableColumn id="3" xr3:uid="{C3574263-C32F-4211-9EA3-FA9C774DF4B8}" name="Options for supplying the Field" dataDxfId="50"/>
    <tableColumn id="14" xr3:uid="{39897C97-3C76-433F-A6E8-89E16D39614F}" name="Fieldname" dataDxfId="49"/>
    <tableColumn id="23" xr3:uid="{1A29A20B-F77D-4AA4-9E48-3B4EB742B97B}" name="Warnings" dataDxfId="48"/>
    <tableColumn id="9" xr3:uid="{FFFE9F2B-08A8-4067-8A63-EE909B7D30BA}" name="Complexity (1-10)" dataDxfId="47"/>
    <tableColumn id="20" xr3:uid="{7F381648-6D2D-4E35-A2BD-6EFF8DAE78DE}" name="Data value score" dataDxfId="46"/>
    <tableColumn id="17" xr3:uid="{2EF7261E-31B6-434C-B0C7-E84429117146}" name="Identification risk" dataDxfId="45"/>
    <tableColumn id="18" xr3:uid="{FAD4CB97-4145-4E4D-B065-6674321965D4}" name="Sensitivity" dataDxfId="44"/>
    <tableColumn id="19" xr3:uid="{2EAD1A15-9590-47B4-82D8-8EB0BC82BC59}" name="In Heidi?" dataDxfId="43"/>
    <tableColumn id="5" xr3:uid="{471A207A-ADF6-403F-AC3E-4A9C00D12A01}" name="Link to definition" dataDxfId="42"/>
    <tableColumn id="21" xr3:uid="{38344E73-D160-4F2E-A83A-6BAF8E8BC600}" name="Parent" dataDxfId="41"/>
    <tableColumn id="16" xr3:uid="{8C49C521-507D-488F-BAC0-FF8579F625CD}" name="DW SQL" dataDxfId="40"/>
    <tableColumn id="6" xr3:uid="{3DF61DD8-66B8-4FB3-AF29-3BCD7A1C65DC}" name="AP SQL" dataDxfId="39"/>
    <tableColumn id="7" xr3:uid="{2C394CE3-A5E5-47B6-BAEB-4DEEE19C2A0C}" name="DW label" dataDxfId="38"/>
    <tableColumn id="29" xr3:uid="{2059CE41-C7DB-48E1-A6F4-7A7E1F6E48EA}" name="AP Label" dataDxfId="37"/>
    <tableColumn id="10" xr3:uid="{DC6559E6-E456-410F-94C0-6D49DC37FB22}" name="DW Join" dataDxfId="36"/>
    <tableColumn id="15" xr3:uid="{0AC2420A-9DCF-4291-80DC-22D907BC737D}" name="Field label exclusion" dataDxfId="35"/>
    <tableColumn id="22" xr3:uid="{86F25973-90B5-43FF-B78A-F3639C897348}" name="Field format" dataDxfId="34"/>
    <tableColumn id="12" xr3:uid="{0F724777-EC08-487F-92DA-57E0065089FD}" name="Search String" dataDxfId="33">
      <calculatedColumnFormula>DataItems3[[#This Row],[Collection]]&amp;DataItems3[[#This Row],[Field]]&amp;DataItems3[[#This Row],[Options for supplying the Field]]&amp;DataItems3[[#This Row],[Fieldname]]&amp;DataItems3[[#This Row],[Parent]]</calculatedColumnFormula>
    </tableColumn>
    <tableColumn id="11" xr3:uid="{5400D9EF-6CEC-4B0D-BF07-61FA2F5BA3DC}" name="Date Added" dataDxfId="32"/>
    <tableColumn id="13" xr3:uid="{FB5A3200-D0D3-44B2-BF40-8FA0197B9455}" name="Added by?" dataCellStyle="Normal"/>
    <tableColumn id="24" xr3:uid="{1331FB3E-9EEC-4A04-B0D4-6F84D942C8E2}" name="GroupBy" dataDxfId="31" dataCellStyle="Normal">
      <calculatedColumnFormula>IF(Q3="","",Q3)</calculatedColumnFormula>
    </tableColumn>
    <tableColumn id="25" xr3:uid="{5D9DE563-2624-496A-B8CB-98AEDE5E58E4}" name="Label GroupBy" dataDxfId="30" dataCellStyle="Normal">
      <calculatedColumnFormula>IF(S3="","",IF(IFERROR(SEARCH("select",S3)&gt;0,0),IF(U3="",IF(MID(S3,SEARCH(H3,S3)-4,1)=" ",MID(S3,SEARCH(H3,S3)-2,LEN(O12)+2),MID(S3,SEARCH(H3,S3)-3,LEN(H3)+3)),U3&amp;"."&amp;H3),S3))</calculatedColumnFormula>
    </tableColumn>
    <tableColumn id="30" xr3:uid="{19A09BF9-DD7E-43D0-8FD8-99D732D2951A}" name="AP GroupBy" dataDxfId="29">
      <calculatedColumnFormula>IF(T3="","",T3)</calculatedColumnFormula>
    </tableColumn>
    <tableColumn id="27" xr3:uid="{2FA9A0AE-93C0-4F18-AC13-4FB5219B5B60}" name="AP Label GroupBy" dataDxfId="28">
      <calculatedColumnFormula>IF(T3="","",IF(IFERROR(SEARCH("select",T3)&gt;0,0),IF(U3="",IF(MID(T3,SEARCH(H3,T3)-4,1)=" ",MID(T3,SEARCH(H3,T3)-2,LEN(O12)+2),MID(T3,SEARCH(H3,T3)-3,LEN(H3)+3)),U3&amp;"."&amp;H3),T3))</calculatedColumnFormula>
    </tableColumn>
    <tableColumn id="31" xr3:uid="{16F0EA9B-6454-4B8C-B001-B73E6D48FD90}" name="Label Fieldname" dataDxfId="27">
      <calculatedColumnFormula>IF(F3="","","["&amp;SUBSTITUTE(SUBSTITUTE(SUBSTITUTE(F3,"[","{"),"]","}"),"⁽"&amp;CHAR(185)&amp;"⁾","")&amp;"]")</calculatedColumnFormula>
    </tableColumn>
    <tableColumn id="26" xr3:uid="{824BF3F7-4550-4C53-AE4A-74185122DF7A}" name="DF UniqueID" dataDxfId="26" dataCellStyle="Normal"/>
    <tableColumn id="33" xr3:uid="{3EDEB78D-32EC-43CF-AE60-1DEA8DAF9746}" name="Time series analysis (legacy vs DF)" dataDxfId="25"/>
    <tableColumn id="32" xr3:uid="{BC209BDE-2910-4B27-80D9-E55FFB59BDAC}" name="?" dataDxf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CB59-5005-498F-B5C0-3DEA0A1575CF}">
  <dimension ref="A1:I100"/>
  <sheetViews>
    <sheetView tabSelected="1" zoomScale="70" zoomScaleNormal="70" workbookViewId="0">
      <selection activeCell="C12" sqref="C12"/>
    </sheetView>
  </sheetViews>
  <sheetFormatPr baseColWidth="10" defaultColWidth="8.83203125" defaultRowHeight="15" x14ac:dyDescent="0.2"/>
  <cols>
    <col min="1" max="1" width="27.5" style="39" customWidth="1"/>
    <col min="2" max="2" width="6.5" style="39" customWidth="1"/>
    <col min="3" max="3" width="46.83203125" style="39" customWidth="1"/>
    <col min="4" max="4" width="4.5" style="39" customWidth="1"/>
    <col min="5" max="5" width="30.83203125" style="39" customWidth="1"/>
    <col min="6" max="6" width="10.83203125" style="39" customWidth="1"/>
    <col min="7" max="7" width="15.5" style="40" customWidth="1"/>
    <col min="8" max="8" width="14.83203125" style="39" hidden="1" customWidth="1"/>
    <col min="9" max="9" width="25.5" style="39" customWidth="1"/>
    <col min="10" max="16384" width="8.83203125" style="39"/>
  </cols>
  <sheetData>
    <row r="1" spans="1:9" ht="17" thickBot="1" x14ac:dyDescent="0.25">
      <c r="A1" s="96" t="s">
        <v>50</v>
      </c>
      <c r="B1" s="96"/>
      <c r="C1" s="96"/>
      <c r="D1" s="96"/>
      <c r="E1" s="96"/>
      <c r="F1" s="96"/>
      <c r="G1" s="96"/>
      <c r="H1" s="96"/>
      <c r="I1" s="96"/>
    </row>
    <row r="2" spans="1:9" ht="17" thickBot="1" x14ac:dyDescent="0.25">
      <c r="A2" s="43" t="s">
        <v>7</v>
      </c>
      <c r="C2" s="54" t="s">
        <v>1</v>
      </c>
      <c r="E2" s="43" t="s">
        <v>0</v>
      </c>
      <c r="F2" s="93" t="s">
        <v>2856</v>
      </c>
      <c r="G2" s="94" t="s">
        <v>2838</v>
      </c>
      <c r="H2" s="43" t="s">
        <v>2839</v>
      </c>
      <c r="I2" s="43" t="s">
        <v>54</v>
      </c>
    </row>
    <row r="3" spans="1:9" ht="29.5" customHeight="1" thickBot="1" x14ac:dyDescent="0.25">
      <c r="A3" s="35">
        <v>10001101</v>
      </c>
      <c r="C3" s="43"/>
      <c r="E3" s="46" t="s">
        <v>2295</v>
      </c>
      <c r="F3" s="92" t="str">
        <f>IF($E3="","",IF(EXACT(E3,IF($E3="","",VLOOKUP($E3,DataItems3[[Field + Options combined]:[Field]],1,FALSE)))=TRUE,"Yes","No"))</f>
        <v>Yes</v>
      </c>
      <c r="G3" s="91" t="str">
        <f>IF($E3="","",VLOOKUP($E3,DataItems3[[Field + Options combined]:[Field]],3,FALSE))</f>
        <v>Student</v>
      </c>
      <c r="H3" s="47">
        <f>IF($E3="","",VLOOKUP($E3,DataItems3[[Field + Options combined]:[Field]],2,FALSE))</f>
        <v>100516</v>
      </c>
      <c r="I3" s="48" t="str">
        <f>IFERROR(IF(H3&lt;&gt;"","",""),"Field does not exist")</f>
        <v/>
      </c>
    </row>
    <row r="4" spans="1:9" ht="29.5" customHeight="1" thickBot="1" x14ac:dyDescent="0.25">
      <c r="C4" s="43" t="s">
        <v>2</v>
      </c>
      <c r="E4" s="49" t="s">
        <v>1123</v>
      </c>
      <c r="F4" s="41" t="str">
        <f>IF($E4="","",IF(EXACT(E4,IF($E4="","",VLOOKUP($E4,DataItems3[[Field + Options combined]:[Field]],1,FALSE)))=TRUE,"Yes","No"))</f>
        <v>No</v>
      </c>
      <c r="G4" s="89" t="str">
        <f>IF($E4="","",VLOOKUP($E4,DataItems3[[Field + Options combined]:[Field]],3,FALSE))</f>
        <v>Student</v>
      </c>
      <c r="H4" s="47">
        <f>IF($E4="","",VLOOKUP($E4,DataItems3[[Field + Options combined]:[Field]],2,FALSE))</f>
        <v>100242</v>
      </c>
      <c r="I4" s="50" t="str">
        <f>IFERROR(IF(H4&lt;&gt;"","",""),"Field does not exist")</f>
        <v/>
      </c>
    </row>
    <row r="5" spans="1:9" ht="29.5" customHeight="1" thickBot="1" x14ac:dyDescent="0.25">
      <c r="A5" s="43" t="s">
        <v>8</v>
      </c>
      <c r="C5" s="35" t="s">
        <v>3</v>
      </c>
      <c r="E5" s="49"/>
      <c r="F5" s="41" t="str">
        <f>IF($E5="","",IF(EXACT(E5,IF($E5="","",VLOOKUP($E5,DataItems3[[Field + Options combined]:[Field]],1,FALSE)))=TRUE,"Yes","No"))</f>
        <v/>
      </c>
      <c r="G5" s="89" t="str">
        <f>IF($E5="","",VLOOKUP($E5,DataItems3[[Field + Options combined]:[Field]],3,FALSE))</f>
        <v/>
      </c>
      <c r="H5" s="47" t="str">
        <f>IF($E5="","",VLOOKUP($E5,DataItems3[[Field + Options combined]:[Field]],2,FALSE))</f>
        <v/>
      </c>
      <c r="I5" s="50" t="str">
        <f t="shared" ref="I5:I68" si="0">IFERROR(IF(H5&lt;&gt;"","",""),"Field does not exist")</f>
        <v/>
      </c>
    </row>
    <row r="6" spans="1:9" ht="29.5" customHeight="1" thickBot="1" x14ac:dyDescent="0.25">
      <c r="A6" s="35" t="s">
        <v>3445</v>
      </c>
      <c r="E6" s="49"/>
      <c r="F6" s="41" t="str">
        <f>IF($E6="","",IF(EXACT(E6,IF($E6="","",VLOOKUP($E6,DataItems3[[Field + Options combined]:[Field]],1,FALSE)))=TRUE,"Yes","No"))</f>
        <v/>
      </c>
      <c r="G6" s="89" t="str">
        <f>IF($E6="","",VLOOKUP($E6,DataItems3[[Field + Options combined]:[Field]],3,FALSE))</f>
        <v/>
      </c>
      <c r="H6" s="47" t="str">
        <f>IF($E6="","",VLOOKUP($E6,DataItems3[[Field + Options combined]:[Field]],2,FALSE))</f>
        <v/>
      </c>
      <c r="I6" s="50" t="str">
        <f t="shared" si="0"/>
        <v/>
      </c>
    </row>
    <row r="7" spans="1:9" ht="29.5" customHeight="1" thickBot="1" x14ac:dyDescent="0.25">
      <c r="C7" s="43" t="s">
        <v>4</v>
      </c>
      <c r="E7" s="49"/>
      <c r="F7" s="41" t="str">
        <f>IF($E7="","",IF(EXACT(E7,IF($E7="","",VLOOKUP($E7,DataItems3[[Field + Options combined]:[Field]],1,FALSE)))=TRUE,"Yes","No"))</f>
        <v/>
      </c>
      <c r="G7" s="89" t="str">
        <f>IF($E7="","",VLOOKUP($E7,DataItems3[[Field + Options combined]:[Field]],3,FALSE))</f>
        <v/>
      </c>
      <c r="H7" s="47" t="str">
        <f>IF($E7="","",VLOOKUP($E7,DataItems3[[Field + Options combined]:[Field]],2,FALSE))</f>
        <v/>
      </c>
      <c r="I7" s="50" t="str">
        <f t="shared" si="0"/>
        <v/>
      </c>
    </row>
    <row r="8" spans="1:9" ht="29.5" customHeight="1" thickBot="1" x14ac:dyDescent="0.25">
      <c r="A8" s="43" t="s">
        <v>2855</v>
      </c>
      <c r="C8" s="35" t="s">
        <v>2846</v>
      </c>
      <c r="E8" s="49"/>
      <c r="F8" s="41" t="str">
        <f>IF($E8="","",IF(EXACT(E8,IF($E8="","",VLOOKUP($E8,DataItems3[[Field + Options combined]:[Field]],1,FALSE)))=TRUE,"Yes","No"))</f>
        <v/>
      </c>
      <c r="G8" s="89" t="str">
        <f>IF($E8="","",VLOOKUP($E8,DataItems3[[Field + Options combined]:[Field]],3,FALSE))</f>
        <v/>
      </c>
      <c r="H8" s="47" t="str">
        <f>IF($E8="","",VLOOKUP($E8,DataItems3[[Field + Options combined]:[Field]],2,FALSE))</f>
        <v/>
      </c>
      <c r="I8" s="50" t="str">
        <f t="shared" si="0"/>
        <v/>
      </c>
    </row>
    <row r="9" spans="1:9" ht="29.5" customHeight="1" thickBot="1" x14ac:dyDescent="0.25">
      <c r="A9" s="95">
        <v>45973</v>
      </c>
      <c r="E9" s="49"/>
      <c r="F9" s="41" t="str">
        <f>IF($E9="","",IF(EXACT(E9,IF($E9="","",VLOOKUP($E9,DataItems3[[Field + Options combined]:[Field]],1,FALSE)))=TRUE,"Yes","No"))</f>
        <v/>
      </c>
      <c r="G9" s="89" t="str">
        <f>IF($E9="","",VLOOKUP($E9,DataItems3[[Field + Options combined]:[Field]],3,FALSE))</f>
        <v/>
      </c>
      <c r="H9" s="47" t="str">
        <f>IF($E9="","",VLOOKUP($E9,DataItems3[[Field + Options combined]:[Field]],2,FALSE))</f>
        <v/>
      </c>
      <c r="I9" s="50" t="str">
        <f t="shared" si="0"/>
        <v/>
      </c>
    </row>
    <row r="10" spans="1:9" ht="17" thickBot="1" x14ac:dyDescent="0.25">
      <c r="C10" s="43" t="s">
        <v>2842</v>
      </c>
      <c r="E10" s="49"/>
      <c r="F10" s="41" t="str">
        <f>IF($E10="","",IF(EXACT(E10,IF($E10="","",VLOOKUP($E10,DataItems3[[Field + Options combined]:[Field]],1,FALSE)))=TRUE,"Yes","No"))</f>
        <v/>
      </c>
      <c r="G10" s="89" t="str">
        <f>IF($E10="","",VLOOKUP($E10,DataItems3[[Field + Options combined]:[Field]],3,FALSE))</f>
        <v/>
      </c>
      <c r="H10" s="47" t="str">
        <f>IF($E10="","",VLOOKUP($E10,DataItems3[[Field + Options combined]:[Field]],2,FALSE))</f>
        <v/>
      </c>
      <c r="I10" s="50" t="str">
        <f t="shared" si="0"/>
        <v/>
      </c>
    </row>
    <row r="11" spans="1:9" ht="17" thickBot="1" x14ac:dyDescent="0.25">
      <c r="A11" s="43"/>
      <c r="B11" s="44" t="s">
        <v>55</v>
      </c>
      <c r="C11" s="35" t="s">
        <v>3446</v>
      </c>
      <c r="E11" s="49"/>
      <c r="F11" s="41" t="str">
        <f>IF($E11="","",IF(EXACT(E11,IF($E11="","",VLOOKUP($E11,DataItems3[[Field + Options combined]:[Field]],1,FALSE)))=TRUE,"Yes","No"))</f>
        <v/>
      </c>
      <c r="G11" s="89" t="str">
        <f>IF($E11="","",VLOOKUP($E11,DataItems3[[Field + Options combined]:[Field]],3,FALSE))</f>
        <v/>
      </c>
      <c r="H11" s="47" t="str">
        <f>IF($E11="","",VLOOKUP($E11,DataItems3[[Field + Options combined]:[Field]],2,FALSE))</f>
        <v/>
      </c>
      <c r="I11" s="50" t="str">
        <f t="shared" si="0"/>
        <v/>
      </c>
    </row>
    <row r="12" spans="1:9" ht="17" thickBot="1" x14ac:dyDescent="0.25">
      <c r="B12" s="44"/>
      <c r="C12" s="45"/>
      <c r="E12" s="49"/>
      <c r="F12" s="41" t="str">
        <f>IF($E12="","",IF(EXACT(E12,IF($E12="","",VLOOKUP($E12,DataItems3[[Field + Options combined]:[Field]],1,FALSE)))=TRUE,"Yes","No"))</f>
        <v/>
      </c>
      <c r="G12" s="89" t="str">
        <f>IF($E12="","",VLOOKUP($E12,DataItems3[[Field + Options combined]:[Field]],3,FALSE))</f>
        <v/>
      </c>
      <c r="H12" s="47" t="str">
        <f>IF($E12="","",VLOOKUP($E12,DataItems3[[Field + Options combined]:[Field]],2,FALSE))</f>
        <v/>
      </c>
      <c r="I12" s="50" t="str">
        <f t="shared" si="0"/>
        <v/>
      </c>
    </row>
    <row r="13" spans="1:9" ht="17" thickBot="1" x14ac:dyDescent="0.25">
      <c r="B13" s="44" t="s">
        <v>2843</v>
      </c>
      <c r="C13" s="35">
        <v>1</v>
      </c>
      <c r="E13" s="49"/>
      <c r="F13" s="41" t="str">
        <f>IF($E13="","",IF(EXACT(E13,IF($E13="","",VLOOKUP($E13,DataItems3[[Field + Options combined]:[Field]],1,FALSE)))=TRUE,"Yes","No"))</f>
        <v/>
      </c>
      <c r="G13" s="89" t="str">
        <f>IF($E13="","",VLOOKUP($E13,DataItems3[[Field + Options combined]:[Field]],3,FALSE))</f>
        <v/>
      </c>
      <c r="H13" s="47" t="str">
        <f>IF($E13="","",VLOOKUP($E13,DataItems3[[Field + Options combined]:[Field]],2,FALSE))</f>
        <v/>
      </c>
      <c r="I13" s="50" t="str">
        <f t="shared" si="0"/>
        <v/>
      </c>
    </row>
    <row r="14" spans="1:9" ht="29.5" customHeight="1" thickBot="1" x14ac:dyDescent="0.25">
      <c r="B14" s="44"/>
      <c r="C14" s="45"/>
      <c r="E14" s="49"/>
      <c r="F14" s="41" t="str">
        <f>IF($E14="","",IF(EXACT(E14,IF($E14="","",VLOOKUP($E14,DataItems3[[Field + Options combined]:[Field]],1,FALSE)))=TRUE,"Yes","No"))</f>
        <v/>
      </c>
      <c r="G14" s="89" t="str">
        <f>IF($E14="","",VLOOKUP($E14,DataItems3[[Field + Options combined]:[Field]],3,FALSE))</f>
        <v/>
      </c>
      <c r="H14" s="47" t="str">
        <f>IF($E14="","",VLOOKUP($E14,DataItems3[[Field + Options combined]:[Field]],2,FALSE))</f>
        <v/>
      </c>
      <c r="I14" s="50" t="str">
        <f t="shared" si="0"/>
        <v/>
      </c>
    </row>
    <row r="15" spans="1:9" ht="17" thickBot="1" x14ac:dyDescent="0.25">
      <c r="B15" s="44" t="s">
        <v>2841</v>
      </c>
      <c r="C15" s="36"/>
      <c r="E15" s="49"/>
      <c r="F15" s="41" t="str">
        <f>IF($E15="","",IF(EXACT(E15,IF($E15="","",VLOOKUP($E15,DataItems3[[Field + Options combined]:[Field]],1,FALSE)))=TRUE,"Yes","No"))</f>
        <v/>
      </c>
      <c r="G15" s="89" t="str">
        <f>IF($E15="","",VLOOKUP($E15,DataItems3[[Field + Options combined]:[Field]],3,FALSE))</f>
        <v/>
      </c>
      <c r="H15" s="47" t="str">
        <f>IF($E15="","",VLOOKUP($E15,DataItems3[[Field + Options combined]:[Field]],2,FALSE))</f>
        <v/>
      </c>
      <c r="I15" s="50" t="str">
        <f t="shared" si="0"/>
        <v/>
      </c>
    </row>
    <row r="16" spans="1:9" ht="17" thickBot="1" x14ac:dyDescent="0.25">
      <c r="C16" s="37"/>
      <c r="E16" s="49"/>
      <c r="F16" s="41" t="str">
        <f>IF($E16="","",IF(EXACT(E16,IF($E16="","",VLOOKUP($E16,DataItems3[[Field + Options combined]:[Field]],1,FALSE)))=TRUE,"Yes","No"))</f>
        <v/>
      </c>
      <c r="G16" s="89" t="str">
        <f>IF($E16="","",VLOOKUP($E16,DataItems3[[Field + Options combined]:[Field]],3,FALSE))</f>
        <v/>
      </c>
      <c r="H16" s="47" t="str">
        <f>IF($E16="","",VLOOKUP($E16,DataItems3[[Field + Options combined]:[Field]],2,FALSE))</f>
        <v/>
      </c>
      <c r="I16" s="50" t="str">
        <f t="shared" si="0"/>
        <v/>
      </c>
    </row>
    <row r="17" spans="3:9" ht="17" thickBot="1" x14ac:dyDescent="0.25">
      <c r="C17" s="37"/>
      <c r="E17" s="49"/>
      <c r="F17" s="41" t="str">
        <f>IF($E17="","",IF(EXACT(E17,IF($E17="","",VLOOKUP($E17,DataItems3[[Field + Options combined]:[Field]],1,FALSE)))=TRUE,"Yes","No"))</f>
        <v/>
      </c>
      <c r="G17" s="89" t="str">
        <f>IF($E17="","",VLOOKUP($E17,DataItems3[[Field + Options combined]:[Field]],3,FALSE))</f>
        <v/>
      </c>
      <c r="H17" s="47" t="str">
        <f>IF($E17="","",VLOOKUP($E17,DataItems3[[Field + Options combined]:[Field]],2,FALSE))</f>
        <v/>
      </c>
      <c r="I17" s="50" t="str">
        <f t="shared" si="0"/>
        <v/>
      </c>
    </row>
    <row r="18" spans="3:9" ht="29.5" customHeight="1" thickBot="1" x14ac:dyDescent="0.25">
      <c r="C18" s="37"/>
      <c r="E18" s="49"/>
      <c r="F18" s="41" t="str">
        <f>IF($E18="","",IF(EXACT(E18,IF($E18="","",VLOOKUP($E18,DataItems3[[Field + Options combined]:[Field]],1,FALSE)))=TRUE,"Yes","No"))</f>
        <v/>
      </c>
      <c r="G18" s="89" t="str">
        <f>IF($E18="","",VLOOKUP($E18,DataItems3[[Field + Options combined]:[Field]],3,FALSE))</f>
        <v/>
      </c>
      <c r="H18" s="47" t="str">
        <f>IF($E18="","",VLOOKUP($E18,DataItems3[[Field + Options combined]:[Field]],2,FALSE))</f>
        <v/>
      </c>
      <c r="I18" s="50" t="str">
        <f t="shared" si="0"/>
        <v/>
      </c>
    </row>
    <row r="19" spans="3:9" ht="29.5" customHeight="1" thickBot="1" x14ac:dyDescent="0.25">
      <c r="C19" s="38"/>
      <c r="E19" s="49"/>
      <c r="F19" s="41" t="str">
        <f>IF($E19="","",IF(EXACT(E19,IF($E19="","",VLOOKUP($E19,DataItems3[[Field + Options combined]:[Field]],1,FALSE)))=TRUE,"Yes","No"))</f>
        <v/>
      </c>
      <c r="G19" s="89" t="str">
        <f>IF($E19="","",VLOOKUP($E19,DataItems3[[Field + Options combined]:[Field]],3,FALSE))</f>
        <v/>
      </c>
      <c r="H19" s="47" t="str">
        <f>IF($E19="","",VLOOKUP($E19,DataItems3[[Field + Options combined]:[Field]],2,FALSE))</f>
        <v/>
      </c>
      <c r="I19" s="50" t="str">
        <f t="shared" si="0"/>
        <v/>
      </c>
    </row>
    <row r="20" spans="3:9" ht="29.5" customHeight="1" thickBot="1" x14ac:dyDescent="0.25">
      <c r="C20" s="42"/>
      <c r="E20" s="49"/>
      <c r="F20" s="41" t="str">
        <f>IF($E20="","",IF(EXACT(E20,IF($E20="","",VLOOKUP($E20,DataItems3[[Field + Options combined]:[Field]],1,FALSE)))=TRUE,"Yes","No"))</f>
        <v/>
      </c>
      <c r="G20" s="89" t="str">
        <f>IF($E20="","",VLOOKUP($E20,DataItems3[[Field + Options combined]:[Field]],3,FALSE))</f>
        <v/>
      </c>
      <c r="H20" s="47" t="str">
        <f>IF($E20="","",VLOOKUP($E20,DataItems3[[Field + Options combined]:[Field]],2,FALSE))</f>
        <v/>
      </c>
      <c r="I20" s="50" t="str">
        <f t="shared" si="0"/>
        <v/>
      </c>
    </row>
    <row r="21" spans="3:9" ht="17" thickBot="1" x14ac:dyDescent="0.25">
      <c r="C21" s="43" t="s">
        <v>5</v>
      </c>
      <c r="E21" s="49"/>
      <c r="F21" s="41" t="str">
        <f>IF($E21="","",IF(EXACT(E21,IF($E21="","",VLOOKUP($E21,DataItems3[[Field + Options combined]:[Field]],1,FALSE)))=TRUE,"Yes","No"))</f>
        <v/>
      </c>
      <c r="G21" s="89" t="str">
        <f>IF($E21="","",VLOOKUP($E21,DataItems3[[Field + Options combined]:[Field]],3,FALSE))</f>
        <v/>
      </c>
      <c r="H21" s="47" t="str">
        <f>IF($E21="","",VLOOKUP($E21,DataItems3[[Field + Options combined]:[Field]],2,FALSE))</f>
        <v/>
      </c>
      <c r="I21" s="50" t="str">
        <f t="shared" si="0"/>
        <v/>
      </c>
    </row>
    <row r="22" spans="3:9" ht="17" thickBot="1" x14ac:dyDescent="0.25">
      <c r="C22" s="35" t="s">
        <v>6</v>
      </c>
      <c r="E22" s="49"/>
      <c r="F22" s="41" t="str">
        <f>IF($E22="","",IF(EXACT(E22,IF($E22="","",VLOOKUP($E22,DataItems3[[Field + Options combined]:[Field]],1,FALSE)))=TRUE,"Yes","No"))</f>
        <v/>
      </c>
      <c r="G22" s="89" t="str">
        <f>IF($E22="","",VLOOKUP($E22,DataItems3[[Field + Options combined]:[Field]],3,FALSE))</f>
        <v/>
      </c>
      <c r="H22" s="47" t="str">
        <f>IF($E22="","",VLOOKUP($E22,DataItems3[[Field + Options combined]:[Field]],2,FALSE))</f>
        <v/>
      </c>
      <c r="I22" s="50" t="str">
        <f t="shared" si="0"/>
        <v/>
      </c>
    </row>
    <row r="23" spans="3:9" ht="17" thickBot="1" x14ac:dyDescent="0.25">
      <c r="E23" s="49"/>
      <c r="F23" s="41" t="str">
        <f>IF($E23="","",IF(EXACT(E23,IF($E23="","",VLOOKUP($E23,DataItems3[[Field + Options combined]:[Field]],1,FALSE)))=TRUE,"Yes","No"))</f>
        <v/>
      </c>
      <c r="G23" s="89" t="str">
        <f>IF($E23="","",VLOOKUP($E23,DataItems3[[Field + Options combined]:[Field]],3,FALSE))</f>
        <v/>
      </c>
      <c r="H23" s="47" t="str">
        <f>IF($E23="","",VLOOKUP($E23,DataItems3[[Field + Options combined]:[Field]],2,FALSE))</f>
        <v/>
      </c>
      <c r="I23" s="50" t="str">
        <f t="shared" si="0"/>
        <v/>
      </c>
    </row>
    <row r="24" spans="3:9" ht="17" thickBot="1" x14ac:dyDescent="0.25">
      <c r="E24" s="49"/>
      <c r="F24" s="41" t="str">
        <f>IF($E24="","",IF(EXACT(E24,IF($E24="","",VLOOKUP($E24,DataItems3[[Field + Options combined]:[Field]],1,FALSE)))=TRUE,"Yes","No"))</f>
        <v/>
      </c>
      <c r="G24" s="89" t="str">
        <f>IF($E24="","",VLOOKUP($E24,DataItems3[[Field + Options combined]:[Field]],3,FALSE))</f>
        <v/>
      </c>
      <c r="H24" s="47" t="str">
        <f>IF($E24="","",VLOOKUP($E24,DataItems3[[Field + Options combined]:[Field]],2,FALSE))</f>
        <v/>
      </c>
      <c r="I24" s="50" t="str">
        <f t="shared" si="0"/>
        <v/>
      </c>
    </row>
    <row r="25" spans="3:9" ht="17" thickBot="1" x14ac:dyDescent="0.25">
      <c r="E25" s="49"/>
      <c r="F25" s="41" t="str">
        <f>IF($E25="","",IF(EXACT(E25,IF($E25="","",VLOOKUP($E25,DataItems3[[Field + Options combined]:[Field]],1,FALSE)))=TRUE,"Yes","No"))</f>
        <v/>
      </c>
      <c r="G25" s="89" t="str">
        <f>IF($E25="","",VLOOKUP($E25,DataItems3[[Field + Options combined]:[Field]],3,FALSE))</f>
        <v/>
      </c>
      <c r="H25" s="47" t="str">
        <f>IF($E25="","",VLOOKUP($E25,DataItems3[[Field + Options combined]:[Field]],2,FALSE))</f>
        <v/>
      </c>
      <c r="I25" s="50" t="str">
        <f t="shared" si="0"/>
        <v/>
      </c>
    </row>
    <row r="26" spans="3:9" ht="17" thickBot="1" x14ac:dyDescent="0.25">
      <c r="E26" s="49"/>
      <c r="F26" s="41" t="str">
        <f>IF($E26="","",IF(EXACT(E26,IF($E26="","",VLOOKUP($E26,DataItems3[[Field + Options combined]:[Field]],1,FALSE)))=TRUE,"Yes","No"))</f>
        <v/>
      </c>
      <c r="G26" s="89" t="str">
        <f>IF($E26="","",VLOOKUP($E26,DataItems3[[Field + Options combined]:[Field]],3,FALSE))</f>
        <v/>
      </c>
      <c r="H26" s="47" t="str">
        <f>IF($E26="","",VLOOKUP($E26,DataItems3[[Field + Options combined]:[Field]],2,FALSE))</f>
        <v/>
      </c>
      <c r="I26" s="50" t="str">
        <f t="shared" si="0"/>
        <v/>
      </c>
    </row>
    <row r="27" spans="3:9" ht="17" thickBot="1" x14ac:dyDescent="0.25">
      <c r="E27" s="49"/>
      <c r="F27" s="41" t="str">
        <f>IF($E27="","",IF(EXACT(E27,IF($E27="","",VLOOKUP($E27,DataItems3[[Field + Options combined]:[Field]],1,FALSE)))=TRUE,"Yes","No"))</f>
        <v/>
      </c>
      <c r="G27" s="89" t="str">
        <f>IF($E27="","",VLOOKUP($E27,DataItems3[[Field + Options combined]:[Field]],3,FALSE))</f>
        <v/>
      </c>
      <c r="H27" s="47" t="str">
        <f>IF($E27="","",VLOOKUP($E27,DataItems3[[Field + Options combined]:[Field]],2,FALSE))</f>
        <v/>
      </c>
      <c r="I27" s="50" t="str">
        <f t="shared" si="0"/>
        <v/>
      </c>
    </row>
    <row r="28" spans="3:9" ht="17" thickBot="1" x14ac:dyDescent="0.25">
      <c r="E28" s="49"/>
      <c r="F28" s="41" t="str">
        <f>IF($E28="","",IF(EXACT(E28,IF($E28="","",VLOOKUP($E28,DataItems3[[Field + Options combined]:[Field]],1,FALSE)))=TRUE,"Yes","No"))</f>
        <v/>
      </c>
      <c r="G28" s="89" t="str">
        <f>IF($E28="","",VLOOKUP($E28,DataItems3[[Field + Options combined]:[Field]],3,FALSE))</f>
        <v/>
      </c>
      <c r="H28" s="47" t="str">
        <f>IF($E28="","",VLOOKUP($E28,DataItems3[[Field + Options combined]:[Field]],2,FALSE))</f>
        <v/>
      </c>
      <c r="I28" s="50" t="str">
        <f t="shared" si="0"/>
        <v/>
      </c>
    </row>
    <row r="29" spans="3:9" ht="17" thickBot="1" x14ac:dyDescent="0.25">
      <c r="E29" s="49"/>
      <c r="F29" s="41" t="str">
        <f>IF($E29="","",IF(EXACT(E29,IF($E29="","",VLOOKUP($E29,DataItems3[[Field + Options combined]:[Field]],1,FALSE)))=TRUE,"Yes","No"))</f>
        <v/>
      </c>
      <c r="G29" s="89" t="str">
        <f>IF($E29="","",VLOOKUP($E29,DataItems3[[Field + Options combined]:[Field]],3,FALSE))</f>
        <v/>
      </c>
      <c r="H29" s="47" t="str">
        <f>IF($E29="","",VLOOKUP($E29,DataItems3[[Field + Options combined]:[Field]],2,FALSE))</f>
        <v/>
      </c>
      <c r="I29" s="50" t="str">
        <f t="shared" si="0"/>
        <v/>
      </c>
    </row>
    <row r="30" spans="3:9" ht="17" thickBot="1" x14ac:dyDescent="0.25">
      <c r="E30" s="49"/>
      <c r="F30" s="41" t="str">
        <f>IF($E30="","",IF(EXACT(E30,IF($E30="","",VLOOKUP($E30,DataItems3[[Field + Options combined]:[Field]],1,FALSE)))=TRUE,"Yes","No"))</f>
        <v/>
      </c>
      <c r="G30" s="89" t="str">
        <f>IF($E30="","",VLOOKUP($E30,DataItems3[[Field + Options combined]:[Field]],3,FALSE))</f>
        <v/>
      </c>
      <c r="H30" s="47" t="str">
        <f>IF($E30="","",VLOOKUP($E30,DataItems3[[Field + Options combined]:[Field]],2,FALSE))</f>
        <v/>
      </c>
      <c r="I30" s="50" t="str">
        <f t="shared" si="0"/>
        <v/>
      </c>
    </row>
    <row r="31" spans="3:9" ht="17" thickBot="1" x14ac:dyDescent="0.25">
      <c r="E31" s="49"/>
      <c r="F31" s="41" t="str">
        <f>IF($E31="","",IF(EXACT(E31,IF($E31="","",VLOOKUP($E31,DataItems3[[Field + Options combined]:[Field]],1,FALSE)))=TRUE,"Yes","No"))</f>
        <v/>
      </c>
      <c r="G31" s="89" t="str">
        <f>IF($E31="","",VLOOKUP($E31,DataItems3[[Field + Options combined]:[Field]],3,FALSE))</f>
        <v/>
      </c>
      <c r="H31" s="47" t="str">
        <f>IF($E31="","",VLOOKUP($E31,DataItems3[[Field + Options combined]:[Field]],2,FALSE))</f>
        <v/>
      </c>
      <c r="I31" s="50" t="str">
        <f t="shared" si="0"/>
        <v/>
      </c>
    </row>
    <row r="32" spans="3:9" ht="17" thickBot="1" x14ac:dyDescent="0.25">
      <c r="E32" s="49"/>
      <c r="F32" s="41" t="str">
        <f>IF($E32="","",IF(EXACT(E32,IF($E32="","",VLOOKUP($E32,DataItems3[[Field + Options combined]:[Field]],1,FALSE)))=TRUE,"Yes","No"))</f>
        <v/>
      </c>
      <c r="G32" s="89" t="str">
        <f>IF($E32="","",VLOOKUP($E32,DataItems3[[Field + Options combined]:[Field]],3,FALSE))</f>
        <v/>
      </c>
      <c r="H32" s="47" t="str">
        <f>IF($E32="","",VLOOKUP($E32,DataItems3[[Field + Options combined]:[Field]],2,FALSE))</f>
        <v/>
      </c>
      <c r="I32" s="50" t="str">
        <f t="shared" si="0"/>
        <v/>
      </c>
    </row>
    <row r="33" spans="5:9" ht="17" thickBot="1" x14ac:dyDescent="0.25">
      <c r="E33" s="49"/>
      <c r="F33" s="41" t="str">
        <f>IF($E33="","",IF(EXACT(E33,IF($E33="","",VLOOKUP($E33,DataItems3[[Field + Options combined]:[Field]],1,FALSE)))=TRUE,"Yes","No"))</f>
        <v/>
      </c>
      <c r="G33" s="89" t="str">
        <f>IF($E33="","",VLOOKUP($E33,DataItems3[[Field + Options combined]:[Field]],3,FALSE))</f>
        <v/>
      </c>
      <c r="H33" s="47" t="str">
        <f>IF($E33="","",VLOOKUP($E33,DataItems3[[Field + Options combined]:[Field]],2,FALSE))</f>
        <v/>
      </c>
      <c r="I33" s="50" t="str">
        <f t="shared" si="0"/>
        <v/>
      </c>
    </row>
    <row r="34" spans="5:9" ht="17" thickBot="1" x14ac:dyDescent="0.25">
      <c r="E34" s="49"/>
      <c r="F34" s="41" t="str">
        <f>IF($E34="","",IF(EXACT(E34,IF($E34="","",VLOOKUP($E34,DataItems3[[Field + Options combined]:[Field]],1,FALSE)))=TRUE,"Yes","No"))</f>
        <v/>
      </c>
      <c r="G34" s="89" t="str">
        <f>IF($E34="","",VLOOKUP($E34,DataItems3[[Field + Options combined]:[Field]],3,FALSE))</f>
        <v/>
      </c>
      <c r="H34" s="47" t="str">
        <f>IF($E34="","",VLOOKUP($E34,DataItems3[[Field + Options combined]:[Field]],2,FALSE))</f>
        <v/>
      </c>
      <c r="I34" s="50" t="str">
        <f t="shared" si="0"/>
        <v/>
      </c>
    </row>
    <row r="35" spans="5:9" ht="17" thickBot="1" x14ac:dyDescent="0.25">
      <c r="E35" s="49"/>
      <c r="F35" s="41" t="str">
        <f>IF($E35="","",IF(EXACT(E35,IF($E35="","",VLOOKUP($E35,DataItems3[[Field + Options combined]:[Field]],1,FALSE)))=TRUE,"Yes","No"))</f>
        <v/>
      </c>
      <c r="G35" s="89" t="str">
        <f>IF($E35="","",VLOOKUP($E35,DataItems3[[Field + Options combined]:[Field]],3,FALSE))</f>
        <v/>
      </c>
      <c r="H35" s="47" t="str">
        <f>IF($E35="","",VLOOKUP($E35,DataItems3[[Field + Options combined]:[Field]],2,FALSE))</f>
        <v/>
      </c>
      <c r="I35" s="50" t="str">
        <f t="shared" si="0"/>
        <v/>
      </c>
    </row>
    <row r="36" spans="5:9" ht="17" thickBot="1" x14ac:dyDescent="0.25">
      <c r="E36" s="49"/>
      <c r="F36" s="41" t="str">
        <f>IF($E36="","",IF(EXACT(E36,IF($E36="","",VLOOKUP($E36,DataItems3[[Field + Options combined]:[Field]],1,FALSE)))=TRUE,"Yes","No"))</f>
        <v/>
      </c>
      <c r="G36" s="89" t="str">
        <f>IF($E36="","",VLOOKUP($E36,DataItems3[[Field + Options combined]:[Field]],3,FALSE))</f>
        <v/>
      </c>
      <c r="H36" s="47" t="str">
        <f>IF($E36="","",VLOOKUP($E36,DataItems3[[Field + Options combined]:[Field]],2,FALSE))</f>
        <v/>
      </c>
      <c r="I36" s="50" t="str">
        <f t="shared" si="0"/>
        <v/>
      </c>
    </row>
    <row r="37" spans="5:9" ht="17" thickBot="1" x14ac:dyDescent="0.25">
      <c r="E37" s="49"/>
      <c r="F37" s="41" t="str">
        <f>IF($E37="","",IF(EXACT(E37,IF($E37="","",VLOOKUP($E37,DataItems3[[Field + Options combined]:[Field]],1,FALSE)))=TRUE,"Yes","No"))</f>
        <v/>
      </c>
      <c r="G37" s="89" t="str">
        <f>IF($E37="","",VLOOKUP($E37,DataItems3[[Field + Options combined]:[Field]],3,FALSE))</f>
        <v/>
      </c>
      <c r="H37" s="47" t="str">
        <f>IF($E37="","",VLOOKUP($E37,DataItems3[[Field + Options combined]:[Field]],2,FALSE))</f>
        <v/>
      </c>
      <c r="I37" s="50" t="str">
        <f t="shared" si="0"/>
        <v/>
      </c>
    </row>
    <row r="38" spans="5:9" ht="17" thickBot="1" x14ac:dyDescent="0.25">
      <c r="E38" s="49"/>
      <c r="F38" s="41" t="str">
        <f>IF($E38="","",IF(EXACT(E38,IF($E38="","",VLOOKUP($E38,DataItems3[[Field + Options combined]:[Field]],1,FALSE)))=TRUE,"Yes","No"))</f>
        <v/>
      </c>
      <c r="G38" s="89" t="str">
        <f>IF($E38="","",VLOOKUP($E38,DataItems3[[Field + Options combined]:[Field]],3,FALSE))</f>
        <v/>
      </c>
      <c r="H38" s="47" t="str">
        <f>IF($E38="","",VLOOKUP($E38,DataItems3[[Field + Options combined]:[Field]],2,FALSE))</f>
        <v/>
      </c>
      <c r="I38" s="50" t="str">
        <f t="shared" si="0"/>
        <v/>
      </c>
    </row>
    <row r="39" spans="5:9" ht="17" thickBot="1" x14ac:dyDescent="0.25">
      <c r="E39" s="49"/>
      <c r="F39" s="41" t="str">
        <f>IF($E39="","",IF(EXACT(E39,IF($E39="","",VLOOKUP($E39,DataItems3[[Field + Options combined]:[Field]],1,FALSE)))=TRUE,"Yes","No"))</f>
        <v/>
      </c>
      <c r="G39" s="89" t="str">
        <f>IF($E39="","",VLOOKUP($E39,DataItems3[[Field + Options combined]:[Field]],3,FALSE))</f>
        <v/>
      </c>
      <c r="H39" s="47" t="str">
        <f>IF($E39="","",VLOOKUP($E39,DataItems3[[Field + Options combined]:[Field]],2,FALSE))</f>
        <v/>
      </c>
      <c r="I39" s="50" t="str">
        <f t="shared" si="0"/>
        <v/>
      </c>
    </row>
    <row r="40" spans="5:9" ht="17" thickBot="1" x14ac:dyDescent="0.25">
      <c r="E40" s="49"/>
      <c r="F40" s="41" t="str">
        <f>IF($E40="","",IF(EXACT(E40,IF($E40="","",VLOOKUP($E40,DataItems3[[Field + Options combined]:[Field]],1,FALSE)))=TRUE,"Yes","No"))</f>
        <v/>
      </c>
      <c r="G40" s="89" t="str">
        <f>IF($E40="","",VLOOKUP($E40,DataItems3[[Field + Options combined]:[Field]],3,FALSE))</f>
        <v/>
      </c>
      <c r="H40" s="47" t="str">
        <f>IF($E40="","",VLOOKUP($E40,DataItems3[[Field + Options combined]:[Field]],2,FALSE))</f>
        <v/>
      </c>
      <c r="I40" s="50" t="str">
        <f t="shared" si="0"/>
        <v/>
      </c>
    </row>
    <row r="41" spans="5:9" ht="17" thickBot="1" x14ac:dyDescent="0.25">
      <c r="E41" s="49"/>
      <c r="F41" s="41" t="str">
        <f>IF($E41="","",IF(EXACT(E41,IF($E41="","",VLOOKUP($E41,DataItems3[[Field + Options combined]:[Field]],1,FALSE)))=TRUE,"Yes","No"))</f>
        <v/>
      </c>
      <c r="G41" s="89" t="str">
        <f>IF($E41="","",VLOOKUP($E41,DataItems3[[Field + Options combined]:[Field]],3,FALSE))</f>
        <v/>
      </c>
      <c r="H41" s="47" t="str">
        <f>IF($E41="","",VLOOKUP($E41,DataItems3[[Field + Options combined]:[Field]],2,FALSE))</f>
        <v/>
      </c>
      <c r="I41" s="50" t="str">
        <f t="shared" si="0"/>
        <v/>
      </c>
    </row>
    <row r="42" spans="5:9" ht="17" thickBot="1" x14ac:dyDescent="0.25">
      <c r="E42" s="49"/>
      <c r="F42" s="41" t="str">
        <f>IF($E42="","",IF(EXACT(E42,IF($E42="","",VLOOKUP($E42,DataItems3[[Field + Options combined]:[Field]],1,FALSE)))=TRUE,"Yes","No"))</f>
        <v/>
      </c>
      <c r="G42" s="89" t="str">
        <f>IF($E42="","",VLOOKUP($E42,DataItems3[[Field + Options combined]:[Field]],3,FALSE))</f>
        <v/>
      </c>
      <c r="H42" s="47" t="str">
        <f>IF($E42="","",VLOOKUP($E42,DataItems3[[Field + Options combined]:[Field]],2,FALSE))</f>
        <v/>
      </c>
      <c r="I42" s="50" t="str">
        <f t="shared" si="0"/>
        <v/>
      </c>
    </row>
    <row r="43" spans="5:9" ht="17" thickBot="1" x14ac:dyDescent="0.25">
      <c r="E43" s="49"/>
      <c r="F43" s="41" t="str">
        <f>IF($E43="","",IF(EXACT(E43,IF($E43="","",VLOOKUP($E43,DataItems3[[Field + Options combined]:[Field]],1,FALSE)))=TRUE,"Yes","No"))</f>
        <v/>
      </c>
      <c r="G43" s="89" t="str">
        <f>IF($E43="","",VLOOKUP($E43,DataItems3[[Field + Options combined]:[Field]],3,FALSE))</f>
        <v/>
      </c>
      <c r="H43" s="47" t="str">
        <f>IF($E43="","",VLOOKUP($E43,DataItems3[[Field + Options combined]:[Field]],2,FALSE))</f>
        <v/>
      </c>
      <c r="I43" s="50" t="str">
        <f t="shared" si="0"/>
        <v/>
      </c>
    </row>
    <row r="44" spans="5:9" ht="17" thickBot="1" x14ac:dyDescent="0.25">
      <c r="E44" s="49"/>
      <c r="F44" s="41" t="str">
        <f>IF($E44="","",IF(EXACT(E44,IF($E44="","",VLOOKUP($E44,DataItems3[[Field + Options combined]:[Field]],1,FALSE)))=TRUE,"Yes","No"))</f>
        <v/>
      </c>
      <c r="G44" s="89" t="str">
        <f>IF($E44="","",VLOOKUP($E44,DataItems3[[Field + Options combined]:[Field]],3,FALSE))</f>
        <v/>
      </c>
      <c r="H44" s="47" t="str">
        <f>IF($E44="","",VLOOKUP($E44,DataItems3[[Field + Options combined]:[Field]],2,FALSE))</f>
        <v/>
      </c>
      <c r="I44" s="50" t="str">
        <f t="shared" si="0"/>
        <v/>
      </c>
    </row>
    <row r="45" spans="5:9" ht="17" thickBot="1" x14ac:dyDescent="0.25">
      <c r="E45" s="49"/>
      <c r="F45" s="41" t="str">
        <f>IF($E45="","",IF(EXACT(E45,IF($E45="","",VLOOKUP($E45,DataItems3[[Field + Options combined]:[Field]],1,FALSE)))=TRUE,"Yes","No"))</f>
        <v/>
      </c>
      <c r="G45" s="89" t="str">
        <f>IF($E45="","",VLOOKUP($E45,DataItems3[[Field + Options combined]:[Field]],3,FALSE))</f>
        <v/>
      </c>
      <c r="H45" s="47" t="str">
        <f>IF($E45="","",VLOOKUP($E45,DataItems3[[Field + Options combined]:[Field]],2,FALSE))</f>
        <v/>
      </c>
      <c r="I45" s="50" t="str">
        <f t="shared" si="0"/>
        <v/>
      </c>
    </row>
    <row r="46" spans="5:9" ht="17" thickBot="1" x14ac:dyDescent="0.25">
      <c r="E46" s="49"/>
      <c r="F46" s="41" t="str">
        <f>IF($E46="","",IF(EXACT(E46,IF($E46="","",VLOOKUP($E46,DataItems3[[Field + Options combined]:[Field]],1,FALSE)))=TRUE,"Yes","No"))</f>
        <v/>
      </c>
      <c r="G46" s="89" t="str">
        <f>IF($E46="","",VLOOKUP($E46,DataItems3[[Field + Options combined]:[Field]],3,FALSE))</f>
        <v/>
      </c>
      <c r="H46" s="47" t="str">
        <f>IF($E46="","",VLOOKUP($E46,DataItems3[[Field + Options combined]:[Field]],2,FALSE))</f>
        <v/>
      </c>
      <c r="I46" s="50" t="str">
        <f t="shared" si="0"/>
        <v/>
      </c>
    </row>
    <row r="47" spans="5:9" ht="17" thickBot="1" x14ac:dyDescent="0.25">
      <c r="E47" s="49"/>
      <c r="F47" s="41" t="str">
        <f>IF($E47="","",IF(EXACT(E47,IF($E47="","",VLOOKUP($E47,DataItems3[[Field + Options combined]:[Field]],1,FALSE)))=TRUE,"Yes","No"))</f>
        <v/>
      </c>
      <c r="G47" s="89" t="str">
        <f>IF($E47="","",VLOOKUP($E47,DataItems3[[Field + Options combined]:[Field]],3,FALSE))</f>
        <v/>
      </c>
      <c r="H47" s="47" t="str">
        <f>IF($E47="","",VLOOKUP($E47,DataItems3[[Field + Options combined]:[Field]],2,FALSE))</f>
        <v/>
      </c>
      <c r="I47" s="50" t="str">
        <f t="shared" si="0"/>
        <v/>
      </c>
    </row>
    <row r="48" spans="5:9" ht="17" thickBot="1" x14ac:dyDescent="0.25">
      <c r="E48" s="49"/>
      <c r="F48" s="41" t="str">
        <f>IF($E48="","",IF(EXACT(E48,IF($E48="","",VLOOKUP($E48,DataItems3[[Field + Options combined]:[Field]],1,FALSE)))=TRUE,"Yes","No"))</f>
        <v/>
      </c>
      <c r="G48" s="89" t="str">
        <f>IF($E48="","",VLOOKUP($E48,DataItems3[[Field + Options combined]:[Field]],3,FALSE))</f>
        <v/>
      </c>
      <c r="H48" s="47" t="str">
        <f>IF($E48="","",VLOOKUP($E48,DataItems3[[Field + Options combined]:[Field]],2,FALSE))</f>
        <v/>
      </c>
      <c r="I48" s="50" t="str">
        <f t="shared" si="0"/>
        <v/>
      </c>
    </row>
    <row r="49" spans="5:9" ht="17" thickBot="1" x14ac:dyDescent="0.25">
      <c r="E49" s="49"/>
      <c r="F49" s="41" t="str">
        <f>IF($E49="","",IF(EXACT(E49,IF($E49="","",VLOOKUP($E49,DataItems3[[Field + Options combined]:[Field]],1,FALSE)))=TRUE,"Yes","No"))</f>
        <v/>
      </c>
      <c r="G49" s="89" t="str">
        <f>IF($E49="","",VLOOKUP($E49,DataItems3[[Field + Options combined]:[Field]],3,FALSE))</f>
        <v/>
      </c>
      <c r="H49" s="47" t="str">
        <f>IF($E49="","",VLOOKUP($E49,DataItems3[[Field + Options combined]:[Field]],2,FALSE))</f>
        <v/>
      </c>
      <c r="I49" s="50" t="str">
        <f t="shared" si="0"/>
        <v/>
      </c>
    </row>
    <row r="50" spans="5:9" ht="17" thickBot="1" x14ac:dyDescent="0.25">
      <c r="E50" s="49"/>
      <c r="F50" s="41" t="str">
        <f>IF($E50="","",IF(EXACT(E50,IF($E50="","",VLOOKUP($E50,DataItems3[[Field + Options combined]:[Field]],1,FALSE)))=TRUE,"Yes","No"))</f>
        <v/>
      </c>
      <c r="G50" s="89" t="str">
        <f>IF($E50="","",VLOOKUP($E50,DataItems3[[Field + Options combined]:[Field]],3,FALSE))</f>
        <v/>
      </c>
      <c r="H50" s="47" t="str">
        <f>IF($E50="","",VLOOKUP($E50,DataItems3[[Field + Options combined]:[Field]],2,FALSE))</f>
        <v/>
      </c>
      <c r="I50" s="50" t="str">
        <f t="shared" si="0"/>
        <v/>
      </c>
    </row>
    <row r="51" spans="5:9" ht="17" thickBot="1" x14ac:dyDescent="0.25">
      <c r="E51" s="49"/>
      <c r="F51" s="41" t="str">
        <f>IF($E51="","",IF(EXACT(E51,IF($E51="","",VLOOKUP($E51,DataItems3[[Field + Options combined]:[Field]],1,FALSE)))=TRUE,"Yes","No"))</f>
        <v/>
      </c>
      <c r="G51" s="89" t="str">
        <f>IF($E51="","",VLOOKUP($E51,DataItems3[[Field + Options combined]:[Field]],3,FALSE))</f>
        <v/>
      </c>
      <c r="H51" s="47" t="str">
        <f>IF($E51="","",VLOOKUP($E51,DataItems3[[Field + Options combined]:[Field]],2,FALSE))</f>
        <v/>
      </c>
      <c r="I51" s="50" t="str">
        <f t="shared" si="0"/>
        <v/>
      </c>
    </row>
    <row r="52" spans="5:9" ht="17" thickBot="1" x14ac:dyDescent="0.25">
      <c r="E52" s="49"/>
      <c r="F52" s="41" t="str">
        <f>IF($E52="","",IF(EXACT(E52,IF($E52="","",VLOOKUP($E52,DataItems3[[Field + Options combined]:[Field]],1,FALSE)))=TRUE,"Yes","No"))</f>
        <v/>
      </c>
      <c r="G52" s="89" t="str">
        <f>IF($E52="","",VLOOKUP($E52,DataItems3[[Field + Options combined]:[Field]],3,FALSE))</f>
        <v/>
      </c>
      <c r="H52" s="47" t="str">
        <f>IF($E52="","",VLOOKUP($E52,DataItems3[[Field + Options combined]:[Field]],2,FALSE))</f>
        <v/>
      </c>
      <c r="I52" s="50" t="str">
        <f t="shared" si="0"/>
        <v/>
      </c>
    </row>
    <row r="53" spans="5:9" ht="17" thickBot="1" x14ac:dyDescent="0.25">
      <c r="E53" s="49"/>
      <c r="F53" s="41" t="str">
        <f>IF($E53="","",IF(EXACT(E53,IF($E53="","",VLOOKUP($E53,DataItems3[[Field + Options combined]:[Field]],1,FALSE)))=TRUE,"Yes","No"))</f>
        <v/>
      </c>
      <c r="G53" s="89" t="str">
        <f>IF($E53="","",VLOOKUP($E53,DataItems3[[Field + Options combined]:[Field]],3,FALSE))</f>
        <v/>
      </c>
      <c r="H53" s="47" t="str">
        <f>IF($E53="","",VLOOKUP($E53,DataItems3[[Field + Options combined]:[Field]],2,FALSE))</f>
        <v/>
      </c>
      <c r="I53" s="50" t="str">
        <f t="shared" si="0"/>
        <v/>
      </c>
    </row>
    <row r="54" spans="5:9" ht="17" thickBot="1" x14ac:dyDescent="0.25">
      <c r="E54" s="49"/>
      <c r="F54" s="41" t="str">
        <f>IF($E54="","",IF(EXACT(E54,IF($E54="","",VLOOKUP($E54,DataItems3[[Field + Options combined]:[Field]],1,FALSE)))=TRUE,"Yes","No"))</f>
        <v/>
      </c>
      <c r="G54" s="89" t="str">
        <f>IF($E54="","",VLOOKUP($E54,DataItems3[[Field + Options combined]:[Field]],3,FALSE))</f>
        <v/>
      </c>
      <c r="H54" s="47" t="str">
        <f>IF($E54="","",VLOOKUP($E54,DataItems3[[Field + Options combined]:[Field]],2,FALSE))</f>
        <v/>
      </c>
      <c r="I54" s="50" t="str">
        <f t="shared" si="0"/>
        <v/>
      </c>
    </row>
    <row r="55" spans="5:9" ht="17" thickBot="1" x14ac:dyDescent="0.25">
      <c r="E55" s="49"/>
      <c r="F55" s="41" t="str">
        <f>IF($E55="","",IF(EXACT(E55,IF($E55="","",VLOOKUP($E55,DataItems3[[Field + Options combined]:[Field]],1,FALSE)))=TRUE,"Yes","No"))</f>
        <v/>
      </c>
      <c r="G55" s="89" t="str">
        <f>IF($E55="","",VLOOKUP($E55,DataItems3[[Field + Options combined]:[Field]],3,FALSE))</f>
        <v/>
      </c>
      <c r="H55" s="47" t="str">
        <f>IF($E55="","",VLOOKUP($E55,DataItems3[[Field + Options combined]:[Field]],2,FALSE))</f>
        <v/>
      </c>
      <c r="I55" s="50" t="str">
        <f t="shared" si="0"/>
        <v/>
      </c>
    </row>
    <row r="56" spans="5:9" ht="17" thickBot="1" x14ac:dyDescent="0.25">
      <c r="E56" s="49"/>
      <c r="F56" s="41" t="str">
        <f>IF($E56="","",IF(EXACT(E56,IF($E56="","",VLOOKUP($E56,DataItems3[[Field + Options combined]:[Field]],1,FALSE)))=TRUE,"Yes","No"))</f>
        <v/>
      </c>
      <c r="G56" s="89" t="str">
        <f>IF($E56="","",VLOOKUP($E56,DataItems3[[Field + Options combined]:[Field]],3,FALSE))</f>
        <v/>
      </c>
      <c r="H56" s="47" t="str">
        <f>IF($E56="","",VLOOKUP($E56,DataItems3[[Field + Options combined]:[Field]],2,FALSE))</f>
        <v/>
      </c>
      <c r="I56" s="50" t="str">
        <f t="shared" si="0"/>
        <v/>
      </c>
    </row>
    <row r="57" spans="5:9" ht="17" thickBot="1" x14ac:dyDescent="0.25">
      <c r="E57" s="49"/>
      <c r="F57" s="41" t="str">
        <f>IF($E57="","",IF(EXACT(E57,IF($E57="","",VLOOKUP($E57,DataItems3[[Field + Options combined]:[Field]],1,FALSE)))=TRUE,"Yes","No"))</f>
        <v/>
      </c>
      <c r="G57" s="89" t="str">
        <f>IF($E57="","",VLOOKUP($E57,DataItems3[[Field + Options combined]:[Field]],3,FALSE))</f>
        <v/>
      </c>
      <c r="H57" s="47" t="str">
        <f>IF($E57="","",VLOOKUP($E57,DataItems3[[Field + Options combined]:[Field]],2,FALSE))</f>
        <v/>
      </c>
      <c r="I57" s="50" t="str">
        <f t="shared" si="0"/>
        <v/>
      </c>
    </row>
    <row r="58" spans="5:9" ht="17" thickBot="1" x14ac:dyDescent="0.25">
      <c r="E58" s="49"/>
      <c r="F58" s="41" t="str">
        <f>IF($E58="","",IF(EXACT(E58,IF($E58="","",VLOOKUP($E58,DataItems3[[Field + Options combined]:[Field]],1,FALSE)))=TRUE,"Yes","No"))</f>
        <v/>
      </c>
      <c r="G58" s="89" t="str">
        <f>IF($E58="","",VLOOKUP($E58,DataItems3[[Field + Options combined]:[Field]],3,FALSE))</f>
        <v/>
      </c>
      <c r="H58" s="47" t="str">
        <f>IF($E58="","",VLOOKUP($E58,DataItems3[[Field + Options combined]:[Field]],2,FALSE))</f>
        <v/>
      </c>
      <c r="I58" s="50" t="str">
        <f t="shared" si="0"/>
        <v/>
      </c>
    </row>
    <row r="59" spans="5:9" ht="17" thickBot="1" x14ac:dyDescent="0.25">
      <c r="E59" s="49"/>
      <c r="F59" s="41" t="str">
        <f>IF($E59="","",IF(EXACT(E59,IF($E59="","",VLOOKUP($E59,DataItems3[[Field + Options combined]:[Field]],1,FALSE)))=TRUE,"Yes","No"))</f>
        <v/>
      </c>
      <c r="G59" s="89" t="str">
        <f>IF($E59="","",VLOOKUP($E59,DataItems3[[Field + Options combined]:[Field]],3,FALSE))</f>
        <v/>
      </c>
      <c r="H59" s="47" t="str">
        <f>IF($E59="","",VLOOKUP($E59,DataItems3[[Field + Options combined]:[Field]],2,FALSE))</f>
        <v/>
      </c>
      <c r="I59" s="50" t="str">
        <f t="shared" si="0"/>
        <v/>
      </c>
    </row>
    <row r="60" spans="5:9" ht="17" thickBot="1" x14ac:dyDescent="0.25">
      <c r="E60" s="49"/>
      <c r="F60" s="41" t="str">
        <f>IF($E60="","",IF(EXACT(E60,IF($E60="","",VLOOKUP($E60,DataItems3[[Field + Options combined]:[Field]],1,FALSE)))=TRUE,"Yes","No"))</f>
        <v/>
      </c>
      <c r="G60" s="89" t="str">
        <f>IF($E60="","",VLOOKUP($E60,DataItems3[[Field + Options combined]:[Field]],3,FALSE))</f>
        <v/>
      </c>
      <c r="H60" s="47" t="str">
        <f>IF($E60="","",VLOOKUP($E60,DataItems3[[Field + Options combined]:[Field]],2,FALSE))</f>
        <v/>
      </c>
      <c r="I60" s="50" t="str">
        <f t="shared" si="0"/>
        <v/>
      </c>
    </row>
    <row r="61" spans="5:9" ht="17" thickBot="1" x14ac:dyDescent="0.25">
      <c r="E61" s="49"/>
      <c r="F61" s="41" t="str">
        <f>IF($E61="","",IF(EXACT(E61,IF($E61="","",VLOOKUP($E61,DataItems3[[Field + Options combined]:[Field]],1,FALSE)))=TRUE,"Yes","No"))</f>
        <v/>
      </c>
      <c r="G61" s="89" t="str">
        <f>IF($E61="","",VLOOKUP($E61,DataItems3[[Field + Options combined]:[Field]],3,FALSE))</f>
        <v/>
      </c>
      <c r="H61" s="47" t="str">
        <f>IF($E61="","",VLOOKUP($E61,DataItems3[[Field + Options combined]:[Field]],2,FALSE))</f>
        <v/>
      </c>
      <c r="I61" s="50" t="str">
        <f t="shared" si="0"/>
        <v/>
      </c>
    </row>
    <row r="62" spans="5:9" ht="17" thickBot="1" x14ac:dyDescent="0.25">
      <c r="E62" s="49"/>
      <c r="F62" s="41" t="str">
        <f>IF($E62="","",IF(EXACT(E62,IF($E62="","",VLOOKUP($E62,DataItems3[[Field + Options combined]:[Field]],1,FALSE)))=TRUE,"Yes","No"))</f>
        <v/>
      </c>
      <c r="G62" s="89" t="str">
        <f>IF($E62="","",VLOOKUP($E62,DataItems3[[Field + Options combined]:[Field]],3,FALSE))</f>
        <v/>
      </c>
      <c r="H62" s="47" t="str">
        <f>IF($E62="","",VLOOKUP($E62,DataItems3[[Field + Options combined]:[Field]],2,FALSE))</f>
        <v/>
      </c>
      <c r="I62" s="50" t="str">
        <f t="shared" si="0"/>
        <v/>
      </c>
    </row>
    <row r="63" spans="5:9" ht="17" thickBot="1" x14ac:dyDescent="0.25">
      <c r="E63" s="49"/>
      <c r="F63" s="41" t="str">
        <f>IF($E63="","",IF(EXACT(E63,IF($E63="","",VLOOKUP($E63,DataItems3[[Field + Options combined]:[Field]],1,FALSE)))=TRUE,"Yes","No"))</f>
        <v/>
      </c>
      <c r="G63" s="89" t="str">
        <f>IF($E63="","",VLOOKUP($E63,DataItems3[[Field + Options combined]:[Field]],3,FALSE))</f>
        <v/>
      </c>
      <c r="H63" s="47" t="str">
        <f>IF($E63="","",VLOOKUP($E63,DataItems3[[Field + Options combined]:[Field]],2,FALSE))</f>
        <v/>
      </c>
      <c r="I63" s="50" t="str">
        <f t="shared" si="0"/>
        <v/>
      </c>
    </row>
    <row r="64" spans="5:9" ht="17" thickBot="1" x14ac:dyDescent="0.25">
      <c r="E64" s="49"/>
      <c r="F64" s="41" t="str">
        <f>IF($E64="","",IF(EXACT(E64,IF($E64="","",VLOOKUP($E64,DataItems3[[Field + Options combined]:[Field]],1,FALSE)))=TRUE,"Yes","No"))</f>
        <v/>
      </c>
      <c r="G64" s="89" t="str">
        <f>IF($E64="","",VLOOKUP($E64,DataItems3[[Field + Options combined]:[Field]],3,FALSE))</f>
        <v/>
      </c>
      <c r="H64" s="47" t="str">
        <f>IF($E64="","",VLOOKUP($E64,DataItems3[[Field + Options combined]:[Field]],2,FALSE))</f>
        <v/>
      </c>
      <c r="I64" s="50" t="str">
        <f t="shared" si="0"/>
        <v/>
      </c>
    </row>
    <row r="65" spans="5:9" ht="17" thickBot="1" x14ac:dyDescent="0.25">
      <c r="E65" s="49"/>
      <c r="F65" s="41" t="str">
        <f>IF($E65="","",IF(EXACT(E65,IF($E65="","",VLOOKUP($E65,DataItems3[[Field + Options combined]:[Field]],1,FALSE)))=TRUE,"Yes","No"))</f>
        <v/>
      </c>
      <c r="G65" s="89" t="str">
        <f>IF($E65="","",VLOOKUP($E65,DataItems3[[Field + Options combined]:[Field]],3,FALSE))</f>
        <v/>
      </c>
      <c r="H65" s="47" t="str">
        <f>IF($E65="","",VLOOKUP($E65,DataItems3[[Field + Options combined]:[Field]],2,FALSE))</f>
        <v/>
      </c>
      <c r="I65" s="50" t="str">
        <f t="shared" si="0"/>
        <v/>
      </c>
    </row>
    <row r="66" spans="5:9" ht="17" thickBot="1" x14ac:dyDescent="0.25">
      <c r="E66" s="49"/>
      <c r="F66" s="41" t="str">
        <f>IF($E66="","",IF(EXACT(E66,IF($E66="","",VLOOKUP($E66,DataItems3[[Field + Options combined]:[Field]],1,FALSE)))=TRUE,"Yes","No"))</f>
        <v/>
      </c>
      <c r="G66" s="89" t="str">
        <f>IF($E66="","",VLOOKUP($E66,DataItems3[[Field + Options combined]:[Field]],3,FALSE))</f>
        <v/>
      </c>
      <c r="H66" s="47" t="str">
        <f>IF($E66="","",VLOOKUP($E66,DataItems3[[Field + Options combined]:[Field]],2,FALSE))</f>
        <v/>
      </c>
      <c r="I66" s="50" t="str">
        <f t="shared" si="0"/>
        <v/>
      </c>
    </row>
    <row r="67" spans="5:9" ht="17" thickBot="1" x14ac:dyDescent="0.25">
      <c r="E67" s="49"/>
      <c r="F67" s="41" t="str">
        <f>IF($E67="","",IF(EXACT(E67,IF($E67="","",VLOOKUP($E67,DataItems3[[Field + Options combined]:[Field]],1,FALSE)))=TRUE,"Yes","No"))</f>
        <v/>
      </c>
      <c r="G67" s="89" t="str">
        <f>IF($E67="","",VLOOKUP($E67,DataItems3[[Field + Options combined]:[Field]],3,FALSE))</f>
        <v/>
      </c>
      <c r="H67" s="47" t="str">
        <f>IF($E67="","",VLOOKUP($E67,DataItems3[[Field + Options combined]:[Field]],2,FALSE))</f>
        <v/>
      </c>
      <c r="I67" s="50" t="str">
        <f t="shared" si="0"/>
        <v/>
      </c>
    </row>
    <row r="68" spans="5:9" ht="17" thickBot="1" x14ac:dyDescent="0.25">
      <c r="E68" s="49"/>
      <c r="F68" s="41" t="str">
        <f>IF($E68="","",IF(EXACT(E68,IF($E68="","",VLOOKUP($E68,DataItems3[[Field + Options combined]:[Field]],1,FALSE)))=TRUE,"Yes","No"))</f>
        <v/>
      </c>
      <c r="G68" s="89" t="str">
        <f>IF($E68="","",VLOOKUP($E68,DataItems3[[Field + Options combined]:[Field]],3,FALSE))</f>
        <v/>
      </c>
      <c r="H68" s="47" t="str">
        <f>IF($E68="","",VLOOKUP($E68,DataItems3[[Field + Options combined]:[Field]],2,FALSE))</f>
        <v/>
      </c>
      <c r="I68" s="50" t="str">
        <f t="shared" si="0"/>
        <v/>
      </c>
    </row>
    <row r="69" spans="5:9" ht="17" thickBot="1" x14ac:dyDescent="0.25">
      <c r="E69" s="49"/>
      <c r="F69" s="41" t="str">
        <f>IF($E69="","",IF(EXACT(E69,IF($E69="","",VLOOKUP($E69,DataItems3[[Field + Options combined]:[Field]],1,FALSE)))=TRUE,"Yes","No"))</f>
        <v/>
      </c>
      <c r="G69" s="89" t="str">
        <f>IF($E69="","",VLOOKUP($E69,DataItems3[[Field + Options combined]:[Field]],3,FALSE))</f>
        <v/>
      </c>
      <c r="H69" s="47" t="str">
        <f>IF($E69="","",VLOOKUP($E69,DataItems3[[Field + Options combined]:[Field]],2,FALSE))</f>
        <v/>
      </c>
      <c r="I69" s="50" t="str">
        <f t="shared" ref="I69:I100" si="1">IFERROR(IF(H69&lt;&gt;"","",""),"Field does not exist")</f>
        <v/>
      </c>
    </row>
    <row r="70" spans="5:9" ht="17" thickBot="1" x14ac:dyDescent="0.25">
      <c r="E70" s="49"/>
      <c r="F70" s="41" t="str">
        <f>IF($E70="","",IF(EXACT(E70,IF($E70="","",VLOOKUP($E70,DataItems3[[Field + Options combined]:[Field]],1,FALSE)))=TRUE,"Yes","No"))</f>
        <v/>
      </c>
      <c r="G70" s="89" t="str">
        <f>IF($E70="","",VLOOKUP($E70,DataItems3[[Field + Options combined]:[Field]],3,FALSE))</f>
        <v/>
      </c>
      <c r="H70" s="47" t="str">
        <f>IF($E70="","",VLOOKUP($E70,DataItems3[[Field + Options combined]:[Field]],2,FALSE))</f>
        <v/>
      </c>
      <c r="I70" s="50" t="str">
        <f t="shared" si="1"/>
        <v/>
      </c>
    </row>
    <row r="71" spans="5:9" ht="17" thickBot="1" x14ac:dyDescent="0.25">
      <c r="E71" s="49"/>
      <c r="F71" s="41" t="str">
        <f>IF($E71="","",IF(EXACT(E71,IF($E71="","",VLOOKUP($E71,DataItems3[[Field + Options combined]:[Field]],1,FALSE)))=TRUE,"Yes","No"))</f>
        <v/>
      </c>
      <c r="G71" s="89" t="str">
        <f>IF($E71="","",VLOOKUP($E71,DataItems3[[Field + Options combined]:[Field]],3,FALSE))</f>
        <v/>
      </c>
      <c r="H71" s="47" t="str">
        <f>IF($E71="","",VLOOKUP($E71,DataItems3[[Field + Options combined]:[Field]],2,FALSE))</f>
        <v/>
      </c>
      <c r="I71" s="50" t="str">
        <f t="shared" si="1"/>
        <v/>
      </c>
    </row>
    <row r="72" spans="5:9" ht="17" thickBot="1" x14ac:dyDescent="0.25">
      <c r="E72" s="49"/>
      <c r="F72" s="41" t="str">
        <f>IF($E72="","",IF(EXACT(E72,IF($E72="","",VLOOKUP($E72,DataItems3[[Field + Options combined]:[Field]],1,FALSE)))=TRUE,"Yes","No"))</f>
        <v/>
      </c>
      <c r="G72" s="89" t="str">
        <f>IF($E72="","",VLOOKUP($E72,DataItems3[[Field + Options combined]:[Field]],3,FALSE))</f>
        <v/>
      </c>
      <c r="H72" s="47" t="str">
        <f>IF($E72="","",VLOOKUP($E72,DataItems3[[Field + Options combined]:[Field]],2,FALSE))</f>
        <v/>
      </c>
      <c r="I72" s="50" t="str">
        <f t="shared" si="1"/>
        <v/>
      </c>
    </row>
    <row r="73" spans="5:9" ht="17" thickBot="1" x14ac:dyDescent="0.25">
      <c r="E73" s="49"/>
      <c r="F73" s="41" t="str">
        <f>IF($E73="","",IF(EXACT(E73,IF($E73="","",VLOOKUP($E73,DataItems3[[Field + Options combined]:[Field]],1,FALSE)))=TRUE,"Yes","No"))</f>
        <v/>
      </c>
      <c r="G73" s="89" t="str">
        <f>IF($E73="","",VLOOKUP($E73,DataItems3[[Field + Options combined]:[Field]],3,FALSE))</f>
        <v/>
      </c>
      <c r="H73" s="47" t="str">
        <f>IF($E73="","",VLOOKUP($E73,DataItems3[[Field + Options combined]:[Field]],2,FALSE))</f>
        <v/>
      </c>
      <c r="I73" s="50" t="str">
        <f t="shared" si="1"/>
        <v/>
      </c>
    </row>
    <row r="74" spans="5:9" ht="17" thickBot="1" x14ac:dyDescent="0.25">
      <c r="E74" s="49"/>
      <c r="F74" s="41" t="str">
        <f>IF($E74="","",IF(EXACT(E74,IF($E74="","",VLOOKUP($E74,DataItems3[[Field + Options combined]:[Field]],1,FALSE)))=TRUE,"Yes","No"))</f>
        <v/>
      </c>
      <c r="G74" s="89" t="str">
        <f>IF($E74="","",VLOOKUP($E74,DataItems3[[Field + Options combined]:[Field]],3,FALSE))</f>
        <v/>
      </c>
      <c r="H74" s="47" t="str">
        <f>IF($E74="","",VLOOKUP($E74,DataItems3[[Field + Options combined]:[Field]],2,FALSE))</f>
        <v/>
      </c>
      <c r="I74" s="50" t="str">
        <f t="shared" si="1"/>
        <v/>
      </c>
    </row>
    <row r="75" spans="5:9" ht="17" thickBot="1" x14ac:dyDescent="0.25">
      <c r="E75" s="49"/>
      <c r="F75" s="41" t="str">
        <f>IF($E75="","",IF(EXACT(E75,IF($E75="","",VLOOKUP($E75,DataItems3[[Field + Options combined]:[Field]],1,FALSE)))=TRUE,"Yes","No"))</f>
        <v/>
      </c>
      <c r="G75" s="89" t="str">
        <f>IF($E75="","",VLOOKUP($E75,DataItems3[[Field + Options combined]:[Field]],3,FALSE))</f>
        <v/>
      </c>
      <c r="H75" s="47" t="str">
        <f>IF($E75="","",VLOOKUP($E75,DataItems3[[Field + Options combined]:[Field]],2,FALSE))</f>
        <v/>
      </c>
      <c r="I75" s="50" t="str">
        <f t="shared" si="1"/>
        <v/>
      </c>
    </row>
    <row r="76" spans="5:9" ht="17" thickBot="1" x14ac:dyDescent="0.25">
      <c r="E76" s="49"/>
      <c r="F76" s="41" t="str">
        <f>IF($E76="","",IF(EXACT(E76,IF($E76="","",VLOOKUP($E76,DataItems3[[Field + Options combined]:[Field]],1,FALSE)))=TRUE,"Yes","No"))</f>
        <v/>
      </c>
      <c r="G76" s="89" t="str">
        <f>IF($E76="","",VLOOKUP($E76,DataItems3[[Field + Options combined]:[Field]],3,FALSE))</f>
        <v/>
      </c>
      <c r="H76" s="47" t="str">
        <f>IF($E76="","",VLOOKUP($E76,DataItems3[[Field + Options combined]:[Field]],2,FALSE))</f>
        <v/>
      </c>
      <c r="I76" s="50" t="str">
        <f t="shared" si="1"/>
        <v/>
      </c>
    </row>
    <row r="77" spans="5:9" ht="17" thickBot="1" x14ac:dyDescent="0.25">
      <c r="E77" s="49"/>
      <c r="F77" s="41" t="str">
        <f>IF($E77="","",IF(EXACT(E77,IF($E77="","",VLOOKUP($E77,DataItems3[[Field + Options combined]:[Field]],1,FALSE)))=TRUE,"Yes","No"))</f>
        <v/>
      </c>
      <c r="G77" s="89" t="str">
        <f>IF($E77="","",VLOOKUP($E77,DataItems3[[Field + Options combined]:[Field]],3,FALSE))</f>
        <v/>
      </c>
      <c r="H77" s="47" t="str">
        <f>IF($E77="","",VLOOKUP($E77,DataItems3[[Field + Options combined]:[Field]],2,FALSE))</f>
        <v/>
      </c>
      <c r="I77" s="50" t="str">
        <f t="shared" si="1"/>
        <v/>
      </c>
    </row>
    <row r="78" spans="5:9" ht="17" thickBot="1" x14ac:dyDescent="0.25">
      <c r="E78" s="49"/>
      <c r="F78" s="41" t="str">
        <f>IF($E78="","",IF(EXACT(E78,IF($E78="","",VLOOKUP($E78,DataItems3[[Field + Options combined]:[Field]],1,FALSE)))=TRUE,"Yes","No"))</f>
        <v/>
      </c>
      <c r="G78" s="89" t="str">
        <f>IF($E78="","",VLOOKUP($E78,DataItems3[[Field + Options combined]:[Field]],3,FALSE))</f>
        <v/>
      </c>
      <c r="H78" s="47" t="str">
        <f>IF($E78="","",VLOOKUP($E78,DataItems3[[Field + Options combined]:[Field]],2,FALSE))</f>
        <v/>
      </c>
      <c r="I78" s="50" t="str">
        <f t="shared" si="1"/>
        <v/>
      </c>
    </row>
    <row r="79" spans="5:9" ht="17" thickBot="1" x14ac:dyDescent="0.25">
      <c r="E79" s="49"/>
      <c r="F79" s="41" t="str">
        <f>IF($E79="","",IF(EXACT(E79,IF($E79="","",VLOOKUP($E79,DataItems3[[Field + Options combined]:[Field]],1,FALSE)))=TRUE,"Yes","No"))</f>
        <v/>
      </c>
      <c r="G79" s="89" t="str">
        <f>IF($E79="","",VLOOKUP($E79,DataItems3[[Field + Options combined]:[Field]],3,FALSE))</f>
        <v/>
      </c>
      <c r="H79" s="47" t="str">
        <f>IF($E79="","",VLOOKUP($E79,DataItems3[[Field + Options combined]:[Field]],2,FALSE))</f>
        <v/>
      </c>
      <c r="I79" s="50" t="str">
        <f t="shared" si="1"/>
        <v/>
      </c>
    </row>
    <row r="80" spans="5:9" ht="17" thickBot="1" x14ac:dyDescent="0.25">
      <c r="E80" s="49"/>
      <c r="F80" s="41" t="str">
        <f>IF($E80="","",IF(EXACT(E80,IF($E80="","",VLOOKUP($E80,DataItems3[[Field + Options combined]:[Field]],1,FALSE)))=TRUE,"Yes","No"))</f>
        <v/>
      </c>
      <c r="G80" s="89" t="str">
        <f>IF($E80="","",VLOOKUP($E80,DataItems3[[Field + Options combined]:[Field]],3,FALSE))</f>
        <v/>
      </c>
      <c r="H80" s="47" t="str">
        <f>IF($E80="","",VLOOKUP($E80,DataItems3[[Field + Options combined]:[Field]],2,FALSE))</f>
        <v/>
      </c>
      <c r="I80" s="50" t="str">
        <f t="shared" si="1"/>
        <v/>
      </c>
    </row>
    <row r="81" spans="5:9" ht="17" thickBot="1" x14ac:dyDescent="0.25">
      <c r="E81" s="49"/>
      <c r="F81" s="41" t="str">
        <f>IF($E81="","",IF(EXACT(E81,IF($E81="","",VLOOKUP($E81,DataItems3[[Field + Options combined]:[Field]],1,FALSE)))=TRUE,"Yes","No"))</f>
        <v/>
      </c>
      <c r="G81" s="89" t="str">
        <f>IF($E81="","",VLOOKUP($E81,DataItems3[[Field + Options combined]:[Field]],3,FALSE))</f>
        <v/>
      </c>
      <c r="H81" s="47" t="str">
        <f>IF($E81="","",VLOOKUP($E81,DataItems3[[Field + Options combined]:[Field]],2,FALSE))</f>
        <v/>
      </c>
      <c r="I81" s="50" t="str">
        <f t="shared" si="1"/>
        <v/>
      </c>
    </row>
    <row r="82" spans="5:9" ht="17" thickBot="1" x14ac:dyDescent="0.25">
      <c r="E82" s="49"/>
      <c r="F82" s="41" t="str">
        <f>IF($E82="","",IF(EXACT(E82,IF($E82="","",VLOOKUP($E82,DataItems3[[Field + Options combined]:[Field]],1,FALSE)))=TRUE,"Yes","No"))</f>
        <v/>
      </c>
      <c r="G82" s="89" t="str">
        <f>IF($E82="","",VLOOKUP($E82,DataItems3[[Field + Options combined]:[Field]],3,FALSE))</f>
        <v/>
      </c>
      <c r="H82" s="47" t="str">
        <f>IF($E82="","",VLOOKUP($E82,DataItems3[[Field + Options combined]:[Field]],2,FALSE))</f>
        <v/>
      </c>
      <c r="I82" s="50" t="str">
        <f t="shared" si="1"/>
        <v/>
      </c>
    </row>
    <row r="83" spans="5:9" ht="17" thickBot="1" x14ac:dyDescent="0.25">
      <c r="E83" s="49"/>
      <c r="F83" s="41" t="str">
        <f>IF($E83="","",IF(EXACT(E83,IF($E83="","",VLOOKUP($E83,DataItems3[[Field + Options combined]:[Field]],1,FALSE)))=TRUE,"Yes","No"))</f>
        <v/>
      </c>
      <c r="G83" s="89" t="str">
        <f>IF($E83="","",VLOOKUP($E83,DataItems3[[Field + Options combined]:[Field]],3,FALSE))</f>
        <v/>
      </c>
      <c r="H83" s="47" t="str">
        <f>IF($E83="","",VLOOKUP($E83,DataItems3[[Field + Options combined]:[Field]],2,FALSE))</f>
        <v/>
      </c>
      <c r="I83" s="50" t="str">
        <f t="shared" si="1"/>
        <v/>
      </c>
    </row>
    <row r="84" spans="5:9" ht="17" thickBot="1" x14ac:dyDescent="0.25">
      <c r="E84" s="49"/>
      <c r="F84" s="41" t="str">
        <f>IF($E84="","",IF(EXACT(E84,IF($E84="","",VLOOKUP($E84,DataItems3[[Field + Options combined]:[Field]],1,FALSE)))=TRUE,"Yes","No"))</f>
        <v/>
      </c>
      <c r="G84" s="89" t="str">
        <f>IF($E84="","",VLOOKUP($E84,DataItems3[[Field + Options combined]:[Field]],3,FALSE))</f>
        <v/>
      </c>
      <c r="H84" s="47" t="str">
        <f>IF($E84="","",VLOOKUP($E84,DataItems3[[Field + Options combined]:[Field]],2,FALSE))</f>
        <v/>
      </c>
      <c r="I84" s="50" t="str">
        <f t="shared" si="1"/>
        <v/>
      </c>
    </row>
    <row r="85" spans="5:9" ht="17" thickBot="1" x14ac:dyDescent="0.25">
      <c r="E85" s="49"/>
      <c r="F85" s="41" t="str">
        <f>IF($E85="","",IF(EXACT(E85,IF($E85="","",VLOOKUP($E85,DataItems3[[Field + Options combined]:[Field]],1,FALSE)))=TRUE,"Yes","No"))</f>
        <v/>
      </c>
      <c r="G85" s="89" t="str">
        <f>IF($E85="","",VLOOKUP($E85,DataItems3[[Field + Options combined]:[Field]],3,FALSE))</f>
        <v/>
      </c>
      <c r="H85" s="47" t="str">
        <f>IF($E85="","",VLOOKUP($E85,DataItems3[[Field + Options combined]:[Field]],2,FALSE))</f>
        <v/>
      </c>
      <c r="I85" s="50" t="str">
        <f t="shared" si="1"/>
        <v/>
      </c>
    </row>
    <row r="86" spans="5:9" ht="17" thickBot="1" x14ac:dyDescent="0.25">
      <c r="E86" s="49"/>
      <c r="F86" s="41" t="str">
        <f>IF($E86="","",IF(EXACT(E86,IF($E86="","",VLOOKUP($E86,DataItems3[[Field + Options combined]:[Field]],1,FALSE)))=TRUE,"Yes","No"))</f>
        <v/>
      </c>
      <c r="G86" s="89" t="str">
        <f>IF($E86="","",VLOOKUP($E86,DataItems3[[Field + Options combined]:[Field]],3,FALSE))</f>
        <v/>
      </c>
      <c r="H86" s="47" t="str">
        <f>IF($E86="","",VLOOKUP($E86,DataItems3[[Field + Options combined]:[Field]],2,FALSE))</f>
        <v/>
      </c>
      <c r="I86" s="50" t="str">
        <f t="shared" si="1"/>
        <v/>
      </c>
    </row>
    <row r="87" spans="5:9" ht="17" thickBot="1" x14ac:dyDescent="0.25">
      <c r="E87" s="49"/>
      <c r="F87" s="41" t="str">
        <f>IF($E87="","",IF(EXACT(E87,IF($E87="","",VLOOKUP($E87,DataItems3[[Field + Options combined]:[Field]],1,FALSE)))=TRUE,"Yes","No"))</f>
        <v/>
      </c>
      <c r="G87" s="89" t="str">
        <f>IF($E87="","",VLOOKUP($E87,DataItems3[[Field + Options combined]:[Field]],3,FALSE))</f>
        <v/>
      </c>
      <c r="H87" s="47" t="str">
        <f>IF($E87="","",VLOOKUP($E87,DataItems3[[Field + Options combined]:[Field]],2,FALSE))</f>
        <v/>
      </c>
      <c r="I87" s="50" t="str">
        <f t="shared" si="1"/>
        <v/>
      </c>
    </row>
    <row r="88" spans="5:9" ht="17" thickBot="1" x14ac:dyDescent="0.25">
      <c r="E88" s="49"/>
      <c r="F88" s="41" t="str">
        <f>IF($E88="","",IF(EXACT(E88,IF($E88="","",VLOOKUP($E88,DataItems3[[Field + Options combined]:[Field]],1,FALSE)))=TRUE,"Yes","No"))</f>
        <v/>
      </c>
      <c r="G88" s="89" t="str">
        <f>IF($E88="","",VLOOKUP($E88,DataItems3[[Field + Options combined]:[Field]],3,FALSE))</f>
        <v/>
      </c>
      <c r="H88" s="47" t="str">
        <f>IF($E88="","",VLOOKUP($E88,DataItems3[[Field + Options combined]:[Field]],2,FALSE))</f>
        <v/>
      </c>
      <c r="I88" s="50" t="str">
        <f t="shared" si="1"/>
        <v/>
      </c>
    </row>
    <row r="89" spans="5:9" ht="17" thickBot="1" x14ac:dyDescent="0.25">
      <c r="E89" s="49"/>
      <c r="F89" s="41" t="str">
        <f>IF($E89="","",IF(EXACT(E89,IF($E89="","",VLOOKUP($E89,DataItems3[[Field + Options combined]:[Field]],1,FALSE)))=TRUE,"Yes","No"))</f>
        <v/>
      </c>
      <c r="G89" s="89" t="str">
        <f>IF($E89="","",VLOOKUP($E89,DataItems3[[Field + Options combined]:[Field]],3,FALSE))</f>
        <v/>
      </c>
      <c r="H89" s="47" t="str">
        <f>IF($E89="","",VLOOKUP($E89,DataItems3[[Field + Options combined]:[Field]],2,FALSE))</f>
        <v/>
      </c>
      <c r="I89" s="50" t="str">
        <f t="shared" si="1"/>
        <v/>
      </c>
    </row>
    <row r="90" spans="5:9" ht="17" thickBot="1" x14ac:dyDescent="0.25">
      <c r="E90" s="49"/>
      <c r="F90" s="41" t="str">
        <f>IF($E90="","",IF(EXACT(E90,IF($E90="","",VLOOKUP($E90,DataItems3[[Field + Options combined]:[Field]],1,FALSE)))=TRUE,"Yes","No"))</f>
        <v/>
      </c>
      <c r="G90" s="89" t="str">
        <f>IF($E90="","",VLOOKUP($E90,DataItems3[[Field + Options combined]:[Field]],3,FALSE))</f>
        <v/>
      </c>
      <c r="H90" s="47" t="str">
        <f>IF($E90="","",VLOOKUP($E90,DataItems3[[Field + Options combined]:[Field]],2,FALSE))</f>
        <v/>
      </c>
      <c r="I90" s="50" t="str">
        <f t="shared" si="1"/>
        <v/>
      </c>
    </row>
    <row r="91" spans="5:9" ht="17" thickBot="1" x14ac:dyDescent="0.25">
      <c r="E91" s="49"/>
      <c r="F91" s="41" t="str">
        <f>IF($E91="","",IF(EXACT(E91,IF($E91="","",VLOOKUP($E91,DataItems3[[Field + Options combined]:[Field]],1,FALSE)))=TRUE,"Yes","No"))</f>
        <v/>
      </c>
      <c r="G91" s="89" t="str">
        <f>IF($E91="","",VLOOKUP($E91,DataItems3[[Field + Options combined]:[Field]],3,FALSE))</f>
        <v/>
      </c>
      <c r="H91" s="47" t="str">
        <f>IF($E91="","",VLOOKUP($E91,DataItems3[[Field + Options combined]:[Field]],2,FALSE))</f>
        <v/>
      </c>
      <c r="I91" s="50" t="str">
        <f t="shared" si="1"/>
        <v/>
      </c>
    </row>
    <row r="92" spans="5:9" ht="17" thickBot="1" x14ac:dyDescent="0.25">
      <c r="E92" s="49"/>
      <c r="F92" s="41" t="str">
        <f>IF($E92="","",IF(EXACT(E92,IF($E92="","",VLOOKUP($E92,DataItems3[[Field + Options combined]:[Field]],1,FALSE)))=TRUE,"Yes","No"))</f>
        <v/>
      </c>
      <c r="G92" s="89" t="str">
        <f>IF($E92="","",VLOOKUP($E92,DataItems3[[Field + Options combined]:[Field]],3,FALSE))</f>
        <v/>
      </c>
      <c r="H92" s="47" t="str">
        <f>IF($E92="","",VLOOKUP($E92,DataItems3[[Field + Options combined]:[Field]],2,FALSE))</f>
        <v/>
      </c>
      <c r="I92" s="50" t="str">
        <f t="shared" si="1"/>
        <v/>
      </c>
    </row>
    <row r="93" spans="5:9" ht="17" thickBot="1" x14ac:dyDescent="0.25">
      <c r="E93" s="49"/>
      <c r="F93" s="41" t="str">
        <f>IF($E93="","",IF(EXACT(E93,IF($E93="","",VLOOKUP($E93,DataItems3[[Field + Options combined]:[Field]],1,FALSE)))=TRUE,"Yes","No"))</f>
        <v/>
      </c>
      <c r="G93" s="89" t="str">
        <f>IF($E93="","",VLOOKUP($E93,DataItems3[[Field + Options combined]:[Field]],3,FALSE))</f>
        <v/>
      </c>
      <c r="H93" s="47" t="str">
        <f>IF($E93="","",VLOOKUP($E93,DataItems3[[Field + Options combined]:[Field]],2,FALSE))</f>
        <v/>
      </c>
      <c r="I93" s="50" t="str">
        <f t="shared" si="1"/>
        <v/>
      </c>
    </row>
    <row r="94" spans="5:9" ht="17" thickBot="1" x14ac:dyDescent="0.25">
      <c r="E94" s="49"/>
      <c r="F94" s="41" t="str">
        <f>IF($E94="","",IF(EXACT(E94,IF($E94="","",VLOOKUP($E94,DataItems3[[Field + Options combined]:[Field]],1,FALSE)))=TRUE,"Yes","No"))</f>
        <v/>
      </c>
      <c r="G94" s="89" t="str">
        <f>IF($E94="","",VLOOKUP($E94,DataItems3[[Field + Options combined]:[Field]],3,FALSE))</f>
        <v/>
      </c>
      <c r="H94" s="47" t="str">
        <f>IF($E94="","",VLOOKUP($E94,DataItems3[[Field + Options combined]:[Field]],2,FALSE))</f>
        <v/>
      </c>
      <c r="I94" s="50" t="str">
        <f t="shared" si="1"/>
        <v/>
      </c>
    </row>
    <row r="95" spans="5:9" ht="17" thickBot="1" x14ac:dyDescent="0.25">
      <c r="E95" s="49"/>
      <c r="F95" s="41" t="str">
        <f>IF($E95="","",IF(EXACT(E95,IF($E95="","",VLOOKUP($E95,DataItems3[[Field + Options combined]:[Field]],1,FALSE)))=TRUE,"Yes","No"))</f>
        <v/>
      </c>
      <c r="G95" s="89" t="str">
        <f>IF($E95="","",VLOOKUP($E95,DataItems3[[Field + Options combined]:[Field]],3,FALSE))</f>
        <v/>
      </c>
      <c r="H95" s="47" t="str">
        <f>IF($E95="","",VLOOKUP($E95,DataItems3[[Field + Options combined]:[Field]],2,FALSE))</f>
        <v/>
      </c>
      <c r="I95" s="50" t="str">
        <f t="shared" si="1"/>
        <v/>
      </c>
    </row>
    <row r="96" spans="5:9" ht="17" thickBot="1" x14ac:dyDescent="0.25">
      <c r="E96" s="49"/>
      <c r="F96" s="41" t="str">
        <f>IF($E96="","",IF(EXACT(E96,IF($E96="","",VLOOKUP($E96,DataItems3[[Field + Options combined]:[Field]],1,FALSE)))=TRUE,"Yes","No"))</f>
        <v/>
      </c>
      <c r="G96" s="89" t="str">
        <f>IF($E96="","",VLOOKUP($E96,DataItems3[[Field + Options combined]:[Field]],3,FALSE))</f>
        <v/>
      </c>
      <c r="H96" s="47" t="str">
        <f>IF($E96="","",VLOOKUP($E96,DataItems3[[Field + Options combined]:[Field]],2,FALSE))</f>
        <v/>
      </c>
      <c r="I96" s="50" t="str">
        <f t="shared" si="1"/>
        <v/>
      </c>
    </row>
    <row r="97" spans="5:9" ht="17" thickBot="1" x14ac:dyDescent="0.25">
      <c r="E97" s="49"/>
      <c r="F97" s="41" t="str">
        <f>IF($E97="","",IF(EXACT(E97,IF($E97="","",VLOOKUP($E97,DataItems3[[Field + Options combined]:[Field]],1,FALSE)))=TRUE,"Yes","No"))</f>
        <v/>
      </c>
      <c r="G97" s="89" t="str">
        <f>IF($E97="","",VLOOKUP($E97,DataItems3[[Field + Options combined]:[Field]],3,FALSE))</f>
        <v/>
      </c>
      <c r="H97" s="47" t="str">
        <f>IF($E97="","",VLOOKUP($E97,DataItems3[[Field + Options combined]:[Field]],2,FALSE))</f>
        <v/>
      </c>
      <c r="I97" s="50" t="str">
        <f t="shared" si="1"/>
        <v/>
      </c>
    </row>
    <row r="98" spans="5:9" ht="17" thickBot="1" x14ac:dyDescent="0.25">
      <c r="E98" s="49"/>
      <c r="F98" s="41" t="str">
        <f>IF($E98="","",IF(EXACT(E98,IF($E98="","",VLOOKUP($E98,DataItems3[[Field + Options combined]:[Field]],1,FALSE)))=TRUE,"Yes","No"))</f>
        <v/>
      </c>
      <c r="G98" s="89" t="str">
        <f>IF($E98="","",VLOOKUP($E98,DataItems3[[Field + Options combined]:[Field]],3,FALSE))</f>
        <v/>
      </c>
      <c r="H98" s="47" t="str">
        <f>IF($E98="","",VLOOKUP($E98,DataItems3[[Field + Options combined]:[Field]],2,FALSE))</f>
        <v/>
      </c>
      <c r="I98" s="50" t="str">
        <f t="shared" si="1"/>
        <v/>
      </c>
    </row>
    <row r="99" spans="5:9" ht="17" thickBot="1" x14ac:dyDescent="0.25">
      <c r="E99" s="49"/>
      <c r="F99" s="41" t="str">
        <f>IF($E99="","",IF(EXACT(E99,IF($E99="","",VLOOKUP($E99,DataItems3[[Field + Options combined]:[Field]],1,FALSE)))=TRUE,"Yes","No"))</f>
        <v/>
      </c>
      <c r="G99" s="89" t="str">
        <f>IF($E99="","",VLOOKUP($E99,DataItems3[[Field + Options combined]:[Field]],3,FALSE))</f>
        <v/>
      </c>
      <c r="H99" s="47" t="str">
        <f>IF($E99="","",VLOOKUP($E99,DataItems3[[Field + Options combined]:[Field]],2,FALSE))</f>
        <v/>
      </c>
      <c r="I99" s="50" t="str">
        <f t="shared" si="1"/>
        <v/>
      </c>
    </row>
    <row r="100" spans="5:9" ht="17" thickBot="1" x14ac:dyDescent="0.25">
      <c r="E100" s="51"/>
      <c r="F100" s="52" t="str">
        <f>IF($E100="","",IF(EXACT(E100,IF($E100="","",VLOOKUP($E100,DataItems3[[Field + Options combined]:[Field]],1,FALSE)))=TRUE,"Yes","No"))</f>
        <v/>
      </c>
      <c r="G100" s="90" t="str">
        <f>IF($E100="","",VLOOKUP($E100,DataItems3[[Field + Options combined]:[Field]],3,FALSE))</f>
        <v/>
      </c>
      <c r="H100" s="47" t="str">
        <f>IF($E100="","",VLOOKUP($E100,DataItems3[[Field + Options combined]:[Field]],2,FALSE))</f>
        <v/>
      </c>
      <c r="I100" s="53" t="str">
        <f t="shared" si="1"/>
        <v/>
      </c>
    </row>
  </sheetData>
  <sheetProtection algorithmName="SHA-512" hashValue="wcaHWtg0dVJcwAfdFkdnLQgmraVAEABLjZ0UXEfKIWLHZI2dQLSm7nlCgbrtufzgUvkjwrgvbQETJP2x2Kzbeg==" saltValue="DT5guP5AJvoe3AtX6r+yvA==" spinCount="100000" sheet="1" objects="1" scenarios="1"/>
  <mergeCells count="1">
    <mergeCell ref="A1:I1"/>
  </mergeCells>
  <conditionalFormatting sqref="A3">
    <cfRule type="cellIs" dxfId="23" priority="9" operator="equal">
      <formula>0</formula>
    </cfRule>
    <cfRule type="cellIs" dxfId="22" priority="8" operator="notEqual">
      <formula>0</formula>
    </cfRule>
  </conditionalFormatting>
  <conditionalFormatting sqref="A6">
    <cfRule type="cellIs" dxfId="21" priority="7" operator="equal">
      <formula>0</formula>
    </cfRule>
    <cfRule type="cellIs" dxfId="20" priority="6" operator="notEqual">
      <formula>0</formula>
    </cfRule>
  </conditionalFormatting>
  <conditionalFormatting sqref="A9">
    <cfRule type="cellIs" dxfId="19" priority="5" operator="equal">
      <formula>0</formula>
    </cfRule>
    <cfRule type="cellIs" dxfId="18" priority="4" operator="notEqual">
      <formula>0</formula>
    </cfRule>
  </conditionalFormatting>
  <conditionalFormatting sqref="C2">
    <cfRule type="cellIs" dxfId="17" priority="17" operator="notEqual">
      <formula>0</formula>
    </cfRule>
  </conditionalFormatting>
  <conditionalFormatting sqref="C5">
    <cfRule type="cellIs" dxfId="16" priority="41" operator="equal">
      <formula>"Please select data format"</formula>
    </cfRule>
    <cfRule type="cellIs" dxfId="15" priority="40" operator="notEqual">
      <formula>"Please select data format"</formula>
    </cfRule>
  </conditionalFormatting>
  <conditionalFormatting sqref="C8">
    <cfRule type="cellIs" dxfId="14" priority="38" operator="notEqual">
      <formula>"Please select dataset"</formula>
    </cfRule>
    <cfRule type="cellIs" dxfId="13" priority="39" operator="equal">
      <formula>"Please select dataset"</formula>
    </cfRule>
  </conditionalFormatting>
  <conditionalFormatting sqref="C11">
    <cfRule type="cellIs" dxfId="12" priority="34" operator="notEqual">
      <formula>0</formula>
    </cfRule>
    <cfRule type="cellIs" dxfId="11" priority="35" operator="equal">
      <formula>0</formula>
    </cfRule>
  </conditionalFormatting>
  <conditionalFormatting sqref="C13">
    <cfRule type="cellIs" dxfId="10" priority="32" operator="notEqual">
      <formula>0</formula>
    </cfRule>
    <cfRule type="cellIs" dxfId="9" priority="33" operator="equal">
      <formula>0</formula>
    </cfRule>
  </conditionalFormatting>
  <conditionalFormatting sqref="C15">
    <cfRule type="cellIs" dxfId="8" priority="2" operator="notEqual">
      <formula>0</formula>
    </cfRule>
    <cfRule type="cellIs" dxfId="7" priority="3" operator="equal">
      <formula>0</formula>
    </cfRule>
  </conditionalFormatting>
  <conditionalFormatting sqref="C16:C19">
    <cfRule type="expression" dxfId="6" priority="23">
      <formula>$C$15=0</formula>
    </cfRule>
    <cfRule type="expression" dxfId="5" priority="22">
      <formula>$C$15&lt;&gt;0</formula>
    </cfRule>
  </conditionalFormatting>
  <conditionalFormatting sqref="C22">
    <cfRule type="cellIs" dxfId="4" priority="36" operator="notEqual">
      <formula>"Please select total"</formula>
    </cfRule>
    <cfRule type="cellIs" dxfId="3" priority="37" operator="equal">
      <formula>"Please select total"</formula>
    </cfRule>
  </conditionalFormatting>
  <conditionalFormatting sqref="F3:F100">
    <cfRule type="cellIs" dxfId="2" priority="1" operator="equal">
      <formula>"No"</formula>
    </cfRule>
  </conditionalFormatting>
  <conditionalFormatting sqref="G3:G100">
    <cfRule type="expression" dxfId="1" priority="12">
      <formula>ISNA(G3)</formula>
    </cfRule>
  </conditionalFormatting>
  <conditionalFormatting sqref="I3:I100">
    <cfRule type="cellIs" dxfId="0" priority="13" operator="equal">
      <formula>"Field does not exist"</formula>
    </cfRule>
  </conditionalFormatting>
  <pageMargins left="0.7" right="0.7" top="0.75" bottom="0.75" header="0.3" footer="0.3"/>
  <pageSetup paperSize="9" orientation="portrait" r:id="rId1"/>
  <ignoredErrors>
    <ignoredError sqref="F3" unlockedFormula="1"/>
  </ignoredErrors>
  <extLst>
    <ext xmlns:x14="http://schemas.microsoft.com/office/spreadsheetml/2009/9/main" uri="{CCE6A557-97BC-4b89-ADB6-D9C93CAAB3DF}">
      <x14:dataValidations xmlns:xm="http://schemas.microsoft.com/office/excel/2006/main" count="3">
        <x14:dataValidation type="list" allowBlank="1" showInputMessage="1" showErrorMessage="1" xr:uid="{66A9DC84-BDF3-4D57-B1AB-4BBE0F42E904}">
          <x14:formula1>
            <xm:f>Lists!$C$3:$C$27</xm:f>
          </x14:formula1>
          <xm:sqref>C22</xm:sqref>
        </x14:dataValidation>
        <x14:dataValidation type="list" allowBlank="1" showInputMessage="1" showErrorMessage="1" xr:uid="{F5FADFF6-0012-4A44-8579-49C81AA1C5A8}">
          <x14:formula1>
            <xm:f>Lists!$B$3:$B$20</xm:f>
          </x14:formula1>
          <xm:sqref>C8</xm:sqref>
        </x14:dataValidation>
        <x14:dataValidation type="list" allowBlank="1" showInputMessage="1" showErrorMessage="1" xr:uid="{7E240DCA-38C5-4697-9E77-EF2FD7E524D7}">
          <x14:formula1>
            <xm:f>Lists!$A$3:$A$1313</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DB62-FDF3-4D9D-A522-F9D9E0A4872D}">
  <sheetPr codeName="Sheet1">
    <pageSetUpPr autoPageBreaks="0"/>
  </sheetPr>
  <dimension ref="A1:AM878"/>
  <sheetViews>
    <sheetView showGridLines="0" zoomScaleNormal="100" workbookViewId="0">
      <pane xSplit="2" ySplit="4" topLeftCell="C78" activePane="bottomRight" state="frozen"/>
      <selection pane="topRight" activeCell="C1" sqref="C1"/>
      <selection pane="bottomLeft" activeCell="A5" sqref="A5"/>
      <selection pane="bottomRight" activeCell="C1" sqref="C1:C1048576"/>
    </sheetView>
  </sheetViews>
  <sheetFormatPr baseColWidth="10" defaultColWidth="8.83203125" defaultRowHeight="15" customHeight="1" x14ac:dyDescent="0.2"/>
  <cols>
    <col min="1" max="1" width="15.5" bestFit="1" customWidth="1"/>
    <col min="2" max="2" width="68.5" customWidth="1"/>
    <col min="3" max="3" width="15.5" bestFit="1" customWidth="1"/>
    <col min="4" max="4" width="19.5" style="3" bestFit="1" customWidth="1"/>
    <col min="5" max="5" width="22.5" style="3" customWidth="1"/>
    <col min="6" max="6" width="34.5" style="3" customWidth="1"/>
    <col min="7" max="7" width="20" style="3" customWidth="1"/>
    <col min="8" max="8" width="20.5" style="3" customWidth="1"/>
    <col min="9" max="9" width="18" style="3" customWidth="1"/>
    <col min="10" max="10" width="16" style="3" bestFit="1" customWidth="1"/>
    <col min="11" max="11" width="18" style="3" bestFit="1" customWidth="1"/>
    <col min="12" max="12" width="19" style="3" bestFit="1" customWidth="1"/>
    <col min="13" max="13" width="12.5" style="3" bestFit="1" customWidth="1"/>
    <col min="14" max="14" width="54.5" style="3" bestFit="1" customWidth="1"/>
    <col min="15" max="15" width="54.5" style="3" customWidth="1"/>
    <col min="16" max="16" width="70.5" style="3" bestFit="1" customWidth="1"/>
    <col min="17" max="17" width="22.5" style="16" customWidth="1"/>
    <col min="18" max="18" width="14.5" style="3" customWidth="1"/>
    <col min="19" max="19" width="19.6640625" style="16" customWidth="1"/>
    <col min="20" max="20" width="20.5" style="3" customWidth="1"/>
    <col min="21" max="21" width="14.5" style="3" customWidth="1"/>
    <col min="22" max="22" width="14.5" style="3" hidden="1" customWidth="1"/>
    <col min="23" max="23" width="14.5" style="3" customWidth="1"/>
    <col min="24" max="24" width="20.5" customWidth="1"/>
    <col min="25" max="25" width="18.5" bestFit="1" customWidth="1"/>
    <col min="26" max="26" width="17.5" bestFit="1" customWidth="1"/>
    <col min="27" max="27" width="19.5" style="28" customWidth="1"/>
    <col min="28" max="28" width="16.5" style="28" bestFit="1" customWidth="1"/>
    <col min="29" max="29" width="16.33203125" customWidth="1"/>
    <col min="30" max="30" width="18.33203125" bestFit="1" customWidth="1"/>
    <col min="31" max="31" width="18.33203125" customWidth="1"/>
    <col min="32" max="32" width="29.6640625" bestFit="1" customWidth="1"/>
    <col min="33" max="33" width="29.6640625" customWidth="1"/>
    <col min="34" max="34" width="34.33203125" bestFit="1" customWidth="1"/>
    <col min="36" max="36" width="13.5" bestFit="1" customWidth="1"/>
  </cols>
  <sheetData>
    <row r="1" spans="1:39" x14ac:dyDescent="0.2">
      <c r="Y1" s="4">
        <v>44279</v>
      </c>
      <c r="Z1" t="s">
        <v>56</v>
      </c>
    </row>
    <row r="2" spans="1:39" ht="16" x14ac:dyDescent="0.2">
      <c r="A2" s="5" t="s">
        <v>57</v>
      </c>
      <c r="B2" s="5" t="s">
        <v>58</v>
      </c>
      <c r="C2" s="5" t="s">
        <v>2840</v>
      </c>
      <c r="D2" s="6" t="s">
        <v>59</v>
      </c>
      <c r="E2" s="6" t="s">
        <v>2857</v>
      </c>
      <c r="F2" s="6" t="s">
        <v>60</v>
      </c>
      <c r="G2" s="6" t="s">
        <v>61</v>
      </c>
      <c r="H2" s="6" t="s">
        <v>62</v>
      </c>
      <c r="I2" s="6" t="s">
        <v>63</v>
      </c>
      <c r="J2" s="7" t="s">
        <v>64</v>
      </c>
      <c r="K2" s="6" t="s">
        <v>65</v>
      </c>
      <c r="L2" s="6" t="s">
        <v>66</v>
      </c>
      <c r="M2" s="6" t="s">
        <v>67</v>
      </c>
      <c r="N2" s="6" t="s">
        <v>68</v>
      </c>
      <c r="O2" s="6" t="s">
        <v>69</v>
      </c>
      <c r="P2" s="8" t="s">
        <v>70</v>
      </c>
      <c r="Q2" s="55" t="s">
        <v>71</v>
      </c>
      <c r="R2" s="9" t="s">
        <v>2858</v>
      </c>
      <c r="S2" s="55" t="s">
        <v>72</v>
      </c>
      <c r="T2" s="9" t="s">
        <v>2859</v>
      </c>
      <c r="U2" s="8" t="s">
        <v>73</v>
      </c>
      <c r="V2" s="8" t="s">
        <v>74</v>
      </c>
      <c r="W2" s="8" t="s">
        <v>75</v>
      </c>
      <c r="X2" s="5" t="s">
        <v>76</v>
      </c>
      <c r="Y2" s="5" t="s">
        <v>77</v>
      </c>
      <c r="Z2" t="s">
        <v>78</v>
      </c>
      <c r="AA2" s="10" t="s">
        <v>79</v>
      </c>
      <c r="AB2" s="56" t="s">
        <v>80</v>
      </c>
      <c r="AC2" s="10" t="s">
        <v>2860</v>
      </c>
      <c r="AD2" s="10" t="s">
        <v>2861</v>
      </c>
      <c r="AE2" s="10" t="s">
        <v>81</v>
      </c>
      <c r="AF2" s="10" t="s">
        <v>2862</v>
      </c>
      <c r="AG2" s="10" t="s">
        <v>2863</v>
      </c>
      <c r="AH2" s="10" t="s">
        <v>2864</v>
      </c>
      <c r="AI2" s="10" t="s">
        <v>82</v>
      </c>
      <c r="AJ2">
        <f>MAX(DataItems3[UniqueID])</f>
        <v>101012</v>
      </c>
      <c r="AK2" s="10"/>
      <c r="AL2" s="10"/>
    </row>
    <row r="3" spans="1:39" ht="15" customHeight="1" x14ac:dyDescent="0.25">
      <c r="A3">
        <v>100792</v>
      </c>
      <c r="B3" s="11" t="str">
        <f>DataItems3[[#This Row],[Field]]&amp;IF(DataItems3[[#This Row],[Options for supplying the Field]]="",""," "&amp;DataItems3[[#This Row],[Options for supplying the Field]])</f>
        <v>1 Field (Estates)</v>
      </c>
      <c r="C3">
        <v>100792</v>
      </c>
      <c r="D3" s="3" t="s">
        <v>83</v>
      </c>
      <c r="E3" s="12"/>
      <c r="F3" s="12" t="s">
        <v>84</v>
      </c>
      <c r="G3" s="13"/>
      <c r="J3" s="3">
        <v>0</v>
      </c>
      <c r="K3" s="3">
        <v>1</v>
      </c>
      <c r="L3" s="3">
        <v>0</v>
      </c>
      <c r="M3" s="3">
        <v>0</v>
      </c>
      <c r="X3" t="str">
        <f>DataItems3[[#This Row],[Collection]]&amp;DataItems3[[#This Row],[Field]]&amp;DataItems3[[#This Row],[Options for supplying the Field]]&amp;DataItems3[[#This Row],[Fieldname]]&amp;DataItems3[[#This Row],[Parent]]</f>
        <v>Estates1 Field (Estates)</v>
      </c>
      <c r="Y3" s="4">
        <v>44272</v>
      </c>
      <c r="Z3" t="s">
        <v>85</v>
      </c>
      <c r="AA3" s="28" t="str">
        <f t="shared" ref="AA3:AA66" si="0">IF(Q3="","",Q3)</f>
        <v/>
      </c>
      <c r="AB3" s="28" t="str">
        <f>IF(S3="","",IF(IFERROR(SEARCH("select",S3)&gt;0,0),IF(U3="",IF(MID(S3,SEARCH(H3,S3)-4,1)=" ",MID(S3,SEARCH(H3,S3)-2,LEN(O12)+2),MID(S3,SEARCH(H3,S3)-3,LEN(H3)+3)),U3&amp;"."&amp;H3),S3))</f>
        <v/>
      </c>
      <c r="AC3" s="28" t="str">
        <f t="shared" ref="AC3:AC66" si="1">IF(R3="","",R3)</f>
        <v/>
      </c>
      <c r="AD3" s="28" t="str">
        <f t="shared" ref="AD3:AD66" si="2">IF(T3="","",IF(IFERROR(SEARCH("select",T3)&gt;0,0),IF(U3="",IF(MID(T3,SEARCH(H3,T3)-4,1)=" ",MID(T3,SEARCH(H3,T3)-2,LEN(O12)+2),MID(T3,SEARCH(H3,T3)-3,LEN(H3)+3)),U3&amp;"."&amp;H3),T3))</f>
        <v/>
      </c>
      <c r="AE3" t="str">
        <f t="shared" ref="AE3:AE24" si="3">IF(F3="","","["&amp;SUBSTITUTE(SUBSTITUTE(SUBSTITUTE(F3,"[","{"),"]","}"),"⁽"&amp;CHAR(185)&amp;"⁾","")&amp;"]")</f>
        <v>[1 Field (Estates)]</v>
      </c>
    </row>
    <row r="4" spans="1:39" ht="16.5" customHeight="1" x14ac:dyDescent="0.2">
      <c r="A4">
        <v>100001</v>
      </c>
      <c r="B4" s="11" t="str">
        <f>DataItems3[[#This Row],[Field]]&amp;IF(DataItems3[[#This Row],[Options for supplying the Field]]="",""," "&amp;DataItems3[[#This Row],[Options for supplying the Field]])</f>
        <v>A Level Marker</v>
      </c>
      <c r="C4">
        <v>100001</v>
      </c>
      <c r="D4" s="3" t="s">
        <v>86</v>
      </c>
      <c r="F4" s="3" t="s">
        <v>87</v>
      </c>
      <c r="G4" s="13"/>
      <c r="H4" s="14" t="s">
        <v>88</v>
      </c>
      <c r="J4" s="3">
        <v>3</v>
      </c>
      <c r="K4" s="3">
        <v>2</v>
      </c>
      <c r="L4" s="3">
        <v>0</v>
      </c>
      <c r="M4" s="3">
        <v>0</v>
      </c>
      <c r="N4" s="3" t="s">
        <v>89</v>
      </c>
      <c r="Q4" s="16" t="s">
        <v>90</v>
      </c>
      <c r="R4" s="3" t="s">
        <v>91</v>
      </c>
      <c r="S4" s="16" t="s">
        <v>90</v>
      </c>
      <c r="U4" s="3" t="s">
        <v>92</v>
      </c>
      <c r="V4" s="3" t="s">
        <v>93</v>
      </c>
      <c r="W4" s="3" t="s">
        <v>94</v>
      </c>
      <c r="X4" t="str">
        <f>DataItems3[[#This Row],[Collection]]&amp;DataItems3[[#This Row],[Field]]&amp;DataItems3[[#This Row],[Options for supplying the Field]]&amp;DataItems3[[#This Row],[Fieldname]]&amp;DataItems3[[#This Row],[Parent]]</f>
        <v>StudentA Level MarkerZALEV_MARKER</v>
      </c>
      <c r="Y4" s="15">
        <v>43434</v>
      </c>
      <c r="Z4" t="s">
        <v>95</v>
      </c>
      <c r="AA4" s="28" t="str">
        <f t="shared" si="0"/>
        <v xml:space="preserve">Case when d.F_ZALEV_HIGH_MARKER in ('1','3') then 'A-level' else 'Other' end </v>
      </c>
      <c r="AB4" s="28" t="str">
        <f>IF(S4="","",IF(IFERROR(SEARCH("select",S4)&gt;0,0),IF(U4="",IF(MID(S4,SEARCH(H4,S4)-4,1)=" ",MID(S4,SEARCH(H4,S4)-2,LEN(O13)+2),MID(S4,SEARCH(H4,S4)-3,LEN(H4)+3)),U4&amp;"."&amp;H4),S4))</f>
        <v xml:space="preserve">Case when d.F_ZALEV_HIGH_MARKER in ('1','3') then 'A-level' else 'Other' end </v>
      </c>
      <c r="AC4" s="28" t="str">
        <f t="shared" si="1"/>
        <v xml:space="preserve"> </v>
      </c>
      <c r="AD4" s="28" t="str">
        <f t="shared" si="2"/>
        <v/>
      </c>
      <c r="AE4" t="str">
        <f t="shared" si="3"/>
        <v>[A Level Marker]</v>
      </c>
    </row>
    <row r="5" spans="1:39" ht="16.5" customHeight="1" x14ac:dyDescent="0.2">
      <c r="A5">
        <v>100849</v>
      </c>
      <c r="B5" s="11" t="str">
        <f>DataItems3[[#This Row],[Field]]&amp;IF(DataItems3[[#This Row],[Options for supplying the Field]]="",""," "&amp;DataItems3[[#This Row],[Options for supplying the Field]])</f>
        <v>ABB marker</v>
      </c>
      <c r="C5">
        <v>100849</v>
      </c>
      <c r="D5" s="3" t="s">
        <v>86</v>
      </c>
      <c r="F5" s="3" t="s">
        <v>96</v>
      </c>
      <c r="G5" s="13"/>
      <c r="H5" s="14" t="s">
        <v>97</v>
      </c>
      <c r="J5" s="3">
        <v>4</v>
      </c>
      <c r="K5" s="3">
        <v>2</v>
      </c>
      <c r="L5" s="3">
        <v>1</v>
      </c>
      <c r="M5" s="3">
        <v>0</v>
      </c>
      <c r="Q5" s="16" t="s">
        <v>98</v>
      </c>
      <c r="R5" s="16" t="s">
        <v>91</v>
      </c>
      <c r="S5" s="16" t="s">
        <v>98</v>
      </c>
      <c r="T5" s="16"/>
      <c r="U5" s="3" t="s">
        <v>92</v>
      </c>
      <c r="W5" s="57" t="s">
        <v>94</v>
      </c>
      <c r="X5" t="str">
        <f>DataItems3[[#This Row],[Collection]]&amp;DataItems3[[#This Row],[Field]]&amp;DataItems3[[#This Row],[Options for supplying the Field]]&amp;DataItems3[[#This Row],[Fieldname]]&amp;DataItems3[[#This Row],[Parent]]</f>
        <v>StudentABB markerABB_MARKER</v>
      </c>
      <c r="Y5" s="4">
        <v>44617</v>
      </c>
      <c r="Z5" t="s">
        <v>99</v>
      </c>
      <c r="AA5" s="28" t="str">
        <f t="shared" si="0"/>
        <v>CASE WHEN SUBSTRING(d.f_ztop_alevels, 1, 3) IN ('***', '**A', '**B', '*AA', '*AB', '*BB', 'AAA', 'AAB', 'ABB') THEN 'ABB'  WHEN SUBSTRING(d.f_ztop_highers, 1, 5) IN ('AAAAA', 'AAAAB', 'AAABB', 'AABBB', 'AAAAC', 'AAABC', 'AAACC', 'AABBC') THEN 'ABB' ELSE 'Not ABB' END</v>
      </c>
      <c r="AB5" s="28" t="str">
        <f>IF(S5="","",IF(IFERROR(SEARCH("select",S5)&gt;0,0),IF(U5="",IF(MID(S5,SEARCH(H5,S5)-4,1)=" ",MID(S5,SEARCH(H5,S5)-2,LEN(O14)+2),MID(S5,SEARCH(H5,S5)-3,LEN(H5)+3)),U5&amp;"."&amp;H5),S5))</f>
        <v>CASE WHEN SUBSTRING(d.f_ztop_alevels, 1, 3) IN ('***', '**A', '**B', '*AA', '*AB', '*BB', 'AAA', 'AAB', 'ABB') THEN 'ABB'  WHEN SUBSTRING(d.f_ztop_highers, 1, 5) IN ('AAAAA', 'AAAAB', 'AAABB', 'AABBB', 'AAAAC', 'AAABC', 'AAACC', 'AABBC') THEN 'ABB' ELSE 'Not ABB' END</v>
      </c>
      <c r="AC5" s="28" t="str">
        <f t="shared" si="1"/>
        <v xml:space="preserve"> </v>
      </c>
      <c r="AD5" s="28" t="str">
        <f t="shared" si="2"/>
        <v/>
      </c>
      <c r="AE5" t="str">
        <f t="shared" si="3"/>
        <v>[ABB marker]</v>
      </c>
    </row>
    <row r="6" spans="1:39" ht="32" x14ac:dyDescent="0.2">
      <c r="A6">
        <v>100004</v>
      </c>
      <c r="B6" s="11" t="str">
        <f>DataItems3[[#This Row],[Field]]&amp;IF(DataItems3[[#This Row],[Options for supplying the Field]]="",""," "&amp;DataItems3[[#This Row],[Options for supplying the Field]])</f>
        <v>Academic discipline 1 (Subject area) - 2002/03 - 2011/12 only</v>
      </c>
      <c r="C6">
        <v>100004</v>
      </c>
      <c r="D6" s="3" t="s">
        <v>100</v>
      </c>
      <c r="F6" s="3" t="s">
        <v>101</v>
      </c>
      <c r="G6" s="13" t="s">
        <v>2865</v>
      </c>
      <c r="H6" s="14" t="s">
        <v>2866</v>
      </c>
      <c r="J6" s="3">
        <v>5</v>
      </c>
      <c r="K6" s="3">
        <v>2</v>
      </c>
      <c r="L6" s="3">
        <v>0</v>
      </c>
      <c r="M6" s="3">
        <v>0</v>
      </c>
      <c r="N6" s="3" t="s">
        <v>89</v>
      </c>
      <c r="Q6" s="16" t="s">
        <v>2867</v>
      </c>
      <c r="R6" s="3" t="s">
        <v>93</v>
      </c>
      <c r="S6" s="16" t="s">
        <v>2868</v>
      </c>
      <c r="U6" s="3" t="s">
        <v>2869</v>
      </c>
      <c r="V6" s="3" t="s">
        <v>93</v>
      </c>
      <c r="W6" s="57" t="s">
        <v>94</v>
      </c>
      <c r="X6" t="str">
        <f>DataItems3[[#This Row],[Collection]]&amp;DataItems3[[#This Row],[Field]]&amp;DataItems3[[#This Row],[Options for supplying the Field]]&amp;DataItems3[[#This Row],[Fieldname]]&amp;DataItems3[[#This Row],[Parent]]</f>
        <v>StaffAcademic discipline 1(Subject area) - 2002/03 - 2011/12 onlyF_ACCDIS1</v>
      </c>
      <c r="Y6" s="15">
        <v>43395</v>
      </c>
      <c r="Z6" t="s">
        <v>102</v>
      </c>
      <c r="AA6" s="28" t="str">
        <f t="shared" si="0"/>
        <v>CASE WHEN P.DW_FromDate NOT BETWEEN 20020801 AND 20110801 THEN 'NA_1213' WHEN ISNULL(P.F_ACCDIS1, '-1') IN ('-1', '', ' ', 'XXXX') THEN 'N/A' WHEN p.DW_FromDate BETWEEN 20080801 AND 20110801 THEN jacs2_1.F_XJACSA01_v2 WHEN p.DW_FromDate BETWEEN 20020801 AND 20070801 THEN jacs1_1.F_XJACSA01_v17 ELSE 'ERROR' END</v>
      </c>
      <c r="AB6" s="28" t="str">
        <f>IF(S6="","",IF(IFERROR(SEARCH("select",S6)&gt;0,0),IF(U6="",IF(MID(S6,SEARCH(H6,S6)-4,1)=" ",MID(S6,SEARCH(H6,S6)-2,LEN(O15)+2),MID(S6,SEARCH(H6,S6)-3,LEN(H6)+3)),U6&amp;"."&amp;H6),S6))</f>
        <v>CASE WHEN P.DW_FromDate NOT BETWEEN 20020801 AND 20110801 THEN 'Not applicable (prior to 2002/03 and 2012/13 onwards)' WHEN ISNULL(P.F_ACCDIS1, '-1') IN ('-1', '', ' ', 'XXXX') THEN 'Not applicable' WHEN p.DW_FromDate BETWEEN 20080801 AND 20110801 THEN jacs2_1.F_XJACSA01_v2_LABELS WHEN p.DW_FromDate BETWEEN 20020801 AND 20070801 THEN jacs1_1.F_XJACSA01_v17_LABELS ELSE 'ERROR' END</v>
      </c>
      <c r="AC6" s="28" t="str">
        <f t="shared" si="1"/>
        <v/>
      </c>
      <c r="AD6" s="28" t="str">
        <f t="shared" si="2"/>
        <v/>
      </c>
      <c r="AE6" t="str">
        <f t="shared" si="3"/>
        <v>[Academic discipline 1]</v>
      </c>
    </row>
    <row r="7" spans="1:39" ht="16" x14ac:dyDescent="0.2">
      <c r="A7">
        <v>100900</v>
      </c>
      <c r="B7" s="29" t="str">
        <f>DataItems3[[#This Row],[Field]]&amp;IF(DataItems3[[#This Row],[Options for supplying the Field]]="",""," "&amp;DataItems3[[#This Row],[Options for supplying the Field]])</f>
        <v>Academic discipline 1 (4-digit JACS v1.7) 2002/03 - 2007/08 only</v>
      </c>
      <c r="C7">
        <v>100900</v>
      </c>
      <c r="D7" s="3" t="s">
        <v>100</v>
      </c>
      <c r="F7" s="3" t="s">
        <v>2870</v>
      </c>
      <c r="G7" s="13" t="s">
        <v>2871</v>
      </c>
      <c r="H7" s="13" t="s">
        <v>2866</v>
      </c>
      <c r="I7" s="13"/>
      <c r="J7" s="3">
        <v>2</v>
      </c>
      <c r="K7" s="3">
        <v>4</v>
      </c>
      <c r="L7" s="3">
        <v>1</v>
      </c>
      <c r="M7" s="3">
        <v>0</v>
      </c>
      <c r="Q7" s="16" t="s">
        <v>2872</v>
      </c>
      <c r="S7" s="16" t="s">
        <v>2873</v>
      </c>
      <c r="U7" s="3" t="s">
        <v>2874</v>
      </c>
      <c r="W7" s="57" t="s">
        <v>94</v>
      </c>
      <c r="X7" t="str">
        <f>DataItems3[[#This Row],[Collection]]&amp;DataItems3[[#This Row],[Field]]&amp;DataItems3[[#This Row],[Options for supplying the Field]]&amp;DataItems3[[#This Row],[Fieldname]]&amp;DataItems3[[#This Row],[Parent]]</f>
        <v>StaffAcademic discipline 1 (4-digit JACS v1.7)2002/03 - 2007/08 onlyF_ACCDIS1</v>
      </c>
      <c r="Y7" s="4">
        <v>44853</v>
      </c>
      <c r="Z7" t="s">
        <v>2875</v>
      </c>
      <c r="AA7" s="28" t="str">
        <f t="shared" si="0"/>
        <v>CASE WHEN P.DW_FromDate NOT BETWEEN 20020801 AND 20070801 THEN 'NA_0809' WHEN P.F_ACCDIS1 IN ('', ' ', 'XXXX') THEN 'N/A' ELSE P.F_ACCDIS1 END</v>
      </c>
      <c r="AB7" s="28" t="str">
        <f>IF(S7="","",IF(IFERROR(SEARCH("select",S7)&gt;0,0),IF(U7="",IF(MID(S7,SEARCH(H7,S7)-4,1)=" ",MID(S7,SEARCH(H7,S7)-2,LEN(O22)+2),MID(S7,SEARCH(H7,S7)-3,LEN(H7)+3)),U7&amp;"."&amp;H7),S7))</f>
        <v>CASE WHEN P.DW_FromDate NOT BETWEEN 20020801 AND 20070801 THEN 'Not applicable (prior to 2002/03 and 2008/09 onwards)' WHEN P.F_ACCDIS1 IN ('', ' ', 'XXXX') THEN 'Not applicable' ELSE jacs1_1.F_XJACS01_v17_LABELS END</v>
      </c>
      <c r="AC7" s="28" t="str">
        <f t="shared" si="1"/>
        <v/>
      </c>
      <c r="AD7" s="28" t="str">
        <f t="shared" si="2"/>
        <v/>
      </c>
      <c r="AE7" t="str">
        <f t="shared" si="3"/>
        <v>[Academic discipline 1 (4-digit JACS v1.7)]</v>
      </c>
    </row>
    <row r="8" spans="1:39" ht="16" x14ac:dyDescent="0.2">
      <c r="A8">
        <v>100002</v>
      </c>
      <c r="B8" s="11" t="str">
        <f>DataItems3[[#This Row],[Field]]&amp;IF(DataItems3[[#This Row],[Options for supplying the Field]]="",""," "&amp;DataItems3[[#This Row],[Options for supplying the Field]])</f>
        <v>Academic discipline 1 (4-digit JACS v2.0) 2008/09 - 2011/12 only</v>
      </c>
      <c r="C8">
        <v>100002</v>
      </c>
      <c r="D8" s="3" t="s">
        <v>100</v>
      </c>
      <c r="F8" s="3" t="s">
        <v>2876</v>
      </c>
      <c r="G8" s="13" t="s">
        <v>2877</v>
      </c>
      <c r="H8" s="14" t="s">
        <v>2866</v>
      </c>
      <c r="J8" s="3">
        <v>1</v>
      </c>
      <c r="K8" s="3">
        <v>4</v>
      </c>
      <c r="L8" s="3">
        <v>1</v>
      </c>
      <c r="M8" s="3">
        <v>0</v>
      </c>
      <c r="N8" s="3" t="s">
        <v>89</v>
      </c>
      <c r="Q8" s="16" t="s">
        <v>2878</v>
      </c>
      <c r="R8" s="3" t="s">
        <v>93</v>
      </c>
      <c r="S8" s="16" t="s">
        <v>2879</v>
      </c>
      <c r="U8" s="3" t="s">
        <v>2880</v>
      </c>
      <c r="V8" s="3" t="s">
        <v>93</v>
      </c>
      <c r="W8" s="57" t="s">
        <v>94</v>
      </c>
      <c r="X8" t="str">
        <f>DataItems3[[#This Row],[Collection]]&amp;DataItems3[[#This Row],[Field]]&amp;DataItems3[[#This Row],[Options for supplying the Field]]&amp;DataItems3[[#This Row],[Fieldname]]&amp;DataItems3[[#This Row],[Parent]]</f>
        <v>StaffAcademic discipline 1 (4-digit JACS v2.0)2008/09 - 2011/12 onlyF_ACCDIS1</v>
      </c>
      <c r="Y8" s="15">
        <v>43395</v>
      </c>
      <c r="Z8" t="s">
        <v>102</v>
      </c>
      <c r="AA8" s="28" t="str">
        <f t="shared" si="0"/>
        <v>CASE WHEN P.DW_FromDate NOT BETWEEN 20080801 AND 20110801 THEN 'NA_1213' WHEN P.F_ACCDIS1 IN ('', ' ', 'XXXX') THEN 'N/A' ELSE P.F_ACCDIS1 END</v>
      </c>
      <c r="AB8" s="28" t="str">
        <f>IF(S8="","",IF(IFERROR(SEARCH("select",S8)&gt;0,0),IF(U8="",IF(MID(S8,SEARCH(H8,S8)-4,1)=" ",MID(S8,SEARCH(H8,S8)-2,LEN(O17)+2),MID(S8,SEARCH(H8,S8)-3,LEN(H8)+3)),U8&amp;"."&amp;H8),S8))</f>
        <v>CASE WHEN P.DW_FromDate NOT BETWEEN 20080801 AND 20110801 THEN 'Not applicable (prior to 2008/09 and 2012/13 onwards)' WHEN P.F_ACCDIS1 IN ('', ' ', 'XXXX') THEN 'Not applicable' ELSE jacs2_1.F_XJACS01_v2_LABELS END</v>
      </c>
      <c r="AC8" s="28" t="str">
        <f t="shared" si="1"/>
        <v/>
      </c>
      <c r="AD8" s="28" t="str">
        <f t="shared" si="2"/>
        <v/>
      </c>
      <c r="AE8" t="str">
        <f t="shared" si="3"/>
        <v>[Academic discipline 1 (4-digit JACS v2.0)]</v>
      </c>
    </row>
    <row r="9" spans="1:39" ht="16" x14ac:dyDescent="0.2">
      <c r="A9">
        <v>100901</v>
      </c>
      <c r="B9" s="29" t="str">
        <f>DataItems3[[#This Row],[Field]]&amp;IF(DataItems3[[#This Row],[Options for supplying the Field]]="",""," "&amp;DataItems3[[#This Row],[Options for supplying the Field]])</f>
        <v>Academic discipline 1 (Principal subject JACS v1.7) 2002/03 - 2007/08 only</v>
      </c>
      <c r="C9">
        <v>100901</v>
      </c>
      <c r="D9" s="3" t="s">
        <v>100</v>
      </c>
      <c r="F9" s="3" t="s">
        <v>2881</v>
      </c>
      <c r="G9" s="13" t="s">
        <v>2871</v>
      </c>
      <c r="H9" s="13" t="s">
        <v>2866</v>
      </c>
      <c r="I9" s="13"/>
      <c r="J9" s="3">
        <v>3</v>
      </c>
      <c r="K9" s="3">
        <v>3</v>
      </c>
      <c r="L9" s="3">
        <v>0</v>
      </c>
      <c r="M9" s="3">
        <v>0</v>
      </c>
      <c r="Q9" s="16" t="s">
        <v>2882</v>
      </c>
      <c r="S9" s="16" t="s">
        <v>2883</v>
      </c>
      <c r="U9" s="3" t="s">
        <v>2874</v>
      </c>
      <c r="W9" s="57" t="s">
        <v>94</v>
      </c>
      <c r="X9" t="str">
        <f>DataItems3[[#This Row],[Collection]]&amp;DataItems3[[#This Row],[Field]]&amp;DataItems3[[#This Row],[Options for supplying the Field]]&amp;DataItems3[[#This Row],[Fieldname]]&amp;DataItems3[[#This Row],[Parent]]</f>
        <v>StaffAcademic discipline 1 (Principal subject JACS v1.7)2002/03 - 2007/08 onlyF_ACCDIS1</v>
      </c>
      <c r="Y9" s="4">
        <v>44853</v>
      </c>
      <c r="Z9" t="s">
        <v>2875</v>
      </c>
      <c r="AA9" s="28" t="str">
        <f t="shared" si="0"/>
        <v>CASE WHEN P.DW_FromDate NOT BETWEEN 20020801 AND 20070801 THEN 'NA_0809' WHEN ISNULL(P.F_ACCDIS1, '-1') IN ('-1', '', ' ', 'XXXX') THEN 'N/A' WHEN SUBSTRING(P.F_ACCDIS1,1,3) IN ('G01', 'G91', 'G02',  'G92') THEN SUBSTRING(P.F_ACCDIS1,1,3) WHEN P.F_ACCDIS1 IN ('T0', 'R0') THEN 'Q0' WHEN SUBSTRING(P.F_ACCDIS1,1,2) = 'J0' THEN 'H0' ELSE SUBSTRING(P.F_ACCDIS1,1,2) END</v>
      </c>
      <c r="AB9" s="28" t="str">
        <f>IF(S9="","",IF(IFERROR(SEARCH("select",S9)&gt;0,0),IF(U9="",IF(MID(S9,SEARCH(H9,S9)-4,1)=" ",MID(S9,SEARCH(H9,S9)-2,LEN(O23)+2),MID(S9,SEARCH(H9,S9)-3,LEN(H9)+3)),U9&amp;"."&amp;H9),S9))</f>
        <v>CASE WHEN P.DW_FromDate NOT BETWEEN 20020801 AND 20070801 THEN 'Not applicable (Prior to 2002/03 and 2008/09 onwards)' WHEN ISNULL(P.F_ACCDIS1, '-1') IN ('-1', '', ' ', 'XXXX') THEN 'Not applicable' ELSE jacs1_1.F_XJACS201_V17_LABELS END</v>
      </c>
      <c r="AC9" s="28" t="str">
        <f t="shared" si="1"/>
        <v/>
      </c>
      <c r="AD9" s="28" t="str">
        <f t="shared" si="2"/>
        <v/>
      </c>
      <c r="AE9" t="str">
        <f t="shared" si="3"/>
        <v>[Academic discipline 1 (Principal subject JACS v1.7)]</v>
      </c>
    </row>
    <row r="10" spans="1:39" ht="16" x14ac:dyDescent="0.2">
      <c r="A10">
        <v>100003</v>
      </c>
      <c r="B10" s="11" t="str">
        <f>DataItems3[[#This Row],[Field]]&amp;IF(DataItems3[[#This Row],[Options for supplying the Field]]="",""," "&amp;DataItems3[[#This Row],[Options for supplying the Field]])</f>
        <v>Academic discipline 1 (Principal subject v2.0) 2008/09 - 2011/12 only</v>
      </c>
      <c r="C10">
        <v>100003</v>
      </c>
      <c r="D10" s="3" t="s">
        <v>100</v>
      </c>
      <c r="F10" s="3" t="s">
        <v>2884</v>
      </c>
      <c r="G10" s="13" t="s">
        <v>2877</v>
      </c>
      <c r="H10" s="14" t="s">
        <v>2866</v>
      </c>
      <c r="J10" s="3">
        <v>5</v>
      </c>
      <c r="K10" s="3">
        <v>3</v>
      </c>
      <c r="L10" s="3">
        <v>0</v>
      </c>
      <c r="M10" s="3">
        <v>0</v>
      </c>
      <c r="N10" s="3" t="s">
        <v>89</v>
      </c>
      <c r="Q10" s="16" t="s">
        <v>2885</v>
      </c>
      <c r="R10" s="3" t="s">
        <v>93</v>
      </c>
      <c r="S10" s="16" t="s">
        <v>2886</v>
      </c>
      <c r="U10" s="3" t="s">
        <v>2880</v>
      </c>
      <c r="V10" s="3" t="s">
        <v>93</v>
      </c>
      <c r="W10" s="57" t="s">
        <v>94</v>
      </c>
      <c r="X10" t="str">
        <f>DataItems3[[#This Row],[Collection]]&amp;DataItems3[[#This Row],[Field]]&amp;DataItems3[[#This Row],[Options for supplying the Field]]&amp;DataItems3[[#This Row],[Fieldname]]&amp;DataItems3[[#This Row],[Parent]]</f>
        <v>StaffAcademic discipline 1 (Principal subject v2.0)2008/09 - 2011/12 onlyF_ACCDIS1</v>
      </c>
      <c r="Y10" s="15">
        <v>43395</v>
      </c>
      <c r="Z10" t="s">
        <v>102</v>
      </c>
      <c r="AA10" s="28" t="str">
        <f t="shared" si="0"/>
        <v>CASE WHEN P.DW_FromDate NOT BETWEEN 20080801 AND 20110801 THEN 'NA_1213' WHEN ISNULL(P.F_ACCDIS1, '-1') IN ('-1', '', ' ', 'XXXX') THEN 'N/A' WHEN SUBSTRING(P.F_ACCDIS1,1,3) IN ('G01', 'G91', 'G02',  'G92') THEN SUBSTRING(P.F_ACCDIS1,1,3) WHEN P.F_ACCDIS1 IN ('T0', 'R0') THEN 'Q0' WHEN SUBSTRING(P.F_ACCDIS1,1,2) = 'J0' THEN 'H0' ELSE SUBSTRING(P.F_ACCDIS1,1,2) END</v>
      </c>
      <c r="AB10" s="28" t="str">
        <f>IF(S10="","",IF(IFERROR(SEARCH("select",S10)&gt;0,0),IF(U10="",IF(MID(S10,SEARCH(H10,S10)-4,1)=" ",MID(S10,SEARCH(H10,S10)-2,LEN(O19)+2),MID(S10,SEARCH(H10,S10)-3,LEN(H10)+3)),U10&amp;"."&amp;H10),S10))</f>
        <v>CASE WHEN P.DW_FromDate NOT BETWEEN 20080801 AND 20110801 THEN 'Not applicable (Prior to 2008/09 and 2012/13 onwards)' WHEN ISNULL(P.F_ACCDIS1, '-1') IN ('-1', '', ' ', 'XXXX') THEN 'Not applicable' ELSE jacs2_1.F_XJACS201_V2_LABELS END</v>
      </c>
      <c r="AC10" s="28" t="str">
        <f t="shared" si="1"/>
        <v/>
      </c>
      <c r="AD10" s="28" t="str">
        <f t="shared" si="2"/>
        <v/>
      </c>
      <c r="AE10" t="str">
        <f t="shared" si="3"/>
        <v>[Academic discipline 1 (Principal subject v2.0)]</v>
      </c>
    </row>
    <row r="11" spans="1:39" ht="16" x14ac:dyDescent="0.2">
      <c r="A11">
        <v>100904</v>
      </c>
      <c r="B11" s="29" t="str">
        <f>DataItems3[[#This Row],[Field]]&amp;IF(DataItems3[[#This Row],[Options for supplying the Field]]="",""," "&amp;DataItems3[[#This Row],[Options for supplying the Field]])</f>
        <v>Academic discipline 2 (4-digit JACS v1.7) 2002/03 - 2007/08 only</v>
      </c>
      <c r="C11">
        <v>100904</v>
      </c>
      <c r="D11" s="3" t="s">
        <v>100</v>
      </c>
      <c r="F11" s="3" t="s">
        <v>2887</v>
      </c>
      <c r="G11" s="13" t="s">
        <v>2871</v>
      </c>
      <c r="H11" s="13" t="s">
        <v>2888</v>
      </c>
      <c r="I11" s="13"/>
      <c r="J11" s="3">
        <v>0</v>
      </c>
      <c r="K11" s="3">
        <v>0</v>
      </c>
      <c r="L11" s="3">
        <v>0</v>
      </c>
      <c r="M11" s="3">
        <v>0</v>
      </c>
      <c r="Q11" s="16" t="s">
        <v>2889</v>
      </c>
      <c r="S11" s="16" t="s">
        <v>2890</v>
      </c>
      <c r="U11" s="3" t="s">
        <v>2891</v>
      </c>
      <c r="W11" s="57" t="s">
        <v>94</v>
      </c>
      <c r="X11" t="str">
        <f>DataItems3[[#This Row],[Collection]]&amp;DataItems3[[#This Row],[Field]]&amp;DataItems3[[#This Row],[Options for supplying the Field]]&amp;DataItems3[[#This Row],[Fieldname]]&amp;DataItems3[[#This Row],[Parent]]</f>
        <v>StaffAcademic discipline 2 (4-digit JACS v1.7)2002/03 - 2007/08 onlyF_ACCDIS2</v>
      </c>
      <c r="Y11" s="4">
        <v>44853</v>
      </c>
      <c r="Z11" t="s">
        <v>2875</v>
      </c>
      <c r="AA11" s="28" t="str">
        <f t="shared" si="0"/>
        <v>CASE WHEN P.DW_FromDate NOT BETWEEN 20020801 AND 20070801 THEN 'NA_0809' WHEN P.F_ACCDIS2 IN ('', ' ', 'XXXX') THEN 'N/A' ELSE P.F_ACCDIS2 END</v>
      </c>
      <c r="AB11" s="28" t="str">
        <f>IF(S11="","",IF(IFERROR(SEARCH("select",S11)&gt;0,0),IF(U11="",IF(MID(S11,SEARCH(H11,S11)-4,1)=" ",MID(S11,SEARCH(H11,S11)-2,LEN(O22)+2),MID(S11,SEARCH(H11,S11)-3,LEN(H11)+3)),U11&amp;"."&amp;H11),S11))</f>
        <v>CASE WHEN P.DW_FromDate NOT BETWEEN 20020801 AND 20070801 THEN 'Not applicable (prior to 2002/03 and 2008/09 onwards)' WHEN P.F_ACCDIS2 IN ('', ' ', 'XXXX') THEN 'Not applicable' ELSE jacs1_2.F_XJACS01_v17_LABELS END</v>
      </c>
      <c r="AC11" s="28" t="str">
        <f t="shared" si="1"/>
        <v/>
      </c>
      <c r="AD11" s="28" t="str">
        <f t="shared" si="2"/>
        <v/>
      </c>
      <c r="AE11" t="str">
        <f t="shared" si="3"/>
        <v>[Academic discipline 2 (4-digit JACS v1.7)]</v>
      </c>
      <c r="AM11" t="str">
        <f>VLOOKUP(100012,DataItems3[],2,FALSE)</f>
        <v>Academic year</v>
      </c>
    </row>
    <row r="12" spans="1:39" ht="16" x14ac:dyDescent="0.2">
      <c r="A12">
        <v>100902</v>
      </c>
      <c r="B12" s="29" t="str">
        <f>DataItems3[[#This Row],[Field]]&amp;IF(DataItems3[[#This Row],[Options for supplying the Field]]="",""," "&amp;DataItems3[[#This Row],[Options for supplying the Field]])</f>
        <v>Academic discipline 2 (4-digit JACS v2.0) 2008/09 - 2011/12 only</v>
      </c>
      <c r="C12">
        <v>100902</v>
      </c>
      <c r="D12" s="3" t="s">
        <v>100</v>
      </c>
      <c r="F12" s="3" t="s">
        <v>2892</v>
      </c>
      <c r="G12" s="13" t="s">
        <v>2877</v>
      </c>
      <c r="H12" s="13" t="s">
        <v>2888</v>
      </c>
      <c r="I12" s="13"/>
      <c r="J12" s="3">
        <v>0</v>
      </c>
      <c r="K12" s="3">
        <v>0</v>
      </c>
      <c r="L12" s="3">
        <v>0</v>
      </c>
      <c r="M12" s="3">
        <v>0</v>
      </c>
      <c r="Q12" s="16" t="s">
        <v>2893</v>
      </c>
      <c r="S12" s="16" t="s">
        <v>2894</v>
      </c>
      <c r="U12" s="3" t="s">
        <v>2895</v>
      </c>
      <c r="W12" s="57" t="s">
        <v>94</v>
      </c>
      <c r="X12" t="str">
        <f>DataItems3[[#This Row],[Collection]]&amp;DataItems3[[#This Row],[Field]]&amp;DataItems3[[#This Row],[Options for supplying the Field]]&amp;DataItems3[[#This Row],[Fieldname]]&amp;DataItems3[[#This Row],[Parent]]</f>
        <v>StaffAcademic discipline 2 (4-digit JACS v2.0)2008/09 - 2011/12 onlyF_ACCDIS2</v>
      </c>
      <c r="Y12" s="4">
        <v>44853</v>
      </c>
      <c r="Z12" t="s">
        <v>2875</v>
      </c>
      <c r="AA12" s="28" t="str">
        <f t="shared" si="0"/>
        <v>CASE WHEN P.DW_FromDate NOT BETWEEN 20080801 AND 20110801 THEN 'NA_1213' WHEN P.F_ACCDIS2 IN ('', ' ', 'XXXX') THEN 'N/A' ELSE P.F_ACCDIS2 END</v>
      </c>
      <c r="AB12" s="28" t="str">
        <f>IF(S12="","",IF(IFERROR(SEARCH("select",S12)&gt;0,0),IF(U12="",IF(MID(S12,SEARCH(H12,S12)-4,1)=" ",MID(S12,SEARCH(H12,S12)-2,LEN(O25)+2),MID(S12,SEARCH(H12,S12)-3,LEN(H12)+3)),U12&amp;"."&amp;H12),S12))</f>
        <v>CASE WHEN P.DW_FromDate NOT BETWEEN 20080801 AND 20110801 THEN 'Not applicable (prior to 2008/09 and 2012/13 onwards)' WHEN P.F_ACCDIS2 IN ('', ' ', 'XXXX') THEN 'Not applicable' ELSE</v>
      </c>
      <c r="AC12" s="28" t="str">
        <f t="shared" si="1"/>
        <v/>
      </c>
      <c r="AD12" s="28" t="str">
        <f t="shared" si="2"/>
        <v/>
      </c>
      <c r="AE12" t="str">
        <f t="shared" si="3"/>
        <v>[Academic discipline 2 (4-digit JACS v2.0)]</v>
      </c>
    </row>
    <row r="13" spans="1:39" ht="16" x14ac:dyDescent="0.2">
      <c r="A13">
        <v>100905</v>
      </c>
      <c r="B13" s="29" t="str">
        <f>DataItems3[[#This Row],[Field]]&amp;IF(DataItems3[[#This Row],[Options for supplying the Field]]="",""," "&amp;DataItems3[[#This Row],[Options for supplying the Field]])</f>
        <v>Academic discipline 2 (Principal subject JACS v1.7) 2002/03 - 2007/08 only</v>
      </c>
      <c r="C13">
        <v>100905</v>
      </c>
      <c r="D13" s="3" t="s">
        <v>100</v>
      </c>
      <c r="F13" s="3" t="s">
        <v>2896</v>
      </c>
      <c r="G13" s="13" t="s">
        <v>2871</v>
      </c>
      <c r="H13" s="13" t="s">
        <v>2888</v>
      </c>
      <c r="I13" s="13"/>
      <c r="J13" s="3">
        <v>0</v>
      </c>
      <c r="K13" s="3">
        <v>0</v>
      </c>
      <c r="L13" s="3">
        <v>0</v>
      </c>
      <c r="M13" s="3">
        <v>0</v>
      </c>
      <c r="Q13" s="16" t="s">
        <v>2897</v>
      </c>
      <c r="S13" s="16" t="s">
        <v>2898</v>
      </c>
      <c r="U13" s="3" t="s">
        <v>2891</v>
      </c>
      <c r="W13" s="57" t="s">
        <v>94</v>
      </c>
      <c r="X13" t="str">
        <f>DataItems3[[#This Row],[Collection]]&amp;DataItems3[[#This Row],[Field]]&amp;DataItems3[[#This Row],[Options for supplying the Field]]&amp;DataItems3[[#This Row],[Fieldname]]&amp;DataItems3[[#This Row],[Parent]]</f>
        <v>StaffAcademic discipline 2 (Principal subject JACS v1.7)2002/03 - 2007/08 onlyF_ACCDIS2</v>
      </c>
      <c r="Y13" s="4">
        <v>44853</v>
      </c>
      <c r="Z13" t="s">
        <v>2875</v>
      </c>
      <c r="AA13" s="28" t="str">
        <f t="shared" si="0"/>
        <v>CASE WHEN P.DW_FromDate NOT BETWEEN 20020801 AND 20070801 THEN 'NA_0809' WHEN ISNULL(P.F_ACCDIS2, '-1') IN ('-1', '', ' ', 'XXXX') THEN 'N/A'  WHEN SUBSTRING(P.F_ACCDIS2,1,3) IN ('G01', 'G91', 'G02',  'G92') THEN SUBSTRING(P.F_ACCDIS2,1,3) WHEN P.F_ACCDIS2 IN ('T0', 'R0') THEN 'Q0' WHEN SUBSTRING(P.F_ACCDIS2,1,2) = 'J0' THEN 'H0' ELSE SUBSTRING(P.F_ACCDIS2,1,2) END</v>
      </c>
      <c r="AB13" s="28" t="str">
        <f>IF(S13="","",IF(IFERROR(SEARCH("select",S13)&gt;0,0),IF(U13="",IF(MID(S13,SEARCH(H13,S13)-4,1)=" ",MID(S13,SEARCH(H13,S13)-2,LEN(O23)+2),MID(S13,SEARCH(H13,S13)-3,LEN(H13)+3)),U13&amp;"."&amp;H13),S13))</f>
        <v>CASE WHEN P.DW_FromDate NOT BETWEEN 20020801 AND 20070801 THEN 'Not applicable (Prior to 2002/03 and 2008/09 onwards)' WHEN ISNULL(P.F_ACCDIS2, '-1') IN ('-1', '', ' ', 'XXXX') THEN 'Not applicable' ELSE jacs1_2.F_XJACS201_V17_LABELS END</v>
      </c>
      <c r="AC13" s="28" t="str">
        <f t="shared" si="1"/>
        <v/>
      </c>
      <c r="AD13" s="28" t="str">
        <f t="shared" si="2"/>
        <v/>
      </c>
      <c r="AE13" t="str">
        <f t="shared" si="3"/>
        <v>[Academic discipline 2 (Principal subject JACS v1.7)]</v>
      </c>
    </row>
    <row r="14" spans="1:39" ht="16" x14ac:dyDescent="0.2">
      <c r="A14">
        <v>100903</v>
      </c>
      <c r="B14" s="29" t="str">
        <f>DataItems3[[#This Row],[Field]]&amp;IF(DataItems3[[#This Row],[Options for supplying the Field]]="",""," "&amp;DataItems3[[#This Row],[Options for supplying the Field]])</f>
        <v>Academic discipline 2 (Principal subject JACS v2.0) 2008/09 - 2011/12 only</v>
      </c>
      <c r="C14">
        <v>100903</v>
      </c>
      <c r="D14" s="3" t="s">
        <v>100</v>
      </c>
      <c r="F14" s="3" t="s">
        <v>2899</v>
      </c>
      <c r="G14" s="13" t="s">
        <v>2877</v>
      </c>
      <c r="H14" s="13" t="s">
        <v>2888</v>
      </c>
      <c r="I14" s="13"/>
      <c r="J14" s="3">
        <v>0</v>
      </c>
      <c r="K14" s="3">
        <v>0</v>
      </c>
      <c r="L14" s="3">
        <v>0</v>
      </c>
      <c r="M14" s="3">
        <v>0</v>
      </c>
      <c r="Q14" s="16" t="s">
        <v>2900</v>
      </c>
      <c r="S14" s="16" t="s">
        <v>2901</v>
      </c>
      <c r="U14" s="3" t="s">
        <v>2895</v>
      </c>
      <c r="W14" s="57" t="s">
        <v>94</v>
      </c>
      <c r="X14" t="str">
        <f>DataItems3[[#This Row],[Collection]]&amp;DataItems3[[#This Row],[Field]]&amp;DataItems3[[#This Row],[Options for supplying the Field]]&amp;DataItems3[[#This Row],[Fieldname]]&amp;DataItems3[[#This Row],[Parent]]</f>
        <v>StaffAcademic discipline 2 (Principal subject JACS v2.0)2008/09 - 2011/12 onlyF_ACCDIS2</v>
      </c>
      <c r="Y14" s="4">
        <v>44853</v>
      </c>
      <c r="Z14" t="s">
        <v>2875</v>
      </c>
      <c r="AA14" s="28" t="str">
        <f t="shared" si="0"/>
        <v>CASE WHEN P.DW_FromDate NOT BETWEEN 20080801 AND 20110801 THEN 'NA_1213' WHEN ISNULL(P.F_ACCDIS2, '-1') IN ('-1', '', ' ', 'XXXX') THEN 'N/A' WHEN SUBSTRING(P.F_ACCDIS2,1,3) IN ('G01', 'G91', 'G02',  'G92') THEN SUBSTRING(P.F_ACCDIS2,1,3) WHEN P.F_ACCDIS2 IN ('T0', 'R0') THEN 'Q0' WHEN SUBSTRING(P.F_ACCDIS2,1,2) = 'J0' THEN 'H0' ELSE SUBSTRING(P.F_ACCDIS2,1,2) END</v>
      </c>
      <c r="AB14" s="28" t="str">
        <f>IF(S14="","",IF(IFERROR(SEARCH("select",S14)&gt;0,0),IF(U14="",IF(MID(S14,SEARCH(H14,S14)-4,1)=" ",MID(S14,SEARCH(H14,S14)-2,LEN(O26)+2),MID(S14,SEARCH(H14,S14)-3,LEN(H14)+3)),U14&amp;"."&amp;H14),S14))</f>
        <v>CASE WHEN P.DW_FromDate NOT BETWEEN 20080801 AND 20110801 THEN 'Not applicable (Prior to 2008/09 and 2012/13 onwards)' WHEN ISNULL(P.F_ACCDIS2, '-1') IN ('-1', '', ' ', 'XXXX') THEN 'Not applicable' ELSE jacs2_2.F_XJACS201_V2_LABELS END</v>
      </c>
      <c r="AC14" s="28" t="str">
        <f t="shared" si="1"/>
        <v/>
      </c>
      <c r="AD14" s="28" t="str">
        <f t="shared" si="2"/>
        <v/>
      </c>
      <c r="AE14" t="str">
        <f t="shared" si="3"/>
        <v>[Academic discipline 2 (Principal subject JACS v2.0)]</v>
      </c>
    </row>
    <row r="15" spans="1:39" ht="16" x14ac:dyDescent="0.2">
      <c r="A15">
        <v>100906</v>
      </c>
      <c r="B15" s="29" t="str">
        <f>DataItems3[[#This Row],[Field]]&amp;IF(DataItems3[[#This Row],[Options for supplying the Field]]="",""," "&amp;DataItems3[[#This Row],[Options for supplying the Field]])</f>
        <v>Academic discipline 2 (Subject area) 2002/03 - 2011/12 only</v>
      </c>
      <c r="C15">
        <v>100906</v>
      </c>
      <c r="D15" s="3" t="s">
        <v>100</v>
      </c>
      <c r="F15" s="3" t="s">
        <v>2902</v>
      </c>
      <c r="G15" s="13" t="s">
        <v>2903</v>
      </c>
      <c r="H15" s="13" t="s">
        <v>2888</v>
      </c>
      <c r="I15" s="13"/>
      <c r="J15" s="3">
        <v>0</v>
      </c>
      <c r="K15" s="3">
        <v>0</v>
      </c>
      <c r="L15" s="3">
        <v>0</v>
      </c>
      <c r="M15" s="3">
        <v>0</v>
      </c>
      <c r="Q15" s="16" t="s">
        <v>2904</v>
      </c>
      <c r="S15" s="16" t="s">
        <v>2905</v>
      </c>
      <c r="U15" s="3" t="s">
        <v>2906</v>
      </c>
      <c r="W15" s="57" t="s">
        <v>94</v>
      </c>
      <c r="X15" t="str">
        <f>DataItems3[[#This Row],[Collection]]&amp;DataItems3[[#This Row],[Field]]&amp;DataItems3[[#This Row],[Options for supplying the Field]]&amp;DataItems3[[#This Row],[Fieldname]]&amp;DataItems3[[#This Row],[Parent]]</f>
        <v>StaffAcademic discipline 2 (Subject area)2002/03 - 2011/12 onlyF_ACCDIS2</v>
      </c>
      <c r="Y15" s="4">
        <v>44853</v>
      </c>
      <c r="Z15" t="s">
        <v>2875</v>
      </c>
      <c r="AA15" s="28" t="str">
        <f t="shared" si="0"/>
        <v>CASE WHEN P.DW_FromDate NOT BETWEEN 20020801 AND 20110801 THEN 'NA_1213' WHEN ISNULL(P.F_ACCDIS2, '-1') IN ('-1', '', ' ', 'XXXX') THEN 'N/A' WHEN p.DW_FromDate BETWEEN 20080801 AND 20110801 THEN jacs2_2.F_XJACSA01_v2 WHEN p.DW_FromDate BETWEEN 20020801 AND 20070801 THEN jacs1_2.F_XJACSA01_v17 ELSE 'ERROR' END</v>
      </c>
      <c r="AB15" s="28" t="str">
        <f t="shared" ref="AB15:AB36" si="4">IF(S15="","",IF(IFERROR(SEARCH("select",S15)&gt;0,0),IF(U15="",IF(MID(S15,SEARCH(H15,S15)-4,1)=" ",MID(S15,SEARCH(H15,S15)-2,LEN(O24)+2),MID(S15,SEARCH(H15,S15)-3,LEN(H15)+3)),U15&amp;"."&amp;H15),S15))</f>
        <v>CASE WHEN P.DW_FromDate NOT BETWEEN 20020801 AND 20110801 THEN 'Not applicable (prior to 2002/03 and 2012/13 onwards)' WHEN ISNULL(P.F_ACCDIS2, '-1') IN ('-1', '', ' ', 'XXXX') THEN 'Not applicable' WHEN p.DW_FromDate BETWEEN 20080801 AND 20110801 THEN jacs2_2.F_XJACSA01_v2_LABELS WHEN p.DW_FromDate BETWEEN 20020801 AND 20070801 THEN jacs1_2.F_XJACSA01_v17_LABELS ELSE 'ERROR' END</v>
      </c>
      <c r="AC15" s="28" t="str">
        <f t="shared" si="1"/>
        <v/>
      </c>
      <c r="AD15" s="28" t="str">
        <f t="shared" si="2"/>
        <v/>
      </c>
      <c r="AE15" t="str">
        <f t="shared" si="3"/>
        <v>[Academic discipline 2 (Subject area)]</v>
      </c>
    </row>
    <row r="16" spans="1:39" ht="80" x14ac:dyDescent="0.2">
      <c r="A16">
        <v>100005</v>
      </c>
      <c r="B16" s="11" t="str">
        <f>DataItems3[[#This Row],[Field]]&amp;IF(DataItems3[[#This Row],[Options for supplying the Field]]="",""," "&amp;DataItems3[[#This Row],[Options for supplying the Field]])</f>
        <v>Academic employment function (Research only/ Teaching &amp; research/ Teaching only/ Neither teaching nor research/ [Not applicable/Unknown])</v>
      </c>
      <c r="C16">
        <v>100005</v>
      </c>
      <c r="D16" s="3" t="s">
        <v>100</v>
      </c>
      <c r="F16" s="3" t="s">
        <v>103</v>
      </c>
      <c r="G16" s="13" t="s">
        <v>104</v>
      </c>
      <c r="H16" s="14" t="s">
        <v>105</v>
      </c>
      <c r="J16" s="3">
        <v>1</v>
      </c>
      <c r="K16" s="3">
        <v>2</v>
      </c>
      <c r="L16" s="3">
        <v>0</v>
      </c>
      <c r="M16" s="3">
        <v>0</v>
      </c>
      <c r="N16" s="3" t="s">
        <v>106</v>
      </c>
      <c r="Q16" s="16" t="s">
        <v>107</v>
      </c>
      <c r="R16" s="3" t="s">
        <v>93</v>
      </c>
      <c r="S16" s="16" t="s">
        <v>108</v>
      </c>
      <c r="U16" s="3" t="s">
        <v>93</v>
      </c>
      <c r="V16" s="3" t="s">
        <v>93</v>
      </c>
      <c r="W16" s="57" t="s">
        <v>109</v>
      </c>
      <c r="X16" t="str">
        <f>DataItems3[[#This Row],[Collection]]&amp;DataItems3[[#This Row],[Field]]&amp;DataItems3[[#This Row],[Options for supplying the Field]]&amp;DataItems3[[#This Row],[Fieldname]]&amp;DataItems3[[#This Row],[Parent]]</f>
        <v>StaffAcademic employment function(Research only/ Teaching &amp; research/ Teaching only/ Neither teaching nor research/ [Not applicable/Unknown])F_ACEMPFUN</v>
      </c>
      <c r="Y16" s="15">
        <v>43391</v>
      </c>
      <c r="Z16" t="s">
        <v>102</v>
      </c>
      <c r="AA16" s="28" t="str">
        <f t="shared" si="0"/>
        <v>CASE WHEN ISNULL(C.F_ACEMPFUN, 'X') IN ('X','', ' ') THEN 'X' ELSE ISNULL(C.F_ACEMPFUN, 'X') END</v>
      </c>
      <c r="AB16" s="28" t="str">
        <f t="shared" si="4"/>
        <v xml:space="preserve"> c.F_ACEMPFUN</v>
      </c>
      <c r="AC16" s="28" t="str">
        <f t="shared" si="1"/>
        <v/>
      </c>
      <c r="AD16" s="28" t="str">
        <f t="shared" si="2"/>
        <v/>
      </c>
      <c r="AE16" t="str">
        <f t="shared" si="3"/>
        <v>[Academic employment function]</v>
      </c>
    </row>
    <row r="17" spans="1:33" ht="16" x14ac:dyDescent="0.2">
      <c r="A17">
        <v>100006</v>
      </c>
      <c r="B17" s="11" t="str">
        <f>DataItems3[[#This Row],[Field]]&amp;IF(DataItems3[[#This Row],[Options for supplying the Field]]="",""," "&amp;DataItems3[[#This Row],[Options for supplying the Field]])</f>
        <v>Academic employment marker</v>
      </c>
      <c r="C17">
        <v>100006</v>
      </c>
      <c r="D17" s="3" t="s">
        <v>100</v>
      </c>
      <c r="F17" s="3" t="s">
        <v>110</v>
      </c>
      <c r="G17" s="13"/>
      <c r="H17" s="14" t="s">
        <v>111</v>
      </c>
      <c r="J17" s="3">
        <v>1</v>
      </c>
      <c r="K17" s="3">
        <v>2</v>
      </c>
      <c r="L17" s="3">
        <v>0</v>
      </c>
      <c r="M17" s="3">
        <v>0</v>
      </c>
      <c r="N17" s="3" t="s">
        <v>106</v>
      </c>
      <c r="Q17" s="16" t="s">
        <v>112</v>
      </c>
      <c r="R17" s="3" t="s">
        <v>93</v>
      </c>
      <c r="S17" s="16" t="s">
        <v>113</v>
      </c>
      <c r="U17" s="3" t="s">
        <v>93</v>
      </c>
      <c r="V17" s="3" t="s">
        <v>93</v>
      </c>
      <c r="W17" s="57" t="s">
        <v>114</v>
      </c>
      <c r="X17" t="str">
        <f>DataItems3[[#This Row],[Collection]]&amp;DataItems3[[#This Row],[Field]]&amp;DataItems3[[#This Row],[Options for supplying the Field]]&amp;DataItems3[[#This Row],[Fieldname]]&amp;DataItems3[[#This Row],[Parent]]</f>
        <v>StaffAcademic employment markerF_XACMRK01</v>
      </c>
      <c r="Y17" s="15">
        <v>43391</v>
      </c>
      <c r="Z17" t="s">
        <v>102</v>
      </c>
      <c r="AA17" s="28" t="str">
        <f t="shared" si="0"/>
        <v>IIF(c.F_XACMRK01 IN ('0','9'),'2',cast(c.F_XACMRK01 as varchar))</v>
      </c>
      <c r="AB17" s="28" t="str">
        <f t="shared" si="4"/>
        <v>IIF(c.F_XACMRK01 IN ('0','9','2'),'Not an academic contract/Not applicable','Academic contract')</v>
      </c>
      <c r="AC17" s="28" t="str">
        <f t="shared" si="1"/>
        <v/>
      </c>
      <c r="AD17" s="28" t="str">
        <f t="shared" si="2"/>
        <v/>
      </c>
      <c r="AE17" t="str">
        <f t="shared" si="3"/>
        <v>[Academic employment marker]</v>
      </c>
    </row>
    <row r="18" spans="1:33" ht="16" x14ac:dyDescent="0.2">
      <c r="A18">
        <v>100007</v>
      </c>
      <c r="B18" s="11" t="str">
        <f>DataItems3[[#This Row],[Field]]&amp;IF(DataItems3[[#This Row],[Options for supplying the Field]]="",""," "&amp;DataItems3[[#This Row],[Options for supplying the Field]])</f>
        <v>Academic leavers marker - 2006/07 onwards</v>
      </c>
      <c r="C18">
        <v>100007</v>
      </c>
      <c r="D18" s="3" t="s">
        <v>100</v>
      </c>
      <c r="F18" s="3" t="s">
        <v>115</v>
      </c>
      <c r="G18" s="13" t="s">
        <v>116</v>
      </c>
      <c r="H18" s="14" t="s">
        <v>117</v>
      </c>
      <c r="J18" s="3">
        <v>1</v>
      </c>
      <c r="K18" s="17">
        <v>1</v>
      </c>
      <c r="L18" s="3">
        <v>0</v>
      </c>
      <c r="M18" s="3">
        <v>0</v>
      </c>
      <c r="N18" s="3" t="s">
        <v>89</v>
      </c>
      <c r="P18" s="17"/>
      <c r="Q18" s="16" t="s">
        <v>118</v>
      </c>
      <c r="R18" s="3" t="s">
        <v>93</v>
      </c>
      <c r="S18" s="16" t="s">
        <v>119</v>
      </c>
      <c r="U18" s="3" t="s">
        <v>120</v>
      </c>
      <c r="V18" s="3" t="s">
        <v>93</v>
      </c>
      <c r="W18" s="57" t="s">
        <v>2907</v>
      </c>
      <c r="X18" t="str">
        <f>DataItems3[[#This Row],[Collection]]&amp;DataItems3[[#This Row],[Field]]&amp;DataItems3[[#This Row],[Options for supplying the Field]]&amp;DataItems3[[#This Row],[Fieldname]]&amp;DataItems3[[#This Row],[Parent]]</f>
        <v>StaffAcademic leavers marker- 2006/07 onwardsF_ZACLEAV02</v>
      </c>
      <c r="Y18" s="15">
        <v>43441</v>
      </c>
      <c r="Z18" t="s">
        <v>95</v>
      </c>
      <c r="AA18" s="28" t="str">
        <f t="shared" si="0"/>
        <v>CASE WHEN cc.DW_FromDate &lt;=20050801 THEN 'Not applicable (2005/06 and prior)' WHEN sd.F_ZACLEAV02 IS NULL THEN '0' ELSE CAST(sd.F_ZACLEAV02 AS VARCHAR) END</v>
      </c>
      <c r="AB18" s="28" t="str">
        <f t="shared" si="4"/>
        <v>CASE WHEN cc.DW_FromDate &lt;=20050801 THEN 'Not applicable (2005/06 and prior)' WHEN ISNULL(sd.F_ZACLEAV02, '0') = '1' THEN 'Academic contract belongs to an academic leaver' WHEN ISNULL(sd.F_ZACLEAV02, '0') = '0' THEN 'Contract is not academic or does not belong to an academic leaver' WHEN ISNULL(sd.F_ZACLEAV02, '0') = '9' THEN 'Not applicable (HE provider left the HE sector)' ELSE CAST(sd.F_ZACLEAV02 AS VARCHAR) END</v>
      </c>
      <c r="AC18" s="28" t="str">
        <f t="shared" si="1"/>
        <v/>
      </c>
      <c r="AD18" s="28" t="str">
        <f t="shared" si="2"/>
        <v/>
      </c>
      <c r="AE18" t="str">
        <f t="shared" si="3"/>
        <v>[Academic leavers marker]</v>
      </c>
    </row>
    <row r="19" spans="1:33" ht="64" x14ac:dyDescent="0.2">
      <c r="A19">
        <v>100009</v>
      </c>
      <c r="B19" s="11" t="str">
        <f>DataItems3[[#This Row],[Field]]&amp;IF(DataItems3[[#This Row],[Options for supplying the Field]]="",""," "&amp;DataItems3[[#This Row],[Options for supplying the Field]])</f>
        <v>Academic leaving destination (UK employment/ Non-UK employment/ No longer in employment/ Unknown destination)</v>
      </c>
      <c r="C19">
        <v>100009</v>
      </c>
      <c r="D19" s="3" t="s">
        <v>100</v>
      </c>
      <c r="F19" s="3" t="s">
        <v>121</v>
      </c>
      <c r="G19" s="13" t="s">
        <v>122</v>
      </c>
      <c r="H19" s="14" t="s">
        <v>93</v>
      </c>
      <c r="J19" s="3">
        <v>3</v>
      </c>
      <c r="K19" s="17">
        <v>2</v>
      </c>
      <c r="L19" s="3">
        <v>0</v>
      </c>
      <c r="M19" s="3">
        <v>0</v>
      </c>
      <c r="N19" s="3" t="s">
        <v>89</v>
      </c>
      <c r="P19" s="17"/>
      <c r="Q19" s="16" t="s">
        <v>93</v>
      </c>
      <c r="R19" s="3" t="s">
        <v>93</v>
      </c>
      <c r="S19" s="16" t="s">
        <v>93</v>
      </c>
      <c r="U19" s="3" t="s">
        <v>93</v>
      </c>
      <c r="V19" s="3" t="s">
        <v>93</v>
      </c>
      <c r="W19" s="57" t="s">
        <v>2907</v>
      </c>
      <c r="X19" t="str">
        <f>DataItems3[[#This Row],[Collection]]&amp;DataItems3[[#This Row],[Field]]&amp;DataItems3[[#This Row],[Options for supplying the Field]]&amp;DataItems3[[#This Row],[Fieldname]]&amp;DataItems3[[#This Row],[Parent]]</f>
        <v>StaffAcademic leaving destination(UK employment/ Non-UK employment/ No longer in employment/ Unknown destination)</v>
      </c>
      <c r="Y19" s="15">
        <v>43441</v>
      </c>
      <c r="Z19" t="s">
        <v>95</v>
      </c>
      <c r="AA19" s="28" t="str">
        <f t="shared" si="0"/>
        <v/>
      </c>
      <c r="AB19" s="28" t="str">
        <f t="shared" si="4"/>
        <v/>
      </c>
      <c r="AC19" s="28" t="str">
        <f t="shared" si="1"/>
        <v/>
      </c>
      <c r="AD19" s="28" t="str">
        <f t="shared" si="2"/>
        <v/>
      </c>
      <c r="AE19" t="str">
        <f t="shared" si="3"/>
        <v>[Academic leaving destination]</v>
      </c>
    </row>
    <row r="20" spans="1:33" ht="16" x14ac:dyDescent="0.2">
      <c r="A20">
        <v>100008</v>
      </c>
      <c r="B20" s="11" t="str">
        <f>DataItems3[[#This Row],[Field]]&amp;IF(DataItems3[[#This Row],[Options for supplying the Field]]="",""," "&amp;DataItems3[[#This Row],[Options for supplying the Field]])</f>
        <v>Academic leaving destination (Full) - 2006/07 onwards</v>
      </c>
      <c r="C20">
        <v>100008</v>
      </c>
      <c r="D20" s="3" t="s">
        <v>100</v>
      </c>
      <c r="F20" s="3" t="s">
        <v>121</v>
      </c>
      <c r="G20" s="13" t="s">
        <v>123</v>
      </c>
      <c r="H20" s="14" t="s">
        <v>124</v>
      </c>
      <c r="J20" s="3">
        <v>2</v>
      </c>
      <c r="K20" s="17">
        <v>4</v>
      </c>
      <c r="L20" s="3">
        <v>2</v>
      </c>
      <c r="M20" s="3">
        <v>2</v>
      </c>
      <c r="N20" s="3" t="s">
        <v>89</v>
      </c>
      <c r="P20" s="17"/>
      <c r="Q20" s="16" t="s">
        <v>125</v>
      </c>
      <c r="R20" s="3" t="s">
        <v>93</v>
      </c>
      <c r="S20" s="16" t="s">
        <v>126</v>
      </c>
      <c r="U20" s="3" t="s">
        <v>120</v>
      </c>
      <c r="V20" s="3" t="s">
        <v>93</v>
      </c>
      <c r="W20" s="57" t="s">
        <v>114</v>
      </c>
      <c r="X20" t="str">
        <f>DataItems3[[#This Row],[Collection]]&amp;DataItems3[[#This Row],[Field]]&amp;DataItems3[[#This Row],[Options for supplying the Field]]&amp;DataItems3[[#This Row],[Fieldname]]&amp;DataItems3[[#This Row],[Parent]]</f>
        <v>StaffAcademic leaving destination(Full) - 2006/07 onwardsF_ZDEST01</v>
      </c>
      <c r="Y20" s="15">
        <v>43441</v>
      </c>
      <c r="Z20" t="s">
        <v>95</v>
      </c>
      <c r="AA20" s="28" t="str">
        <f t="shared" si="0"/>
        <v>CASE WHEN cc.DW_FromDate &lt;=20050801 THEN 'Not applicable (2005/06 and prior)' WHEN sd.F_ZDEST01 IS NULL THEN '$$' ELSE CAST(sd.F_ZDEST01 AS VARCHAR) END</v>
      </c>
      <c r="AB20" s="28" t="str">
        <f t="shared" si="4"/>
        <v>CASE WHEN cc.DW_FromDate &lt;=20050801 THEN 'Not applicable (2005/06 and prior)' WHEN ISNULL(sd.F_ZDEST01, '$$') = '01' THEN 'Another higher education provider in UK' WHEN ISNULL(sd.F_ZDEST01, '$$') = '02' THEN 'Higher education provider in an overseas country' WHEN ISNULL(sd.F_ZDEST01, '$$') = '03' THEN 'Other education provider in UK' WHEN ISNULL(sd.F_ZDEST01, '$$') = '04' THEN 'Other education provider in an overseas country' WHEN ISNULL(sd.F_ZDEST01, '$$') = '05' THEN 'Research institution in the UK' WHEN ISNULL(sd.F_ZDEST01, '$$') = '06' THEN 'Research institution overseas' WHEN ISNULL(sd.F_ZDEST01, '$$') = '07' THEN 'Student in UK' WHEN ISNULL(sd.F_ZDEST01, '$$') = '08' THEN 'Student in an overseas country' WHEN ISNULL(sd.F_ZDEST01, '$$') = '09' THEN 'NHS/General medical or general dental practice in UK' WHEN ISNULL(sd.F_ZDEST01, '$$') = '10' THEN 'Health service in an overseas country' WHEN ISNULL(sd.F_ZDEST01, '$$') = '11' THEN 'Other public sector in UK' WHEN ISNULL(sd.F_ZDEST01, '$$') = '12' THEN 'Private industry/commerce in UK' WHEN ISNULL(sd.F_ZDEST01, '$$') = '13' THEN 'Self-employed in UK' WHEN ISNULL(sd.F_ZDEST01, '$$') = '14' THEN 'Other employment in UK (prior to 2012/13 only)' WHEN ISNULL(sd.F_ZDEST01, '$$') = '15' THEN 'Other employment in an overseas country (prior to 2012/13 only)' WHEN ISNULL(sd.F_ZDEST01, '$$') = '16' THEN 'Voluntary sector in the UK (from 2012/13 onwards)' WHEN ISNULL(sd.F_ZDEST01, '$$') = '17' THEN 'Other public sector in an overseas country (from 2012/13 onwards)' WHEN ISNULL(sd.F_ZDEST01, '$$') = '18' THEN 'Private industry/commerce in an overseas country (from 2012/13 onwards)' WHEN ISNULL(sd.F_ZDEST01, '$$') = '19' THEN 'Self-employed in an overseas country (from 2012/13 onwards)' WHEN ISNULL(sd.F_ZDEST01, '$$') = '20' THEN 'Voluntary sector in an overseas country (from 2012/13 onwards)' WHEN ISNULL(sd.F_ZDEST01, '$$') = '21' THEN 'Not in regular employment' WHEN ISNULL(sd.F_ZDEST01, '$$') = '22' THEN 'Retirement' WHEN ISNULL(sd.F_ZDEST01, '$$') = '31' THEN 'Death' WHEN ISNULL(sd.F_ZDEST01, '$$') = '99' THEN 'Not known' WHEN ISNULL(sd.F_ZDEST01, '$$') = '$$' THEN 'Not applicable' ELSE CAST(sd.F_ZDEST01 AS VARCHAR) END</v>
      </c>
      <c r="AC20" s="28" t="str">
        <f t="shared" si="1"/>
        <v/>
      </c>
      <c r="AD20" s="28" t="str">
        <f t="shared" si="2"/>
        <v/>
      </c>
      <c r="AE20" t="str">
        <f t="shared" si="3"/>
        <v>[Academic leaving destination]</v>
      </c>
    </row>
    <row r="21" spans="1:33" ht="16" x14ac:dyDescent="0.2">
      <c r="A21">
        <v>100010</v>
      </c>
      <c r="B21" s="11" t="str">
        <f>DataItems3[[#This Row],[Field]]&amp;IF(DataItems3[[#This Row],[Options for supplying the Field]]="",""," "&amp;DataItems3[[#This Row],[Options for supplying the Field]])</f>
        <v>Academic starter marker</v>
      </c>
      <c r="C21">
        <v>100010</v>
      </c>
      <c r="D21" s="3" t="s">
        <v>100</v>
      </c>
      <c r="F21" s="3" t="s">
        <v>127</v>
      </c>
      <c r="G21" s="13"/>
      <c r="H21" s="14" t="s">
        <v>128</v>
      </c>
      <c r="J21" s="3">
        <v>1</v>
      </c>
      <c r="K21" s="17">
        <v>1</v>
      </c>
      <c r="L21" s="3">
        <v>0</v>
      </c>
      <c r="M21" s="3">
        <v>0</v>
      </c>
      <c r="N21" s="3" t="s">
        <v>89</v>
      </c>
      <c r="P21" s="17"/>
      <c r="Q21" s="16" t="s">
        <v>129</v>
      </c>
      <c r="R21" s="3" t="s">
        <v>93</v>
      </c>
      <c r="S21" s="16" t="s">
        <v>129</v>
      </c>
      <c r="U21" s="3" t="s">
        <v>120</v>
      </c>
      <c r="V21" s="3" t="s">
        <v>93</v>
      </c>
      <c r="W21" s="57" t="s">
        <v>109</v>
      </c>
      <c r="X21" t="str">
        <f>DataItems3[[#This Row],[Collection]]&amp;DataItems3[[#This Row],[Field]]&amp;DataItems3[[#This Row],[Options for supplying the Field]]&amp;DataItems3[[#This Row],[Fieldname]]&amp;DataItems3[[#This Row],[Parent]]</f>
        <v>StaffAcademic starter markerF_ZACSTAR02</v>
      </c>
      <c r="Y21" s="15">
        <v>43441</v>
      </c>
      <c r="Z21" t="s">
        <v>95</v>
      </c>
      <c r="AA21" s="28" t="str">
        <f t="shared" si="0"/>
        <v>CASE WHEN C.F_XACMRK01 ='2' THEN '9' ELSE cast(sd.f_zacstar02 as varchar) END</v>
      </c>
      <c r="AB21" s="28" t="str">
        <f t="shared" si="4"/>
        <v>CASE WHEN C.F_XACMRK01 ='2' THEN '9' ELSE cast(sd.f_zacstar02 as varchar) END</v>
      </c>
      <c r="AC21" s="28" t="str">
        <f t="shared" si="1"/>
        <v/>
      </c>
      <c r="AD21" s="28" t="str">
        <f t="shared" si="2"/>
        <v/>
      </c>
      <c r="AE21" t="str">
        <f t="shared" si="3"/>
        <v>[Academic starter marker]</v>
      </c>
    </row>
    <row r="22" spans="1:33" ht="16" x14ac:dyDescent="0.2">
      <c r="A22">
        <v>100876</v>
      </c>
      <c r="B22" s="11" t="str">
        <f>DataItems3[[#This Row],[Field]]&amp;IF(DataItems3[[#This Row],[Options for supplying the Field]]="",""," "&amp;DataItems3[[#This Row],[Options for supplying the Field]])</f>
        <v>Academic teaching qualification marker (2012/13 onwards)</v>
      </c>
      <c r="C22">
        <v>100876</v>
      </c>
      <c r="D22" s="3" t="s">
        <v>100</v>
      </c>
      <c r="F22" s="3" t="s">
        <v>130</v>
      </c>
      <c r="G22" s="13" t="s">
        <v>131</v>
      </c>
      <c r="H22" s="14" t="s">
        <v>132</v>
      </c>
      <c r="J22" s="3">
        <v>5</v>
      </c>
      <c r="K22" s="17">
        <v>1</v>
      </c>
      <c r="L22" s="3">
        <v>0</v>
      </c>
      <c r="M22" s="3">
        <v>0</v>
      </c>
      <c r="P22" s="17"/>
      <c r="Q22" s="16" t="s">
        <v>133</v>
      </c>
      <c r="S22" s="16" t="s">
        <v>133</v>
      </c>
      <c r="W22" s="57" t="s">
        <v>2908</v>
      </c>
      <c r="X22" t="str">
        <f>DataItems3[[#This Row],[Collection]]&amp;DataItems3[[#This Row],[Field]]&amp;DataItems3[[#This Row],[Options for supplying the Field]]&amp;DataItems3[[#This Row],[Fieldname]]&amp;DataItems3[[#This Row],[Parent]]</f>
        <v>StaffAcademic teaching qualification marker(2012/13 onwards)F_ACTCHQUAL</v>
      </c>
      <c r="Y22" s="4">
        <v>44729</v>
      </c>
      <c r="Z22" t="s">
        <v>135</v>
      </c>
      <c r="AA22" s="28" t="str">
        <f t="shared" si="0"/>
        <v>CASE when c.dw_fromdate &lt; 20120801 then 'Not applicable before 2012/13' WHEN C.F_XACMRK01 = '2' THEN 'N/A'   WHEN P.F_ACTCHQUAL1 IN ('01', '02', '03', '04', '05', '06', '07', '08', '09', '10') THEN 'Yes'  WHEN P.F_ACTCHQUAL1 = '90' THEN 'Not Known'  WHEN P.F_ACTCHQUAL1 = '99' THEN 'No qualification' ELSE 'Not Known' END</v>
      </c>
      <c r="AB22" s="28" t="str">
        <f t="shared" si="4"/>
        <v>CASE when c.dw_fromdate &lt; 20120801 then 'Not applicable before 2012/13' WHEN C.F_XACMRK01 = '2' THEN 'N/A'   WHEN P.F_ACTCHQUAL1 IN ('01', '02', '03', '04', '05', '06', '07', '08', '09', '10') THEN 'Yes'  WHEN P.F_ACTCHQUAL1 = '90' THEN 'Not Known'  WHEN P.F_ACTCHQUAL1 = '99' THEN 'No qualification' ELSE 'Not Known' END</v>
      </c>
      <c r="AC22" s="28" t="str">
        <f t="shared" si="1"/>
        <v/>
      </c>
      <c r="AD22" s="28" t="str">
        <f t="shared" si="2"/>
        <v/>
      </c>
      <c r="AE22" t="str">
        <f t="shared" si="3"/>
        <v>[Academic teaching qualification marker]</v>
      </c>
    </row>
    <row r="23" spans="1:33" ht="16" x14ac:dyDescent="0.2">
      <c r="A23">
        <v>100012</v>
      </c>
      <c r="B23" s="11" t="str">
        <f>DataItems3[[#This Row],[Field]]&amp;IF(DataItems3[[#This Row],[Options for supplying the Field]]="",""," "&amp;DataItems3[[#This Row],[Options for supplying the Field]])</f>
        <v>Academic year</v>
      </c>
      <c r="C23">
        <v>100012</v>
      </c>
      <c r="D23" s="3" t="s">
        <v>86</v>
      </c>
      <c r="E23" s="3" t="s">
        <v>106</v>
      </c>
      <c r="F23" s="3" t="s">
        <v>136</v>
      </c>
      <c r="G23" s="13"/>
      <c r="H23" s="14" t="s">
        <v>137</v>
      </c>
      <c r="I23" s="3" t="s">
        <v>138</v>
      </c>
      <c r="J23" s="3">
        <v>0</v>
      </c>
      <c r="K23" s="17">
        <v>0</v>
      </c>
      <c r="L23" s="3">
        <v>0</v>
      </c>
      <c r="M23" s="3">
        <v>0</v>
      </c>
      <c r="N23" s="3" t="s">
        <v>106</v>
      </c>
      <c r="P23" s="17"/>
      <c r="Q23" s="16" t="str">
        <f>"SUBSTRING(CAST("&amp;'[3]DW workings'!I2&amp;".DW_FromDate AS VARCHAR(8)),1,4)+'/'+SUBSTRING(CAST("&amp;'[3]DW workings'!I2&amp;".DW_FromDate+10000 AS VARCHAR(8)),3,2)"</f>
        <v>SUBSTRING(CAST(df.DW_FromDate AS VARCHAR(8)),1,4)+'/'+SUBSTRING(CAST(df.DW_FromDate+10000 AS VARCHAR(8)),3,2)</v>
      </c>
      <c r="R23" s="3" t="str">
        <f>"SUBSTRING(CAST("&amp;'[3]DW workings'!I2&amp;".DW_FromDate AS VARCHAR(8)),1,4)+'/'+SUBSTRING(CAST("&amp;'[3]DW workings'!I2&amp;".DW_FromDate+10000 AS VARCHAR(8)),3,2)"</f>
        <v>SUBSTRING(CAST(df.DW_FromDate AS VARCHAR(8)),1,4)+'/'+SUBSTRING(CAST(df.DW_FromDate+10000 AS VARCHAR(8)),3,2)</v>
      </c>
      <c r="S23" s="16" t="str">
        <f>"SUBSTRING(CAST("&amp;'[3]DW workings'!I2&amp;".DW_FromDate AS VARCHAR(8)),1,4)+'/'+SUBSTRING(CAST("&amp;'[3]DW workings'!I2&amp;".DW_FromDate+10000 AS VARCHAR(8)),3,2)"</f>
        <v>SUBSTRING(CAST(df.DW_FromDate AS VARCHAR(8)),1,4)+'/'+SUBSTRING(CAST(df.DW_FromDate+10000 AS VARCHAR(8)),3,2)</v>
      </c>
      <c r="T23" s="3" t="str">
        <f>"SUBSTRING(CAST("&amp;'[3]DW workings'!I2&amp;".DW_FromDate AS VARCHAR(8)),1,4)+'/'+SUBSTRING(CAST("&amp;'[3]DW workings'!I2&amp;".DW_FromDate+10000 AS VARCHAR(8)),3,2)"</f>
        <v>SUBSTRING(CAST(df.DW_FromDate AS VARCHAR(8)),1,4)+'/'+SUBSTRING(CAST(df.DW_FromDate+10000 AS VARCHAR(8)),3,2)</v>
      </c>
      <c r="U23" s="3" t="s">
        <v>93</v>
      </c>
      <c r="V23" s="3">
        <v>1</v>
      </c>
      <c r="W23" s="57" t="s">
        <v>94</v>
      </c>
      <c r="X23" t="str">
        <f>DataItems3[[#This Row],[Collection]]&amp;DataItems3[[#This Row],[Field]]&amp;DataItems3[[#This Row],[Options for supplying the Field]]&amp;DataItems3[[#This Row],[Fieldname]]&amp;DataItems3[[#This Row],[Parent]]</f>
        <v>StudentAcademic yearACYEAR</v>
      </c>
      <c r="Y23" s="15">
        <v>42919</v>
      </c>
      <c r="Z23" t="s">
        <v>139</v>
      </c>
      <c r="AA23" s="28" t="str">
        <f t="shared" si="0"/>
        <v>SUBSTRING(CAST(df.DW_FromDate AS VARCHAR(8)),1,4)+'/'+SUBSTRING(CAST(df.DW_FromDate+10000 AS VARCHAR(8)),3,2)</v>
      </c>
      <c r="AB23" s="28" t="str">
        <f t="shared" si="4"/>
        <v>SUBSTRING(CAST(df.DW_FromDate AS VARCHAR(8)),1,4)+'/'+SUBSTRING(CAST(df.DW_FromDate+10000 AS VARCHAR(8)),3,2)</v>
      </c>
      <c r="AC23" s="28" t="str">
        <f t="shared" si="1"/>
        <v>SUBSTRING(CAST(df.DW_FromDate AS VARCHAR(8)),1,4)+'/'+SUBSTRING(CAST(df.DW_FromDate+10000 AS VARCHAR(8)),3,2)</v>
      </c>
      <c r="AD23" s="28" t="str">
        <f t="shared" si="2"/>
        <v>SUBSTRING(CAST(df.DW_FromDate AS VARCHAR(8)),1,4)+'/'+SUBSTRING(CAST(df.DW_FromDate+10000 AS VARCHAR(8)),3,2)</v>
      </c>
      <c r="AE23" t="str">
        <f t="shared" si="3"/>
        <v>[Academic year]</v>
      </c>
      <c r="AF23" s="58">
        <v>100926</v>
      </c>
      <c r="AG23" s="58"/>
    </row>
    <row r="24" spans="1:33" ht="16" x14ac:dyDescent="0.2">
      <c r="A24">
        <v>100013</v>
      </c>
      <c r="B24" s="11" t="str">
        <f>DataItems3[[#This Row],[Field]]&amp;IF(DataItems3[[#This Row],[Options for supplying the Field]]="",""," "&amp;DataItems3[[#This Row],[Options for supplying the Field]])</f>
        <v>Access programmes</v>
      </c>
      <c r="C24">
        <v>100013</v>
      </c>
      <c r="D24" s="3" t="s">
        <v>86</v>
      </c>
      <c r="F24" s="3" t="s">
        <v>140</v>
      </c>
      <c r="G24" s="13"/>
      <c r="H24" s="14" t="s">
        <v>141</v>
      </c>
      <c r="J24" s="3">
        <v>5</v>
      </c>
      <c r="K24" s="17">
        <v>2</v>
      </c>
      <c r="L24" s="3">
        <v>0</v>
      </c>
      <c r="M24" s="3">
        <v>0</v>
      </c>
      <c r="N24" s="3" t="s">
        <v>89</v>
      </c>
      <c r="P24" s="17"/>
      <c r="Q24" s="16" t="s">
        <v>142</v>
      </c>
      <c r="R24" s="3" t="s">
        <v>91</v>
      </c>
      <c r="S24" s="16" t="s">
        <v>143</v>
      </c>
      <c r="U24" s="3" t="s">
        <v>144</v>
      </c>
      <c r="V24" s="3" t="s">
        <v>93</v>
      </c>
      <c r="W24" s="57" t="s">
        <v>145</v>
      </c>
      <c r="X24" t="str">
        <f>DataItems3[[#This Row],[Collection]]&amp;DataItems3[[#This Row],[Field]]&amp;DataItems3[[#This Row],[Options for supplying the Field]]&amp;DataItems3[[#This Row],[Fieldname]]&amp;DataItems3[[#This Row],[Parent]]</f>
        <v>StudentAccess programmesF_ACCESS</v>
      </c>
      <c r="Y24" s="15">
        <v>43441</v>
      </c>
      <c r="Z24" t="s">
        <v>95</v>
      </c>
      <c r="AA24" s="28" t="str">
        <f t="shared" si="0"/>
        <v>CASE WHEN e.F_ACCESS IN ('',' ','U') THEN 'UNK' WHEN e.F_ACCESS IS NULL THEN 'UNK' ELSE ISNULL(e.F_ACCESS,'UNK') END</v>
      </c>
      <c r="AB24" s="28" t="str">
        <f t="shared" si="4"/>
        <v>CASE WHEN e.f_access = 1 THEN 'Entered HE via the SWAP' WHEN e.f_access = 2 THEN 'Entered HE via other access programme excluding SWAP' ELSE 'Unknown' end</v>
      </c>
      <c r="AC24" s="28" t="str">
        <f t="shared" si="1"/>
        <v xml:space="preserve"> </v>
      </c>
      <c r="AD24" s="28" t="str">
        <f t="shared" si="2"/>
        <v/>
      </c>
      <c r="AE24" t="str">
        <f t="shared" si="3"/>
        <v>[Access programmes]</v>
      </c>
    </row>
    <row r="25" spans="1:33" ht="32" x14ac:dyDescent="0.2">
      <c r="A25">
        <v>100014</v>
      </c>
      <c r="B25" s="11" t="str">
        <f>DataItems3[[#This Row],[Field]]&amp;IF(DataItems3[[#This Row],[Options for supplying the Field]]="",""," "&amp;DataItems3[[#This Row],[Options for supplying the Field]])</f>
        <v>Activity (Paid work for an employer) [ALLACT01]</v>
      </c>
      <c r="C25">
        <v>100014</v>
      </c>
      <c r="D25" s="3" t="s">
        <v>151</v>
      </c>
      <c r="F25" s="3" t="s">
        <v>152</v>
      </c>
      <c r="G25" s="13" t="s">
        <v>153</v>
      </c>
      <c r="H25" s="3" t="s">
        <v>154</v>
      </c>
      <c r="J25" s="3">
        <v>1</v>
      </c>
      <c r="K25" s="3">
        <v>1</v>
      </c>
      <c r="L25" s="3">
        <v>0</v>
      </c>
      <c r="M25" s="3">
        <v>0</v>
      </c>
      <c r="O25" s="18"/>
      <c r="P25" s="3" t="s">
        <v>155</v>
      </c>
      <c r="Q25" s="16" t="s">
        <v>156</v>
      </c>
      <c r="R25" s="3" t="s">
        <v>93</v>
      </c>
      <c r="S25" s="16" t="s">
        <v>157</v>
      </c>
      <c r="U25" s="3" t="s">
        <v>158</v>
      </c>
      <c r="V25" s="3" t="s">
        <v>93</v>
      </c>
      <c r="W25" s="57" t="s">
        <v>2909</v>
      </c>
      <c r="X25" t="str">
        <f>DataItems3[[#This Row],[Collection]]&amp;DataItems3[[#This Row],[Field]]&amp;DataItems3[[#This Row],[Options for supplying the Field]]&amp;DataItems3[[#This Row],[Fieldname]]&amp;DataItems3[[#This Row],[Parent]]</f>
        <v>Graduate OutcomesActivity(Paid work for an employer) [ALLACT01]ALLACT01Provider &gt; Graduate:</v>
      </c>
      <c r="Y25" s="15">
        <v>43550</v>
      </c>
      <c r="Z25" t="s">
        <v>159</v>
      </c>
      <c r="AA25" s="28" t="str">
        <f t="shared" si="0"/>
        <v xml:space="preserve">CASE WHEN ISNULL(g.ZRESPSTATUS, '02')='02' OR ISNULL(g.XACTIVITY, '99')='99' THEN 'Not in GO publication population' else ISNULL(g.ALLACT01,'NA/UNK') end </v>
      </c>
      <c r="AB25" s="28" t="str">
        <f t="shared" si="4"/>
        <v xml:space="preserve">CASE WHEN ISNULL(g.ZRESPSTATUS, '02')='02' OR ISNULL(g.XACTIVITY, '99')='99' THEN 'Not in GO publication population' else ISNULL(ALLACT01.label,'NA/UNK') end </v>
      </c>
      <c r="AC25" s="28" t="str">
        <f t="shared" si="1"/>
        <v/>
      </c>
      <c r="AD25" s="28" t="str">
        <f t="shared" si="2"/>
        <v/>
      </c>
      <c r="AE25" t="s">
        <v>2910</v>
      </c>
    </row>
    <row r="26" spans="1:33" ht="48" x14ac:dyDescent="0.2">
      <c r="A26">
        <v>100015</v>
      </c>
      <c r="B26" s="11" t="str">
        <f>DataItems3[[#This Row],[Field]]&amp;IF(DataItems3[[#This Row],[Options for supplying the Field]]="",""," "&amp;DataItems3[[#This Row],[Options for supplying the Field]])</f>
        <v>Activity (Self-employment/freelancing) [ALLACT02]</v>
      </c>
      <c r="C26">
        <v>100015</v>
      </c>
      <c r="D26" s="3" t="s">
        <v>151</v>
      </c>
      <c r="F26" s="3" t="s">
        <v>152</v>
      </c>
      <c r="G26" s="13" t="s">
        <v>160</v>
      </c>
      <c r="H26" s="3" t="s">
        <v>161</v>
      </c>
      <c r="J26" s="3">
        <v>1</v>
      </c>
      <c r="K26" s="3">
        <v>1</v>
      </c>
      <c r="L26" s="3">
        <v>0</v>
      </c>
      <c r="M26" s="3">
        <v>0</v>
      </c>
      <c r="O26" s="18"/>
      <c r="P26" s="3" t="s">
        <v>155</v>
      </c>
      <c r="Q26" s="16" t="s">
        <v>162</v>
      </c>
      <c r="R26" s="3" t="s">
        <v>93</v>
      </c>
      <c r="S26" s="16" t="s">
        <v>163</v>
      </c>
      <c r="U26" s="3" t="s">
        <v>164</v>
      </c>
      <c r="V26" s="3" t="s">
        <v>93</v>
      </c>
      <c r="W26" s="57" t="s">
        <v>2909</v>
      </c>
      <c r="X26" t="str">
        <f>DataItems3[[#This Row],[Collection]]&amp;DataItems3[[#This Row],[Field]]&amp;DataItems3[[#This Row],[Options for supplying the Field]]&amp;DataItems3[[#This Row],[Fieldname]]&amp;DataItems3[[#This Row],[Parent]]</f>
        <v>Graduate OutcomesActivity(Self-employment/freelancing) [ALLACT02]ALLACT02Provider &gt; Graduate:</v>
      </c>
      <c r="Y26" s="15">
        <v>43550</v>
      </c>
      <c r="Z26" t="s">
        <v>159</v>
      </c>
      <c r="AA26" s="28" t="str">
        <f t="shared" si="0"/>
        <v>CASE WHEN ISNULL(g.ZRESPSTATUS, '02')='02' OR ISNULL(g.XACTIVITY, '99')='99' THEN 'Not in GO publication population' else ISNULL(g.ALLACT02,'NA/UNK') end</v>
      </c>
      <c r="AB26" s="28" t="str">
        <f t="shared" si="4"/>
        <v>CASE WHEN ISNULL(g.ZRESPSTATUS, '02')='02' OR ISNULL(g.XACTIVITY, '99')='99' THEN 'Not in GO publication population' else ISNULL(ALLACT02.label,'NA/UNK') end</v>
      </c>
      <c r="AC26" s="28" t="str">
        <f t="shared" si="1"/>
        <v/>
      </c>
      <c r="AD26" s="28" t="str">
        <f t="shared" si="2"/>
        <v/>
      </c>
      <c r="AE26" t="s">
        <v>2911</v>
      </c>
    </row>
    <row r="27" spans="1:33" ht="32" x14ac:dyDescent="0.2">
      <c r="A27">
        <v>100016</v>
      </c>
      <c r="B27" s="11" t="str">
        <f>DataItems3[[#This Row],[Field]]&amp;IF(DataItems3[[#This Row],[Options for supplying the Field]]="",""," "&amp;DataItems3[[#This Row],[Options for supplying the Field]])</f>
        <v>Activity (Running my own business) [ALLACT03]</v>
      </c>
      <c r="C27">
        <v>100016</v>
      </c>
      <c r="D27" s="3" t="s">
        <v>151</v>
      </c>
      <c r="F27" s="3" t="s">
        <v>152</v>
      </c>
      <c r="G27" s="13" t="s">
        <v>165</v>
      </c>
      <c r="H27" s="3" t="s">
        <v>166</v>
      </c>
      <c r="J27" s="3">
        <v>1</v>
      </c>
      <c r="K27" s="3">
        <v>1</v>
      </c>
      <c r="L27" s="3">
        <v>0</v>
      </c>
      <c r="M27" s="3">
        <v>0</v>
      </c>
      <c r="O27" s="18"/>
      <c r="P27" s="3" t="s">
        <v>155</v>
      </c>
      <c r="Q27" s="16" t="s">
        <v>167</v>
      </c>
      <c r="R27" s="3" t="s">
        <v>93</v>
      </c>
      <c r="S27" s="16" t="s">
        <v>168</v>
      </c>
      <c r="U27" s="3" t="s">
        <v>169</v>
      </c>
      <c r="V27" s="3" t="s">
        <v>93</v>
      </c>
      <c r="W27" s="57" t="s">
        <v>2909</v>
      </c>
      <c r="X27" t="str">
        <f>DataItems3[[#This Row],[Collection]]&amp;DataItems3[[#This Row],[Field]]&amp;DataItems3[[#This Row],[Options for supplying the Field]]&amp;DataItems3[[#This Row],[Fieldname]]&amp;DataItems3[[#This Row],[Parent]]</f>
        <v>Graduate OutcomesActivity(Running my own business) [ALLACT03]ALLACT03Provider &gt; Graduate:</v>
      </c>
      <c r="Y27" s="15">
        <v>43550</v>
      </c>
      <c r="Z27" t="s">
        <v>159</v>
      </c>
      <c r="AA27" s="28" t="str">
        <f t="shared" si="0"/>
        <v>CASE WHEN ISNULL(g.ZRESPSTATUS, '02')='02' OR ISNULL(g.XACTIVITY, '99')='99' THEN 'Not in GO publication population' else ISNULL(g.ALLACT03,'NA/UNK') end</v>
      </c>
      <c r="AB27" s="28" t="str">
        <f t="shared" si="4"/>
        <v>CASE WHEN ISNULL(g.ZRESPSTATUS, '02')='02' OR ISNULL(g.XACTIVITY, '99')='99' THEN 'Not in GO publication population' else ISNULL(ALLACT03.label,'NA/UNK') end</v>
      </c>
      <c r="AC27" s="28" t="str">
        <f t="shared" si="1"/>
        <v/>
      </c>
      <c r="AD27" s="28" t="str">
        <f t="shared" si="2"/>
        <v/>
      </c>
      <c r="AE27" t="s">
        <v>2912</v>
      </c>
    </row>
    <row r="28" spans="1:33" ht="48" x14ac:dyDescent="0.2">
      <c r="A28">
        <v>100017</v>
      </c>
      <c r="B28" s="11" t="str">
        <f>DataItems3[[#This Row],[Field]]&amp;IF(DataItems3[[#This Row],[Options for supplying the Field]]="",""," "&amp;DataItems3[[#This Row],[Options for supplying the Field]])</f>
        <v>Activity (Developing a creative, artistic or professional portfolio) [ALLACT04]</v>
      </c>
      <c r="C28">
        <v>100017</v>
      </c>
      <c r="D28" s="3" t="s">
        <v>151</v>
      </c>
      <c r="F28" s="3" t="s">
        <v>152</v>
      </c>
      <c r="G28" s="13" t="s">
        <v>170</v>
      </c>
      <c r="H28" s="3" t="s">
        <v>171</v>
      </c>
      <c r="J28" s="3">
        <v>1</v>
      </c>
      <c r="K28" s="3">
        <v>1</v>
      </c>
      <c r="L28" s="3">
        <v>0</v>
      </c>
      <c r="M28" s="3">
        <v>0</v>
      </c>
      <c r="O28" s="18"/>
      <c r="P28" s="3" t="s">
        <v>155</v>
      </c>
      <c r="Q28" s="16" t="s">
        <v>172</v>
      </c>
      <c r="R28" s="3" t="s">
        <v>93</v>
      </c>
      <c r="S28" s="16" t="s">
        <v>173</v>
      </c>
      <c r="U28" s="3" t="s">
        <v>174</v>
      </c>
      <c r="V28" s="3" t="s">
        <v>93</v>
      </c>
      <c r="W28" s="57" t="s">
        <v>2909</v>
      </c>
      <c r="X28" t="str">
        <f>DataItems3[[#This Row],[Collection]]&amp;DataItems3[[#This Row],[Field]]&amp;DataItems3[[#This Row],[Options for supplying the Field]]&amp;DataItems3[[#This Row],[Fieldname]]&amp;DataItems3[[#This Row],[Parent]]</f>
        <v>Graduate OutcomesActivity(Developing a creative, artistic or professional portfolio) [ALLACT04]ALLACT04Provider &gt; Graduate:</v>
      </c>
      <c r="Y28" s="15">
        <v>43550</v>
      </c>
      <c r="Z28" t="s">
        <v>159</v>
      </c>
      <c r="AA28" s="28" t="str">
        <f t="shared" si="0"/>
        <v>CASE WHEN ISNULL(g.ZRESPSTATUS, '02')='02' OR ISNULL(g.XACTIVITY, '99')='99' THEN 'Not in GO publication population' else ISNULL(g.ALLACT04,'NA/UNK') end</v>
      </c>
      <c r="AB28" s="28" t="str">
        <f t="shared" si="4"/>
        <v>CASE WHEN ISNULL(g.ZRESPSTATUS, '02')='02' OR ISNULL(g.XACTIVITY, '99')='99' THEN 'Not in GO publication population' else ISNULL(ALLACT04.label,'NA/UNK') end</v>
      </c>
      <c r="AC28" s="28" t="str">
        <f t="shared" si="1"/>
        <v/>
      </c>
      <c r="AD28" s="28" t="str">
        <f t="shared" si="2"/>
        <v/>
      </c>
      <c r="AE28" t="s">
        <v>2913</v>
      </c>
    </row>
    <row r="29" spans="1:33" ht="48" x14ac:dyDescent="0.2">
      <c r="A29">
        <v>100018</v>
      </c>
      <c r="B29" s="11" t="str">
        <f>DataItems3[[#This Row],[Field]]&amp;IF(DataItems3[[#This Row],[Options for supplying the Field]]="",""," "&amp;DataItems3[[#This Row],[Options for supplying the Field]])</f>
        <v>Activity (Voluntary/unpaid work for an employer) [ALLACT05]</v>
      </c>
      <c r="C29">
        <v>100018</v>
      </c>
      <c r="D29" s="3" t="s">
        <v>151</v>
      </c>
      <c r="F29" s="3" t="s">
        <v>152</v>
      </c>
      <c r="G29" s="13" t="s">
        <v>175</v>
      </c>
      <c r="H29" s="3" t="s">
        <v>176</v>
      </c>
      <c r="J29" s="3">
        <v>1</v>
      </c>
      <c r="K29" s="3">
        <v>1</v>
      </c>
      <c r="L29" s="3">
        <v>0</v>
      </c>
      <c r="M29" s="3">
        <v>0</v>
      </c>
      <c r="O29" s="18"/>
      <c r="P29" s="3" t="s">
        <v>155</v>
      </c>
      <c r="Q29" s="16" t="s">
        <v>177</v>
      </c>
      <c r="R29" s="3" t="s">
        <v>93</v>
      </c>
      <c r="S29" s="16" t="s">
        <v>178</v>
      </c>
      <c r="U29" s="3" t="s">
        <v>179</v>
      </c>
      <c r="V29" s="3" t="s">
        <v>93</v>
      </c>
      <c r="W29" s="57" t="s">
        <v>2909</v>
      </c>
      <c r="X29" t="str">
        <f>DataItems3[[#This Row],[Collection]]&amp;DataItems3[[#This Row],[Field]]&amp;DataItems3[[#This Row],[Options for supplying the Field]]&amp;DataItems3[[#This Row],[Fieldname]]&amp;DataItems3[[#This Row],[Parent]]</f>
        <v>Graduate OutcomesActivity(Voluntary/unpaid work for an employer) [ALLACT05]ALLACT05Provider &gt; Graduate:</v>
      </c>
      <c r="Y29" s="15">
        <v>43550</v>
      </c>
      <c r="Z29" t="s">
        <v>159</v>
      </c>
      <c r="AA29" s="28" t="str">
        <f t="shared" si="0"/>
        <v>CASE WHEN ISNULL(g.ZRESPSTATUS, '02')='02' OR ISNULL(g.XACTIVITY, '99')='99' THEN 'Not in GO publication population' else ISNULL(g.ALLACT05,'NA/UNK') end</v>
      </c>
      <c r="AB29" s="28" t="str">
        <f t="shared" si="4"/>
        <v>CASE WHEN ISNULL(g.ZRESPSTATUS, '02')='02' OR ISNULL(g.XACTIVITY, '99')='99' THEN 'Not in GO publication population' else ISNULL(ALLACT05.label,'NA/UNK') end</v>
      </c>
      <c r="AC29" s="28" t="str">
        <f t="shared" si="1"/>
        <v/>
      </c>
      <c r="AD29" s="28" t="str">
        <f t="shared" si="2"/>
        <v/>
      </c>
      <c r="AE29" t="s">
        <v>2914</v>
      </c>
    </row>
    <row r="30" spans="1:33" ht="48" x14ac:dyDescent="0.2">
      <c r="A30">
        <v>100019</v>
      </c>
      <c r="B30" s="11" t="str">
        <f>DataItems3[[#This Row],[Field]]&amp;IF(DataItems3[[#This Row],[Options for supplying the Field]]="",""," "&amp;DataItems3[[#This Row],[Options for supplying the Field]])</f>
        <v>Activity (Engaged in a course of study, training or research) [ALLACT06]</v>
      </c>
      <c r="C30">
        <v>100019</v>
      </c>
      <c r="D30" s="3" t="s">
        <v>151</v>
      </c>
      <c r="F30" s="3" t="s">
        <v>152</v>
      </c>
      <c r="G30" s="13" t="s">
        <v>180</v>
      </c>
      <c r="H30" s="3" t="s">
        <v>181</v>
      </c>
      <c r="J30" s="3">
        <v>1</v>
      </c>
      <c r="K30" s="3">
        <v>1</v>
      </c>
      <c r="L30" s="3">
        <v>0</v>
      </c>
      <c r="M30" s="3">
        <v>0</v>
      </c>
      <c r="O30" s="18"/>
      <c r="P30" s="3" t="s">
        <v>155</v>
      </c>
      <c r="Q30" s="16" t="s">
        <v>182</v>
      </c>
      <c r="R30" s="3" t="s">
        <v>93</v>
      </c>
      <c r="S30" s="16" t="s">
        <v>183</v>
      </c>
      <c r="U30" s="3" t="s">
        <v>184</v>
      </c>
      <c r="V30" s="3" t="s">
        <v>93</v>
      </c>
      <c r="W30" s="57" t="s">
        <v>2909</v>
      </c>
      <c r="X30" t="str">
        <f>DataItems3[[#This Row],[Collection]]&amp;DataItems3[[#This Row],[Field]]&amp;DataItems3[[#This Row],[Options for supplying the Field]]&amp;DataItems3[[#This Row],[Fieldname]]&amp;DataItems3[[#This Row],[Parent]]</f>
        <v>Graduate OutcomesActivity(Engaged in a course of study, training or research) [ALLACT06]ALLACT06Provider &gt; Graduate:</v>
      </c>
      <c r="Y30" s="15">
        <v>43550</v>
      </c>
      <c r="Z30" t="s">
        <v>159</v>
      </c>
      <c r="AA30" s="28" t="str">
        <f t="shared" si="0"/>
        <v>CASE WHEN ISNULL(g.ZRESPSTATUS, '02')='02' OR ISNULL(g.XACTIVITY, '99')='99' THEN 'Not in GO publication population' else ISNULL(g.ALLACT06,'NA/UNK') end</v>
      </c>
      <c r="AB30" s="28" t="str">
        <f t="shared" si="4"/>
        <v>CASE WHEN ISNULL(g.ZRESPSTATUS, '02')='02' OR ISNULL(g.XACTIVITY, '99')='99' THEN 'Not in GO publication population' else ISNULL(ALLACT06.label,'NA/UNK') end</v>
      </c>
      <c r="AC30" s="28" t="str">
        <f t="shared" si="1"/>
        <v/>
      </c>
      <c r="AD30" s="28" t="str">
        <f t="shared" si="2"/>
        <v/>
      </c>
      <c r="AE30" t="s">
        <v>2915</v>
      </c>
    </row>
    <row r="31" spans="1:33" ht="64" x14ac:dyDescent="0.2">
      <c r="A31">
        <v>100020</v>
      </c>
      <c r="B31" s="11" t="str">
        <f>DataItems3[[#This Row],[Field]]&amp;IF(DataItems3[[#This Row],[Options for supplying the Field]]="",""," "&amp;DataItems3[[#This Row],[Options for supplying the Field]])</f>
        <v>Activity (Taking time out to travel - this does not include short-term holidays) [ALLACT07]</v>
      </c>
      <c r="C31">
        <v>100020</v>
      </c>
      <c r="D31" s="3" t="s">
        <v>151</v>
      </c>
      <c r="F31" s="3" t="s">
        <v>152</v>
      </c>
      <c r="G31" s="13" t="s">
        <v>185</v>
      </c>
      <c r="H31" s="3" t="s">
        <v>186</v>
      </c>
      <c r="J31" s="3">
        <v>1</v>
      </c>
      <c r="K31" s="3">
        <v>1</v>
      </c>
      <c r="L31" s="3">
        <v>0</v>
      </c>
      <c r="M31" s="3">
        <v>0</v>
      </c>
      <c r="O31" s="18"/>
      <c r="P31" s="3" t="s">
        <v>155</v>
      </c>
      <c r="Q31" s="16" t="s">
        <v>187</v>
      </c>
      <c r="R31" s="3" t="s">
        <v>93</v>
      </c>
      <c r="S31" s="16" t="s">
        <v>188</v>
      </c>
      <c r="U31" s="3" t="s">
        <v>189</v>
      </c>
      <c r="V31" s="3" t="s">
        <v>93</v>
      </c>
      <c r="W31" s="57" t="s">
        <v>2909</v>
      </c>
      <c r="X31" t="str">
        <f>DataItems3[[#This Row],[Collection]]&amp;DataItems3[[#This Row],[Field]]&amp;DataItems3[[#This Row],[Options for supplying the Field]]&amp;DataItems3[[#This Row],[Fieldname]]&amp;DataItems3[[#This Row],[Parent]]</f>
        <v>Graduate OutcomesActivity(Taking time out to travel - this does not include short-term holidays) [ALLACT07]ALLACT07Provider &gt; Graduate:</v>
      </c>
      <c r="Y31" s="15">
        <v>43550</v>
      </c>
      <c r="Z31" t="s">
        <v>159</v>
      </c>
      <c r="AA31" s="28" t="str">
        <f t="shared" si="0"/>
        <v>CASE WHEN ISNULL(g.ZRESPSTATUS, '02')='02' OR ISNULL(g.XACTIVITY, '99')='99' THEN 'Not in GO publication population' else ISNULL(g.ALLACT07,'NA/UNK') end</v>
      </c>
      <c r="AB31" s="28" t="str">
        <f t="shared" si="4"/>
        <v>CASE WHEN ISNULL(g.ZRESPSTATUS, '02')='02' OR ISNULL(g.XACTIVITY, '99')='99' THEN 'Not in GO publication population' else ISNULL(ALLACT07.label,'NA/UNK') end</v>
      </c>
      <c r="AC31" s="28" t="str">
        <f t="shared" si="1"/>
        <v/>
      </c>
      <c r="AD31" s="28" t="str">
        <f t="shared" si="2"/>
        <v/>
      </c>
      <c r="AE31" t="s">
        <v>2916</v>
      </c>
    </row>
    <row r="32" spans="1:33" ht="32" x14ac:dyDescent="0.2">
      <c r="A32">
        <v>100021</v>
      </c>
      <c r="B32" s="11" t="str">
        <f>DataItems3[[#This Row],[Field]]&amp;IF(DataItems3[[#This Row],[Options for supplying the Field]]="",""," "&amp;DataItems3[[#This Row],[Options for supplying the Field]])</f>
        <v>Activity (Caring for someone (unpaid)) [ALLACT08]</v>
      </c>
      <c r="C32">
        <v>100021</v>
      </c>
      <c r="D32" s="3" t="s">
        <v>151</v>
      </c>
      <c r="F32" s="3" t="s">
        <v>152</v>
      </c>
      <c r="G32" s="13" t="s">
        <v>190</v>
      </c>
      <c r="H32" s="3" t="s">
        <v>191</v>
      </c>
      <c r="J32" s="3">
        <v>1</v>
      </c>
      <c r="K32" s="3">
        <v>1</v>
      </c>
      <c r="L32" s="3">
        <v>2</v>
      </c>
      <c r="M32" s="3">
        <v>2</v>
      </c>
      <c r="O32" s="18"/>
      <c r="P32" s="3" t="s">
        <v>155</v>
      </c>
      <c r="Q32" s="16" t="s">
        <v>192</v>
      </c>
      <c r="R32" s="3" t="s">
        <v>93</v>
      </c>
      <c r="S32" s="16" t="s">
        <v>193</v>
      </c>
      <c r="U32" s="3" t="s">
        <v>194</v>
      </c>
      <c r="V32" s="3" t="s">
        <v>93</v>
      </c>
      <c r="W32" s="57" t="s">
        <v>2909</v>
      </c>
      <c r="X32" t="str">
        <f>DataItems3[[#This Row],[Collection]]&amp;DataItems3[[#This Row],[Field]]&amp;DataItems3[[#This Row],[Options for supplying the Field]]&amp;DataItems3[[#This Row],[Fieldname]]&amp;DataItems3[[#This Row],[Parent]]</f>
        <v>Graduate OutcomesActivity(Caring for someone (unpaid)) [ALLACT08]ALLACT08Provider &gt; Graduate:</v>
      </c>
      <c r="Y32" s="15">
        <v>43550</v>
      </c>
      <c r="Z32" t="s">
        <v>159</v>
      </c>
      <c r="AA32" s="28" t="str">
        <f t="shared" si="0"/>
        <v>CASE WHEN ISNULL(g.ZRESPSTATUS, '02')='02' OR ISNULL(g.XACTIVITY, '99')='99' THEN 'Not in GO publication population' else ISNULL(g.ALLACT08,'NA/UNK') end</v>
      </c>
      <c r="AB32" s="28" t="str">
        <f t="shared" si="4"/>
        <v>CASE WHEN ISNULL(g.ZRESPSTATUS, '02')='02' OR ISNULL(g.XACTIVITY, '99')='99' THEN 'Not in GO publication population' else ISNULL(ALLACT08.label,'NA/UNK') end</v>
      </c>
      <c r="AC32" s="28" t="str">
        <f t="shared" si="1"/>
        <v/>
      </c>
      <c r="AD32" s="28" t="str">
        <f t="shared" si="2"/>
        <v/>
      </c>
      <c r="AE32" t="s">
        <v>2917</v>
      </c>
    </row>
    <row r="33" spans="1:31" ht="16" x14ac:dyDescent="0.2">
      <c r="A33">
        <v>100022</v>
      </c>
      <c r="B33" s="11" t="str">
        <f>DataItems3[[#This Row],[Field]]&amp;IF(DataItems3[[#This Row],[Options for supplying the Field]]="",""," "&amp;DataItems3[[#This Row],[Options for supplying the Field]])</f>
        <v>Activity (Retired) [ALLACT09]</v>
      </c>
      <c r="C33">
        <v>100022</v>
      </c>
      <c r="D33" s="3" t="s">
        <v>151</v>
      </c>
      <c r="F33" s="3" t="s">
        <v>152</v>
      </c>
      <c r="G33" s="13" t="s">
        <v>195</v>
      </c>
      <c r="H33" s="3" t="s">
        <v>196</v>
      </c>
      <c r="J33" s="3">
        <v>1</v>
      </c>
      <c r="K33" s="3">
        <v>1</v>
      </c>
      <c r="L33" s="3">
        <v>2</v>
      </c>
      <c r="M33" s="3">
        <v>0</v>
      </c>
      <c r="O33" s="18"/>
      <c r="P33" s="3" t="s">
        <v>155</v>
      </c>
      <c r="Q33" s="16" t="s">
        <v>197</v>
      </c>
      <c r="R33" s="3" t="s">
        <v>93</v>
      </c>
      <c r="S33" s="16" t="s">
        <v>198</v>
      </c>
      <c r="U33" s="3" t="s">
        <v>199</v>
      </c>
      <c r="V33" s="3" t="s">
        <v>93</v>
      </c>
      <c r="W33" s="57" t="s">
        <v>2909</v>
      </c>
      <c r="X33" t="str">
        <f>DataItems3[[#This Row],[Collection]]&amp;DataItems3[[#This Row],[Field]]&amp;DataItems3[[#This Row],[Options for supplying the Field]]&amp;DataItems3[[#This Row],[Fieldname]]&amp;DataItems3[[#This Row],[Parent]]</f>
        <v>Graduate OutcomesActivity(Retired) [ALLACT09]ALLACT09Provider &gt; Graduate:</v>
      </c>
      <c r="Y33" s="15">
        <v>43550</v>
      </c>
      <c r="Z33" t="s">
        <v>159</v>
      </c>
      <c r="AA33" s="28" t="str">
        <f t="shared" si="0"/>
        <v>CASE WHEN ISNULL(g.ZRESPSTATUS, '02')='02' OR ISNULL(g.XACTIVITY, '99')='99' THEN 'Not in GO publication population' else ISNULL(g.ALLACT09,'NA/UNK') end</v>
      </c>
      <c r="AB33" s="28" t="str">
        <f t="shared" si="4"/>
        <v>CASE WHEN ISNULL(g.ZRESPSTATUS, '02')='02' OR ISNULL(g.XACTIVITY, '99')='99' THEN 'Not in GO publication population' else ISNULL(ALLACT09.label,'NA/UNK') end</v>
      </c>
      <c r="AC33" s="28" t="str">
        <f t="shared" si="1"/>
        <v/>
      </c>
      <c r="AD33" s="28" t="str">
        <f t="shared" si="2"/>
        <v/>
      </c>
      <c r="AE33" t="s">
        <v>2918</v>
      </c>
    </row>
    <row r="34" spans="1:31" ht="48" x14ac:dyDescent="0.2">
      <c r="A34">
        <v>100023</v>
      </c>
      <c r="B34" s="11" t="str">
        <f>DataItems3[[#This Row],[Field]]&amp;IF(DataItems3[[#This Row],[Options for supplying the Field]]="",""," "&amp;DataItems3[[#This Row],[Options for supplying the Field]])</f>
        <v>Activity (Unemployed and looking for work) [ALLACT10]</v>
      </c>
      <c r="C34">
        <v>100023</v>
      </c>
      <c r="D34" s="3" t="s">
        <v>151</v>
      </c>
      <c r="F34" s="3" t="s">
        <v>152</v>
      </c>
      <c r="G34" s="13" t="s">
        <v>200</v>
      </c>
      <c r="H34" s="3" t="s">
        <v>201</v>
      </c>
      <c r="J34" s="3">
        <v>1</v>
      </c>
      <c r="K34" s="3">
        <v>1</v>
      </c>
      <c r="L34" s="3">
        <v>0</v>
      </c>
      <c r="M34" s="3">
        <v>0</v>
      </c>
      <c r="O34" s="18"/>
      <c r="P34" s="3" t="s">
        <v>155</v>
      </c>
      <c r="Q34" s="16" t="s">
        <v>202</v>
      </c>
      <c r="R34" s="3" t="s">
        <v>93</v>
      </c>
      <c r="S34" s="16" t="s">
        <v>203</v>
      </c>
      <c r="U34" s="3" t="s">
        <v>204</v>
      </c>
      <c r="V34" s="3" t="s">
        <v>93</v>
      </c>
      <c r="W34" s="57" t="s">
        <v>2909</v>
      </c>
      <c r="X34" t="str">
        <f>DataItems3[[#This Row],[Collection]]&amp;DataItems3[[#This Row],[Field]]&amp;DataItems3[[#This Row],[Options for supplying the Field]]&amp;DataItems3[[#This Row],[Fieldname]]&amp;DataItems3[[#This Row],[Parent]]</f>
        <v>Graduate OutcomesActivity(Unemployed and looking for work) [ALLACT10]ALLACT10Provider &gt; Graduate:</v>
      </c>
      <c r="Y34" s="15">
        <v>43550</v>
      </c>
      <c r="Z34" t="s">
        <v>159</v>
      </c>
      <c r="AA34" s="28" t="str">
        <f t="shared" si="0"/>
        <v>CASE WHEN ISNULL(g.ZRESPSTATUS, '02')='02' OR ISNULL(g.XACTIVITY, '99')='99' THEN 'Not in GO publication population' else ISNULL(g.ALLACT10,'NA/UNK') end</v>
      </c>
      <c r="AB34" s="28" t="str">
        <f t="shared" si="4"/>
        <v>CASE WHEN ISNULL(g.ZRESPSTATUS, '02')='02' OR ISNULL(g.XACTIVITY, '99')='99' THEN 'Not in GO publication population' else ISNULL(ALLACT10.label,'NA/UNK') end</v>
      </c>
      <c r="AC34" s="28" t="str">
        <f t="shared" si="1"/>
        <v/>
      </c>
      <c r="AD34" s="28" t="str">
        <f t="shared" si="2"/>
        <v/>
      </c>
      <c r="AE34" t="s">
        <v>2919</v>
      </c>
    </row>
    <row r="35" spans="1:31" ht="32" x14ac:dyDescent="0.2">
      <c r="A35">
        <v>100024</v>
      </c>
      <c r="B35" s="11" t="str">
        <f>DataItems3[[#This Row],[Field]]&amp;IF(DataItems3[[#This Row],[Options for supplying the Field]]="",""," "&amp;DataItems3[[#This Row],[Options for supplying the Field]])</f>
        <v>Activity (Doing something else) [ALLACT11]</v>
      </c>
      <c r="C35">
        <v>100024</v>
      </c>
      <c r="D35" s="3" t="s">
        <v>151</v>
      </c>
      <c r="F35" s="3" t="s">
        <v>152</v>
      </c>
      <c r="G35" s="13" t="s">
        <v>205</v>
      </c>
      <c r="H35" s="3" t="s">
        <v>206</v>
      </c>
      <c r="J35" s="3">
        <v>1</v>
      </c>
      <c r="K35" s="3">
        <v>1</v>
      </c>
      <c r="L35" s="3">
        <v>0</v>
      </c>
      <c r="M35" s="3">
        <v>0</v>
      </c>
      <c r="O35" s="18"/>
      <c r="P35" s="3" t="s">
        <v>155</v>
      </c>
      <c r="Q35" s="16" t="s">
        <v>207</v>
      </c>
      <c r="R35" s="3" t="s">
        <v>93</v>
      </c>
      <c r="S35" s="16" t="s">
        <v>208</v>
      </c>
      <c r="U35" s="3" t="s">
        <v>209</v>
      </c>
      <c r="V35" s="3" t="s">
        <v>93</v>
      </c>
      <c r="W35" s="57" t="s">
        <v>2909</v>
      </c>
      <c r="X35" t="str">
        <f>DataItems3[[#This Row],[Collection]]&amp;DataItems3[[#This Row],[Field]]&amp;DataItems3[[#This Row],[Options for supplying the Field]]&amp;DataItems3[[#This Row],[Fieldname]]&amp;DataItems3[[#This Row],[Parent]]</f>
        <v>Graduate OutcomesActivity(Doing something else) [ALLACT11]ALLACT11Provider &gt; Graduate:</v>
      </c>
      <c r="Y35" s="15">
        <v>43550</v>
      </c>
      <c r="Z35" t="s">
        <v>159</v>
      </c>
      <c r="AA35" s="28" t="str">
        <f t="shared" si="0"/>
        <v>CASE WHEN ISNULL(g.ZRESPSTATUS, '02')='02' OR ISNULL(g.XACTIVITY, '99')='99' THEN 'Not in GO publication population' else ISNULL(g.ALLACT11,'NA/UNK') end</v>
      </c>
      <c r="AB35" s="28" t="str">
        <f t="shared" si="4"/>
        <v>CASE WHEN ISNULL(g.ZRESPSTATUS, '02')='02' OR ISNULL(g.XACTIVITY, '99')='99' THEN 'Not in GO publication population' else ISNULL(ALLACT11.label,'NA/UNK') end</v>
      </c>
      <c r="AC35" s="28" t="str">
        <f t="shared" si="1"/>
        <v/>
      </c>
      <c r="AD35" s="28" t="str">
        <f t="shared" si="2"/>
        <v/>
      </c>
      <c r="AE35" t="s">
        <v>2920</v>
      </c>
    </row>
    <row r="36" spans="1:31" ht="32" x14ac:dyDescent="0.2">
      <c r="A36">
        <v>100025</v>
      </c>
      <c r="B36" s="11" t="str">
        <f>DataItems3[[#This Row],[Field]]&amp;IF(DataItems3[[#This Row],[Options for supplying the Field]]="",""," "&amp;DataItems3[[#This Row],[Options for supplying the Field]])</f>
        <v>Activity (Full - 2011/12 and prior)</v>
      </c>
      <c r="C36">
        <v>100025</v>
      </c>
      <c r="D36" s="3" t="s">
        <v>100</v>
      </c>
      <c r="F36" s="3" t="s">
        <v>152</v>
      </c>
      <c r="G36" s="13" t="s">
        <v>210</v>
      </c>
      <c r="H36" s="14" t="s">
        <v>211</v>
      </c>
      <c r="J36" s="3">
        <v>2</v>
      </c>
      <c r="K36" s="3">
        <v>2</v>
      </c>
      <c r="L36" s="3">
        <v>1</v>
      </c>
      <c r="M36" s="3">
        <v>0</v>
      </c>
      <c r="Q36" s="16" t="s">
        <v>212</v>
      </c>
      <c r="R36" s="3" t="s">
        <v>93</v>
      </c>
      <c r="S36" s="16" t="s">
        <v>213</v>
      </c>
      <c r="U36" s="3" t="s">
        <v>214</v>
      </c>
      <c r="V36" s="3" t="s">
        <v>93</v>
      </c>
      <c r="W36" s="57" t="s">
        <v>2909</v>
      </c>
      <c r="X36" t="str">
        <f>DataItems3[[#This Row],[Collection]]&amp;DataItems3[[#This Row],[Field]]&amp;DataItems3[[#This Row],[Options for supplying the Field]]&amp;DataItems3[[#This Row],[Fieldname]]&amp;DataItems3[[#This Row],[Parent]]</f>
        <v>StaffActivity(Full - 2011/12 and prior)F_ACT</v>
      </c>
      <c r="Y36" s="15">
        <v>43684</v>
      </c>
      <c r="Z36" t="s">
        <v>95</v>
      </c>
      <c r="AA36" s="28" t="str">
        <f t="shared" si="0"/>
        <v>CASE WHEN cc.DW_FromDate &gt;= 20120801 THEN 'Not applicable (2012/13 onwards)' ELSE cc.F_ACT END</v>
      </c>
      <c r="AB36" s="28" t="str">
        <f t="shared" si="4"/>
        <v>CASE WHEN cc.DW_FromDate &gt;= 20120801 THEN 'Not applicable (2012/13 onwards)' ELSE ACT.label END</v>
      </c>
      <c r="AC36" s="28" t="str">
        <f t="shared" si="1"/>
        <v/>
      </c>
      <c r="AD36" s="28" t="str">
        <f t="shared" si="2"/>
        <v/>
      </c>
      <c r="AE36" t="str">
        <f t="shared" ref="AE36:AE73" si="5">IF(F36="","","["&amp;SUBSTITUTE(SUBSTITUTE(SUBSTITUTE(F36,"[","{"),"]","}"),"⁽"&amp;CHAR(185)&amp;"⁾","")&amp;"]")</f>
        <v>[Activity]</v>
      </c>
    </row>
    <row r="37" spans="1:31" ht="16" x14ac:dyDescent="0.2">
      <c r="A37">
        <v>100883</v>
      </c>
      <c r="B37" s="29" t="str">
        <f>DataItems3[[#This Row],[Field]]&amp;IF(DataItems3[[#This Row],[Options for supplying the Field]]="",""," "&amp;DataItems3[[#This Row],[Options for supplying the Field]])</f>
        <v>Activity (2007/08 - 2010/11)</v>
      </c>
      <c r="C37">
        <v>100883</v>
      </c>
      <c r="D37" s="3" t="s">
        <v>146</v>
      </c>
      <c r="F37" s="3" t="s">
        <v>2833</v>
      </c>
      <c r="G37" s="13"/>
      <c r="H37" s="13" t="s">
        <v>2834</v>
      </c>
      <c r="I37" s="13"/>
      <c r="J37" s="3">
        <v>1</v>
      </c>
      <c r="K37" s="3">
        <v>2</v>
      </c>
      <c r="L37" s="3">
        <v>0</v>
      </c>
      <c r="M37" s="3">
        <v>0</v>
      </c>
      <c r="N37" s="3" t="s">
        <v>149</v>
      </c>
      <c r="Q37" s="16" t="s">
        <v>2921</v>
      </c>
      <c r="S37" s="16" t="s">
        <v>2921</v>
      </c>
      <c r="W37" s="57" t="s">
        <v>150</v>
      </c>
      <c r="X37" t="str">
        <f>DataItems3[[#This Row],[Collection]]&amp;DataItems3[[#This Row],[Field]]&amp;DataItems3[[#This Row],[Options for supplying the Field]]&amp;DataItems3[[#This Row],[Fieldname]]&amp;DataItems3[[#This Row],[Parent]]</f>
        <v>DLHEActivity (2007/08 - 2010/11)F_XACTIV01</v>
      </c>
      <c r="Y37" s="15"/>
      <c r="AA37" s="28" t="str">
        <f t="shared" si="0"/>
        <v>CASE WHEN s.DW_FromDate &gt;=20110801 THEN 'N/A year' WHEN AND s.F_XPDLHE02!='1' AND ISNULL(dh.F_XPDLHE,'0')!='1' AND ISNULL(dh.F_XACTIV01,'X')='X' THEN 'NDLHE' ELSE ISNULL(dh.F_XACTIV01,'Z') END</v>
      </c>
      <c r="AB37" s="28" t="str">
        <f>IF(S37="","",IF(IFERROR(SEARCH("select",S37)&gt;0,0),IF(U37="",IF(MID(S37,SEARCH(H37,S37)-4,1)=" ",MID(S37,SEARCH(H37,S37)-2,LEN(O66)+2),MID(S37,SEARCH(H37,S37)-3,LEN(H37)+3)),U37&amp;"."&amp;H37),S37))</f>
        <v>CASE WHEN s.DW_FromDate &gt;=20110801 THEN 'N/A year' WHEN AND s.F_XPDLHE02!='1' AND ISNULL(dh.F_XPDLHE,'0')!='1' AND ISNULL(dh.F_XACTIV01,'X')='X' THEN 'NDLHE' ELSE ISNULL(dh.F_XACTIV01,'Z') END</v>
      </c>
      <c r="AC37" s="28" t="str">
        <f t="shared" si="1"/>
        <v/>
      </c>
      <c r="AD37" s="28" t="str">
        <f t="shared" si="2"/>
        <v/>
      </c>
      <c r="AE37" t="str">
        <f t="shared" si="5"/>
        <v>[Activity (2007/08 - 2010/11)]</v>
      </c>
    </row>
    <row r="38" spans="1:31" ht="16" x14ac:dyDescent="0.2">
      <c r="A38">
        <v>100026</v>
      </c>
      <c r="B38" s="11" t="str">
        <f>DataItems3[[#This Row],[Field]]&amp;IF(DataItems3[[#This Row],[Options for supplying the Field]]="",""," "&amp;DataItems3[[#This Row],[Options for supplying the Field]])</f>
        <v>Activity (2011/12 - 2016/17)</v>
      </c>
      <c r="C38">
        <v>100026</v>
      </c>
      <c r="D38" s="3" t="s">
        <v>146</v>
      </c>
      <c r="F38" s="3" t="s">
        <v>147</v>
      </c>
      <c r="G38" s="13"/>
      <c r="H38" s="14" t="s">
        <v>148</v>
      </c>
      <c r="J38" s="3">
        <v>1</v>
      </c>
      <c r="K38" s="3">
        <v>2</v>
      </c>
      <c r="L38" s="3">
        <v>0</v>
      </c>
      <c r="M38" s="3">
        <v>0</v>
      </c>
      <c r="N38" s="3" t="s">
        <v>149</v>
      </c>
      <c r="Q38" s="16" t="s">
        <v>2922</v>
      </c>
      <c r="S38" s="16" t="s">
        <v>2922</v>
      </c>
      <c r="U38" s="3" t="s">
        <v>93</v>
      </c>
      <c r="V38" s="3" t="s">
        <v>93</v>
      </c>
      <c r="W38" s="57" t="s">
        <v>150</v>
      </c>
      <c r="X38" t="str">
        <f>DataItems3[[#This Row],[Collection]]&amp;DataItems3[[#This Row],[Field]]&amp;DataItems3[[#This Row],[Options for supplying the Field]]&amp;DataItems3[[#This Row],[Fieldname]]&amp;DataItems3[[#This Row],[Parent]]</f>
        <v>DLHEActivity (2011/12 - 2016/17)F_XACTIV02</v>
      </c>
      <c r="Y38" s="15"/>
      <c r="AA38" s="28" t="str">
        <f t="shared" si="0"/>
        <v>CASE WHEN s.DW_FromDate &lt;20110801 THEN 'N/A year' WHEN s.f_xpdlhe02 != '1' AND ISNULL(dh.f_xpubpopd01, '0') != '1' AND ISNULL(dh.f_xactiv02, 'XX') = 'XX' THEN 'NDLHE' ELSE ISNULL(dh.F_XACTIV02,'ZZ') END</v>
      </c>
      <c r="AB38" s="28" t="str">
        <f t="shared" ref="AB38:AB71" si="6">IF(S38="","",IF(IFERROR(SEARCH("select",S38)&gt;0,0),IF(U38="",IF(MID(S38,SEARCH(H38,S38)-4,1)=" ",MID(S38,SEARCH(H38,S38)-2,LEN(O47)+2),MID(S38,SEARCH(H38,S38)-3,LEN(H38)+3)),U38&amp;"."&amp;H38),S38))</f>
        <v>CASE WHEN s.DW_FromDate &lt;20110801 THEN 'N/A year' WHEN s.f_xpdlhe02 != '1' AND ISNULL(dh.f_xpubpopd01, '0') != '1' AND ISNULL(dh.f_xactiv02, 'XX') = 'XX' THEN 'NDLHE' ELSE ISNULL(dh.F_XACTIV02,'ZZ') END</v>
      </c>
      <c r="AC38" s="28" t="str">
        <f t="shared" si="1"/>
        <v/>
      </c>
      <c r="AD38" s="28" t="str">
        <f t="shared" si="2"/>
        <v/>
      </c>
      <c r="AE38" t="str">
        <f t="shared" si="5"/>
        <v>[Activity (2011/12 - 2016/17)]</v>
      </c>
    </row>
    <row r="39" spans="1:31" ht="16" x14ac:dyDescent="0.2">
      <c r="A39">
        <v>100027</v>
      </c>
      <c r="B39" s="11" t="str">
        <f>DataItems3[[#This Row],[Field]]&amp;IF(DataItems3[[#This Row],[Options for supplying the Field]]="",""," "&amp;DataItems3[[#This Row],[Options for supplying the Field]])</f>
        <v>Activity (SOC major groups)  - 2012/13 onwards</v>
      </c>
      <c r="C39">
        <v>100027</v>
      </c>
      <c r="D39" s="3" t="s">
        <v>100</v>
      </c>
      <c r="F39" s="3" t="s">
        <v>215</v>
      </c>
      <c r="G39" s="13" t="s">
        <v>216</v>
      </c>
      <c r="H39" s="14" t="s">
        <v>217</v>
      </c>
      <c r="J39" s="3">
        <v>3</v>
      </c>
      <c r="K39" s="3">
        <v>3</v>
      </c>
      <c r="L39" s="3">
        <v>0</v>
      </c>
      <c r="M39" s="3">
        <v>0</v>
      </c>
      <c r="N39" s="3" t="s">
        <v>218</v>
      </c>
      <c r="Q39" s="16" t="s">
        <v>2923</v>
      </c>
      <c r="R39" s="3" t="s">
        <v>93</v>
      </c>
      <c r="S39" s="16" t="s">
        <v>2924</v>
      </c>
      <c r="U39" s="3" t="s">
        <v>219</v>
      </c>
      <c r="V39" s="3" t="s">
        <v>93</v>
      </c>
      <c r="W39" s="57" t="s">
        <v>109</v>
      </c>
      <c r="X39" t="str">
        <f>DataItems3[[#This Row],[Collection]]&amp;DataItems3[[#This Row],[Field]]&amp;DataItems3[[#This Row],[Options for supplying the Field]]&amp;DataItems3[[#This Row],[Fieldname]]&amp;DataItems3[[#This Row],[Parent]]</f>
        <v>StaffActivity (SOC major groups) - 2012/13 onwardsF_XACTSOC01</v>
      </c>
      <c r="Y39" s="15">
        <v>43391</v>
      </c>
      <c r="Z39" t="s">
        <v>102</v>
      </c>
      <c r="AA39" s="28" t="str">
        <f t="shared" si="0"/>
        <v>CASE WHEN cc.DW_FromDate &lt;= 20110801 THEN 'Not applicable (2011/12 and prior)' ELSE cc.F_XACTSOC01 END</v>
      </c>
      <c r="AB39" s="28" t="str">
        <f t="shared" si="6"/>
        <v>CASE WHEN cc.DW_FromDate &lt;= 20110801 THEN 'Not applicable (2011/12 and prior)' ELSE XACTSOC01.DW_CurrentLabel END</v>
      </c>
      <c r="AC39" s="28" t="str">
        <f t="shared" si="1"/>
        <v/>
      </c>
      <c r="AD39" s="28" t="str">
        <f t="shared" si="2"/>
        <v/>
      </c>
      <c r="AE39" t="str">
        <f t="shared" si="5"/>
        <v>[Activity (SOC major groups)]</v>
      </c>
    </row>
    <row r="40" spans="1:31" ht="32" x14ac:dyDescent="0.2">
      <c r="A40">
        <v>100028</v>
      </c>
      <c r="B40" s="11" t="str">
        <f>DataItems3[[#This Row],[Field]]&amp;IF(DataItems3[[#This Row],[Options for supplying the Field]]="",""," "&amp;DataItems3[[#This Row],[Options for supplying the Field]])</f>
        <v>Activity after leaving  - Not applicable 2011/12 and prior</v>
      </c>
      <c r="C40">
        <v>100028</v>
      </c>
      <c r="D40" s="3" t="s">
        <v>100</v>
      </c>
      <c r="F40" s="3" t="s">
        <v>220</v>
      </c>
      <c r="G40" s="13" t="s">
        <v>221</v>
      </c>
      <c r="H40" s="14" t="s">
        <v>222</v>
      </c>
      <c r="J40" s="3">
        <v>3</v>
      </c>
      <c r="K40" s="3">
        <v>3</v>
      </c>
      <c r="L40" s="3">
        <v>2</v>
      </c>
      <c r="M40" s="3">
        <v>0</v>
      </c>
      <c r="N40" s="3" t="s">
        <v>89</v>
      </c>
      <c r="Q40" s="16" t="s">
        <v>223</v>
      </c>
      <c r="R40" s="3" t="s">
        <v>93</v>
      </c>
      <c r="S40" s="16" t="s">
        <v>2925</v>
      </c>
      <c r="U40" s="3" t="s">
        <v>224</v>
      </c>
      <c r="V40" s="3" t="s">
        <v>93</v>
      </c>
      <c r="W40" s="57" t="s">
        <v>2907</v>
      </c>
      <c r="X40" t="str">
        <f>DataItems3[[#This Row],[Collection]]&amp;DataItems3[[#This Row],[Field]]&amp;DataItems3[[#This Row],[Options for supplying the Field]]&amp;DataItems3[[#This Row],[Fieldname]]&amp;DataItems3[[#This Row],[Parent]]</f>
        <v>StaffActivity after leaving - Not applicable 2011/12 and priorF_ACTLEAVE</v>
      </c>
      <c r="Y40" s="15">
        <v>43482</v>
      </c>
      <c r="Z40" t="s">
        <v>225</v>
      </c>
      <c r="AA40" s="28" t="str">
        <f t="shared" si="0"/>
        <v>CASE when c.dw_fromdate &lt;= 20110801 then 'Not applicable (2011/12 and prior)'  else iif(P.F_ACTLEAVE='', 'na',p.F_ACTLEAVE) END</v>
      </c>
      <c r="AB40" s="28" t="str">
        <f t="shared" si="6"/>
        <v>CASE when c.dw_fromdate &lt;= 20110801 then 'Not applicable (2011/12 and prior)'  else iif(P.F_ACTLEAVE='', 'Unknown/Not applicable',ACTLEAVE.dw_currentlabel) END</v>
      </c>
      <c r="AC40" s="28" t="str">
        <f t="shared" si="1"/>
        <v/>
      </c>
      <c r="AD40" s="28" t="str">
        <f t="shared" si="2"/>
        <v/>
      </c>
      <c r="AE40" t="str">
        <f t="shared" si="5"/>
        <v>[Activity after leaving]</v>
      </c>
    </row>
    <row r="41" spans="1:31" ht="16" x14ac:dyDescent="0.2">
      <c r="A41">
        <v>100029</v>
      </c>
      <c r="B41" s="11" t="str">
        <f>DataItems3[[#This Row],[Field]]&amp;IF(DataItems3[[#This Row],[Options for supplying the Field]]="",""," "&amp;DataItems3[[#This Row],[Options for supplying the Field]])</f>
        <v>Activity check [ACTCHECK]</v>
      </c>
      <c r="C41">
        <v>100029</v>
      </c>
      <c r="D41" s="3" t="s">
        <v>151</v>
      </c>
      <c r="F41" s="3" t="s">
        <v>226</v>
      </c>
      <c r="G41" s="13" t="s">
        <v>227</v>
      </c>
      <c r="H41" s="3" t="s">
        <v>228</v>
      </c>
      <c r="J41" s="3">
        <v>1</v>
      </c>
      <c r="K41" s="3">
        <v>1</v>
      </c>
      <c r="L41" s="3">
        <v>0</v>
      </c>
      <c r="M41" s="3">
        <v>0</v>
      </c>
      <c r="P41" s="3" t="s">
        <v>155</v>
      </c>
      <c r="Q41" s="16" t="s">
        <v>229</v>
      </c>
      <c r="R41" s="3" t="s">
        <v>93</v>
      </c>
      <c r="S41" s="16" t="s">
        <v>230</v>
      </c>
      <c r="U41" s="3" t="s">
        <v>231</v>
      </c>
      <c r="V41" s="3" t="s">
        <v>93</v>
      </c>
      <c r="W41" s="57" t="s">
        <v>2909</v>
      </c>
      <c r="X41" t="str">
        <f>DataItems3[[#This Row],[Collection]]&amp;DataItems3[[#This Row],[Field]]&amp;DataItems3[[#This Row],[Options for supplying the Field]]&amp;DataItems3[[#This Row],[Fieldname]]&amp;DataItems3[[#This Row],[Parent]]</f>
        <v>Graduate OutcomesActivity check[ACTCHECK]ACTCHECKProvider &gt; Graduate:</v>
      </c>
      <c r="Y41" s="15">
        <v>43550</v>
      </c>
      <c r="Z41" t="s">
        <v>159</v>
      </c>
      <c r="AA41" s="28" t="str">
        <f t="shared" si="0"/>
        <v>CASE WHEN ISNULL(g.ZRESPSTATUS, '02')='02' OR ISNULL(g.XACTIVITY, '99')='99' THEN 'Not in GO publication population' else IIF(isnull(g.ACTCHECK,'')='','N/A',g.ACTCHECK) end</v>
      </c>
      <c r="AB41" s="28" t="str">
        <f t="shared" si="6"/>
        <v>CASE WHEN ISNULL(g.ZRESPSTATUS, '02')='02' OR ISNULL(g.XACTIVITY, '99')='99' THEN 'Not in GO publication population' else IIF(isnull(g.ACTCHECK,'')='','N/A',ACTCHECK.label) end</v>
      </c>
      <c r="AC41" s="28" t="str">
        <f t="shared" si="1"/>
        <v/>
      </c>
      <c r="AD41" s="28" t="str">
        <f t="shared" si="2"/>
        <v/>
      </c>
      <c r="AE41" t="str">
        <f t="shared" si="5"/>
        <v>[Activity check]</v>
      </c>
    </row>
    <row r="42" spans="1:31" ht="16" x14ac:dyDescent="0.2">
      <c r="A42">
        <v>100639</v>
      </c>
      <c r="B42" s="19" t="str">
        <f>DataItems3[[#This Row],[Field]]&amp;IF(DataItems3[[#This Row],[Options for supplying the Field]]="",""," "&amp;DataItems3[[#This Row],[Options for supplying the Field]])</f>
        <v>Activity is meaningful [F_XWRKMEAN]</v>
      </c>
      <c r="C42">
        <v>100639</v>
      </c>
      <c r="D42" s="3" t="s">
        <v>151</v>
      </c>
      <c r="F42" s="3" t="s">
        <v>232</v>
      </c>
      <c r="G42" s="13" t="str">
        <f>"["&amp;H42&amp;"]"</f>
        <v>[F_XWRKMEAN]</v>
      </c>
      <c r="H42" s="3" t="s">
        <v>233</v>
      </c>
      <c r="J42" s="3">
        <v>1</v>
      </c>
      <c r="K42" s="3">
        <v>2</v>
      </c>
      <c r="L42" s="3">
        <v>0</v>
      </c>
      <c r="M42" s="3">
        <v>2</v>
      </c>
      <c r="P42" s="3" t="s">
        <v>234</v>
      </c>
      <c r="Q42" s="16" t="s">
        <v>235</v>
      </c>
      <c r="R42" s="3" t="s">
        <v>93</v>
      </c>
      <c r="S42" s="16" t="s">
        <v>236</v>
      </c>
      <c r="U42" s="3" t="s">
        <v>237</v>
      </c>
      <c r="V42" s="3" t="s">
        <v>93</v>
      </c>
      <c r="W42" s="57" t="s">
        <v>2909</v>
      </c>
      <c r="X42" t="str">
        <f>DataItems3[[#This Row],[Collection]]&amp;DataItems3[[#This Row],[Field]]&amp;DataItems3[[#This Row],[Options for supplying the Field]]&amp;DataItems3[[#This Row],[Fieldname]]&amp;DataItems3[[#This Row],[Parent]]</f>
        <v>Graduate OutcomesActivity is meaningful[F_XWRKMEAN]F_XWRKMEANProvider &gt; Official Stats Derived Field &gt; All</v>
      </c>
      <c r="Y42" s="15">
        <v>44008</v>
      </c>
      <c r="Z42" t="s">
        <v>159</v>
      </c>
      <c r="AA42" s="28" t="str">
        <f t="shared" si="0"/>
        <v>CASE WHEN ISNULL(g.ZRESPSTATUS, '02')='02' OR ISNULL(g.XACTIVITY, '99')='99' THEN 'Not in GO publication population'  WHEN ISNULL(g.XACTMEAN, '-1') IN ('-1', '', ' ','NA','NR') THEN 'Not applicable' ELSE g.xactmean END</v>
      </c>
      <c r="AB42" s="28" t="str">
        <f t="shared" si="6"/>
        <v>CASE WHEN ISNULL(g.ZRESPSTATUS, '02')='02' OR ISNULL(g.XACTIVITY, '99')='99' THEN 'Not in GO publication population' WHEN ISNULL(g.XACTMEAN, '-1') IN ('-1', '', ' ','NA','NR') THEN 'Not applicable' else xWRKMEAN.label end</v>
      </c>
      <c r="AC42" s="28" t="str">
        <f t="shared" si="1"/>
        <v/>
      </c>
      <c r="AD42" s="28" t="str">
        <f t="shared" si="2"/>
        <v/>
      </c>
      <c r="AE42" t="str">
        <f t="shared" si="5"/>
        <v>[Activity is meaningful]</v>
      </c>
    </row>
    <row r="43" spans="1:31" ht="16" x14ac:dyDescent="0.2">
      <c r="A43">
        <v>100640</v>
      </c>
      <c r="B43" s="19" t="str">
        <f>DataItems3[[#This Row],[Field]]&amp;IF(DataItems3[[#This Row],[Options for supplying the Field]]="",""," "&amp;DataItems3[[#This Row],[Options for supplying the Field]])</f>
        <v>Activity is on track [F_XWRKONTRACK]</v>
      </c>
      <c r="C43">
        <v>100640</v>
      </c>
      <c r="D43" s="3" t="s">
        <v>151</v>
      </c>
      <c r="F43" s="3" t="s">
        <v>238</v>
      </c>
      <c r="G43" s="13" t="str">
        <f>"["&amp;H43&amp;"]"</f>
        <v>[F_XWRKONTRACK]</v>
      </c>
      <c r="H43" s="3" t="s">
        <v>239</v>
      </c>
      <c r="J43" s="3">
        <v>1</v>
      </c>
      <c r="K43" s="3">
        <v>2</v>
      </c>
      <c r="L43" s="3">
        <v>0</v>
      </c>
      <c r="M43" s="3">
        <v>2</v>
      </c>
      <c r="P43" s="3" t="s">
        <v>234</v>
      </c>
      <c r="Q43" s="16" t="s">
        <v>240</v>
      </c>
      <c r="R43" s="3" t="s">
        <v>93</v>
      </c>
      <c r="S43" s="16" t="s">
        <v>241</v>
      </c>
      <c r="U43" s="3" t="s">
        <v>242</v>
      </c>
      <c r="V43" s="3" t="s">
        <v>93</v>
      </c>
      <c r="W43" s="57" t="s">
        <v>2909</v>
      </c>
      <c r="X43" t="str">
        <f>DataItems3[[#This Row],[Collection]]&amp;DataItems3[[#This Row],[Field]]&amp;DataItems3[[#This Row],[Options for supplying the Field]]&amp;DataItems3[[#This Row],[Fieldname]]&amp;DataItems3[[#This Row],[Parent]]</f>
        <v>Graduate OutcomesActivity is on track[F_XWRKONTRACK]F_XWRKONTRACKProvider &gt; Official Stats Derived Field &gt; All</v>
      </c>
      <c r="Y43" s="15">
        <v>44008</v>
      </c>
      <c r="Z43" t="s">
        <v>159</v>
      </c>
      <c r="AA43" s="28" t="str">
        <f t="shared" si="0"/>
        <v>CASE WHEN ISNULL(g.ZRESPSTATUS, '02')='02' OR ISNULL(g.XACTIVITY, '99')='99' THEN 'Not in GO publication population' WHEN ISNULL(g.xactontrack, '-1') IN ('-1', '', ' ','NA') THEN 'Not applicable' ELSE isnull(g.xactontrack,'NA') END</v>
      </c>
      <c r="AB43" s="28" t="str">
        <f t="shared" si="6"/>
        <v>CASE WHEN ISNULL(g.ZRESPSTATUS, '02')='02' OR ISNULL(g.XACTIVITY, '99')='99' THEN 'Not in GO publication population' WHEN ISNULL(g.xactontrack, '-1') IN ('-1', '', ' ','NA') THEN 'Not applicable' else xWRKONTRACK.label end</v>
      </c>
      <c r="AC43" s="28" t="str">
        <f t="shared" si="1"/>
        <v/>
      </c>
      <c r="AD43" s="28" t="str">
        <f t="shared" si="2"/>
        <v/>
      </c>
      <c r="AE43" t="str">
        <f t="shared" si="5"/>
        <v>[Activity is on track]</v>
      </c>
    </row>
    <row r="44" spans="1:31" ht="16" x14ac:dyDescent="0.2">
      <c r="A44">
        <v>100030</v>
      </c>
      <c r="B44" s="11" t="str">
        <f>DataItems3[[#This Row],[Field]]&amp;IF(DataItems3[[#This Row],[Options for supplying the Field]]="",""," "&amp;DataItems3[[#This Row],[Options for supplying the Field]])</f>
        <v>Activity markers 1 to 8</v>
      </c>
      <c r="C44">
        <v>100030</v>
      </c>
      <c r="D44" s="3" t="s">
        <v>146</v>
      </c>
      <c r="F44" s="3" t="s">
        <v>243</v>
      </c>
      <c r="G44" s="13"/>
      <c r="H44" s="14" t="s">
        <v>93</v>
      </c>
      <c r="J44" s="3">
        <v>8</v>
      </c>
      <c r="K44" s="3">
        <v>3</v>
      </c>
      <c r="L44" s="3">
        <v>0</v>
      </c>
      <c r="M44" s="3">
        <v>0</v>
      </c>
      <c r="N44" s="3" t="s">
        <v>89</v>
      </c>
      <c r="Q44" s="16" t="s">
        <v>93</v>
      </c>
      <c r="R44" s="3" t="s">
        <v>93</v>
      </c>
      <c r="S44" s="16" t="s">
        <v>93</v>
      </c>
      <c r="U44" s="3" t="s">
        <v>93</v>
      </c>
      <c r="V44" s="3" t="s">
        <v>93</v>
      </c>
      <c r="W44" s="57" t="s">
        <v>2926</v>
      </c>
      <c r="X44" t="str">
        <f>DataItems3[[#This Row],[Collection]]&amp;DataItems3[[#This Row],[Field]]&amp;DataItems3[[#This Row],[Options for supplying the Field]]&amp;DataItems3[[#This Row],[Fieldname]]&amp;DataItems3[[#This Row],[Parent]]</f>
        <v>DLHEActivity markers 1 to 8</v>
      </c>
      <c r="Y44" s="15">
        <v>43416</v>
      </c>
      <c r="Z44" t="s">
        <v>95</v>
      </c>
      <c r="AA44" s="28" t="str">
        <f t="shared" si="0"/>
        <v/>
      </c>
      <c r="AB44" s="28" t="str">
        <f t="shared" si="6"/>
        <v/>
      </c>
      <c r="AC44" s="28" t="str">
        <f t="shared" si="1"/>
        <v/>
      </c>
      <c r="AD44" s="28" t="str">
        <f t="shared" si="2"/>
        <v/>
      </c>
      <c r="AE44" t="str">
        <f t="shared" si="5"/>
        <v>[Activity markers 1 to 8]</v>
      </c>
    </row>
    <row r="45" spans="1:31" ht="16" x14ac:dyDescent="0.2">
      <c r="A45">
        <v>100031</v>
      </c>
      <c r="B45" s="11" t="str">
        <f>DataItems3[[#This Row],[Field]]&amp;IF(DataItems3[[#This Row],[Options for supplying the Field]]="",""," "&amp;DataItems3[[#This Row],[Options for supplying the Field]])</f>
        <v>Activity meaningful [ACTMEAN]</v>
      </c>
      <c r="C45">
        <v>100031</v>
      </c>
      <c r="D45" s="3" t="s">
        <v>151</v>
      </c>
      <c r="F45" s="3" t="s">
        <v>244</v>
      </c>
      <c r="G45" s="13" t="s">
        <v>245</v>
      </c>
      <c r="H45" s="3" t="s">
        <v>246</v>
      </c>
      <c r="I45" s="3" t="s">
        <v>247</v>
      </c>
      <c r="J45" s="3">
        <v>1</v>
      </c>
      <c r="K45" s="3">
        <v>2</v>
      </c>
      <c r="L45" s="3">
        <v>0</v>
      </c>
      <c r="M45" s="3">
        <v>2</v>
      </c>
      <c r="P45" s="3" t="s">
        <v>248</v>
      </c>
      <c r="Q45" s="16" t="s">
        <v>249</v>
      </c>
      <c r="R45" s="3" t="s">
        <v>93</v>
      </c>
      <c r="S45" s="16" t="s">
        <v>250</v>
      </c>
      <c r="U45" s="3" t="s">
        <v>251</v>
      </c>
      <c r="V45" s="3" t="s">
        <v>93</v>
      </c>
      <c r="W45" s="57" t="s">
        <v>2909</v>
      </c>
      <c r="X45" t="str">
        <f>DataItems3[[#This Row],[Collection]]&amp;DataItems3[[#This Row],[Field]]&amp;DataItems3[[#This Row],[Options for supplying the Field]]&amp;DataItems3[[#This Row],[Fieldname]]&amp;DataItems3[[#This Row],[Parent]]</f>
        <v>Graduate OutcomesActivity meaningful[ACTMEAN]ACTMEANProvider &gt; Graduate &gt; Activity Reflection:</v>
      </c>
      <c r="Y45" s="15">
        <v>43550</v>
      </c>
      <c r="Z45" t="s">
        <v>159</v>
      </c>
      <c r="AA45" s="28" t="str">
        <f t="shared" si="0"/>
        <v>CASE WHEN ISNULL(g.ZRESPSTATUS, '02')='02' OR ISNULL(g.XACTIVITY, '99')='99' THEN 'Not in GO publication population' else IIF(ISNULL(g.ACTMEAN,'')='','N/A',g.ACTMEAN) end</v>
      </c>
      <c r="AB45" s="28" t="str">
        <f t="shared" si="6"/>
        <v>CASE WHEN ISNULL(g.ZRESPSTATUS, '02')='02' OR ISNULL(g.XACTIVITY, '99')='99' THEN 'Not in GO publication population' else IIF(isnull(g.ACTMEAN,'')='','N/A',ACTMEAN.label) end</v>
      </c>
      <c r="AC45" s="28" t="str">
        <f t="shared" si="1"/>
        <v/>
      </c>
      <c r="AD45" s="28" t="str">
        <f t="shared" si="2"/>
        <v/>
      </c>
      <c r="AE45" t="str">
        <f t="shared" si="5"/>
        <v>[Activity meaningful]</v>
      </c>
    </row>
    <row r="46" spans="1:31" ht="16" x14ac:dyDescent="0.2">
      <c r="A46">
        <v>100032</v>
      </c>
      <c r="B46" s="11" t="str">
        <f>DataItems3[[#This Row],[Field]]&amp;IF(DataItems3[[#This Row],[Options for supplying the Field]]="",""," "&amp;DataItems3[[#This Row],[Options for supplying the Field]])</f>
        <v>Activity on-track [ACTONTRACK]</v>
      </c>
      <c r="C46">
        <v>100032</v>
      </c>
      <c r="D46" s="3" t="s">
        <v>151</v>
      </c>
      <c r="F46" s="3" t="s">
        <v>252</v>
      </c>
      <c r="G46" s="13" t="s">
        <v>253</v>
      </c>
      <c r="H46" s="3" t="s">
        <v>254</v>
      </c>
      <c r="I46" s="3" t="s">
        <v>247</v>
      </c>
      <c r="J46" s="3">
        <v>1</v>
      </c>
      <c r="K46" s="3">
        <v>2</v>
      </c>
      <c r="L46" s="3">
        <v>0</v>
      </c>
      <c r="M46" s="3">
        <v>2</v>
      </c>
      <c r="P46" s="3" t="s">
        <v>248</v>
      </c>
      <c r="Q46" s="16" t="s">
        <v>255</v>
      </c>
      <c r="R46" s="3" t="s">
        <v>93</v>
      </c>
      <c r="S46" s="16" t="s">
        <v>256</v>
      </c>
      <c r="U46" s="3" t="s">
        <v>257</v>
      </c>
      <c r="V46" s="3" t="s">
        <v>93</v>
      </c>
      <c r="W46" s="57" t="s">
        <v>2909</v>
      </c>
      <c r="X46" t="str">
        <f>DataItems3[[#This Row],[Collection]]&amp;DataItems3[[#This Row],[Field]]&amp;DataItems3[[#This Row],[Options for supplying the Field]]&amp;DataItems3[[#This Row],[Fieldname]]&amp;DataItems3[[#This Row],[Parent]]</f>
        <v>Graduate OutcomesActivity on-track[ACTONTRACK]ACTONTRACKProvider &gt; Graduate &gt; Activity Reflection:</v>
      </c>
      <c r="Y46" s="15">
        <v>43550</v>
      </c>
      <c r="Z46" t="s">
        <v>159</v>
      </c>
      <c r="AA46" s="28" t="str">
        <f t="shared" si="0"/>
        <v xml:space="preserve">CASE WHEN ISNULL(g.ZRESPSTATUS, '02')='02'OR ISNULL(g.XACTIVITY, '99')='99' THEN 'Not in GO publication population'ELSE IIF(ISNULL(g.ACTONTRACK,'')='', 'N/A', g.ACTONTRACK)END </v>
      </c>
      <c r="AB46" s="28" t="str">
        <f t="shared" si="6"/>
        <v>CASE WHEN ISNULL(g.ZRESPSTATUS, '02')='02' OR ISNULL(g.XACTIVITY, '99')='99' THEN 'Not in GO publication population' else  IIF(isnull(g.ACTONTRACK,'')='','N/A',ACTONTRACK.label) end</v>
      </c>
      <c r="AC46" s="28" t="str">
        <f t="shared" si="1"/>
        <v/>
      </c>
      <c r="AD46" s="28" t="str">
        <f t="shared" si="2"/>
        <v/>
      </c>
      <c r="AE46" t="str">
        <f t="shared" si="5"/>
        <v>[Activity on-track]</v>
      </c>
    </row>
    <row r="47" spans="1:31" ht="16" x14ac:dyDescent="0.2">
      <c r="A47">
        <v>100033</v>
      </c>
      <c r="B47" s="11" t="str">
        <f>DataItems3[[#This Row],[Field]]&amp;IF(DataItems3[[#This Row],[Options for supplying the Field]]="",""," "&amp;DataItems3[[#This Row],[Options for supplying the Field]])</f>
        <v>Activity skills [ACTSKILLS]</v>
      </c>
      <c r="C47">
        <v>100033</v>
      </c>
      <c r="D47" s="3" t="s">
        <v>151</v>
      </c>
      <c r="F47" s="3" t="s">
        <v>258</v>
      </c>
      <c r="G47" s="13" t="s">
        <v>259</v>
      </c>
      <c r="H47" s="3" t="s">
        <v>260</v>
      </c>
      <c r="I47" s="3" t="s">
        <v>247</v>
      </c>
      <c r="J47" s="3">
        <v>1</v>
      </c>
      <c r="K47" s="3">
        <v>2</v>
      </c>
      <c r="L47" s="3">
        <v>0</v>
      </c>
      <c r="M47" s="3">
        <v>0</v>
      </c>
      <c r="P47" s="3" t="s">
        <v>248</v>
      </c>
      <c r="Q47" s="16" t="s">
        <v>261</v>
      </c>
      <c r="R47" s="3" t="s">
        <v>93</v>
      </c>
      <c r="S47" s="16" t="s">
        <v>262</v>
      </c>
      <c r="U47" s="3" t="s">
        <v>263</v>
      </c>
      <c r="V47" s="3" t="s">
        <v>93</v>
      </c>
      <c r="W47" s="57" t="s">
        <v>2909</v>
      </c>
      <c r="X47" t="str">
        <f>DataItems3[[#This Row],[Collection]]&amp;DataItems3[[#This Row],[Field]]&amp;DataItems3[[#This Row],[Options for supplying the Field]]&amp;DataItems3[[#This Row],[Fieldname]]&amp;DataItems3[[#This Row],[Parent]]</f>
        <v>Graduate OutcomesActivity skills[ACTSKILLS]ACTSKILLSProvider &gt; Graduate &gt; Activity Reflection:</v>
      </c>
      <c r="Y47" s="15">
        <v>43550</v>
      </c>
      <c r="Z47" t="s">
        <v>159</v>
      </c>
      <c r="AA47" s="28" t="str">
        <f t="shared" si="0"/>
        <v>CASE WHEN ISNULL(g.ZRESPSTATUS, '02')='02' OR ISNULL(g.XACTIVITY, '99')='99' THEN 'Not in GO publication population' else IIF(ISNULL(g.ACTSKILLS,'')='','N/A',g.ACTSKILLS) end</v>
      </c>
      <c r="AB47" s="28" t="str">
        <f t="shared" si="6"/>
        <v>CASE WHEN ISNULL(g.ZRESPSTATUS, '02')='02' OR ISNULL(g.XACTIVITY, '99')='99' THEN 'Not in GO publication population' else IIF(isnull(g.ACTSKILLS,'')='','N/A',ACTSKILLS.label) end</v>
      </c>
      <c r="AC47" s="28" t="str">
        <f t="shared" si="1"/>
        <v/>
      </c>
      <c r="AD47" s="28" t="str">
        <f t="shared" si="2"/>
        <v/>
      </c>
      <c r="AE47" t="str">
        <f t="shared" si="5"/>
        <v>[Activity skills]</v>
      </c>
    </row>
    <row r="48" spans="1:31" ht="16" x14ac:dyDescent="0.2">
      <c r="A48">
        <v>100034</v>
      </c>
      <c r="B48" s="11" t="str">
        <f>DataItems3[[#This Row],[Field]]&amp;IF(DataItems3[[#This Row],[Options for supplying the Field]]="",""," "&amp;DataItems3[[#This Row],[Options for supplying the Field]])</f>
        <v>Activity Standard Occupational Classification (3 digit)  - 2012/13 onwards</v>
      </c>
      <c r="C48">
        <v>100034</v>
      </c>
      <c r="D48" s="3" t="s">
        <v>100</v>
      </c>
      <c r="F48" s="3" t="s">
        <v>264</v>
      </c>
      <c r="G48" s="13" t="s">
        <v>216</v>
      </c>
      <c r="H48" s="14" t="s">
        <v>265</v>
      </c>
      <c r="J48" s="3">
        <v>2</v>
      </c>
      <c r="K48" s="3">
        <v>3</v>
      </c>
      <c r="L48" s="3">
        <v>1</v>
      </c>
      <c r="M48" s="3">
        <v>0</v>
      </c>
      <c r="N48" s="3" t="s">
        <v>89</v>
      </c>
      <c r="Q48" s="16" t="s">
        <v>266</v>
      </c>
      <c r="R48" s="3" t="s">
        <v>93</v>
      </c>
      <c r="S48" s="16" t="s">
        <v>267</v>
      </c>
      <c r="U48" s="3" t="s">
        <v>219</v>
      </c>
      <c r="V48" s="3" t="s">
        <v>93</v>
      </c>
      <c r="W48" s="57" t="s">
        <v>145</v>
      </c>
      <c r="X48" t="str">
        <f>DataItems3[[#This Row],[Collection]]&amp;DataItems3[[#This Row],[Field]]&amp;DataItems3[[#This Row],[Options for supplying the Field]]&amp;DataItems3[[#This Row],[Fieldname]]&amp;DataItems3[[#This Row],[Parent]]</f>
        <v>StaffActivity Standard Occupational Classification (3 digit) - 2012/13 onwardsF_ACTSOC</v>
      </c>
      <c r="Y48" s="15">
        <v>43395</v>
      </c>
      <c r="Z48" t="s">
        <v>102</v>
      </c>
      <c r="AA48" s="28" t="str">
        <f t="shared" si="0"/>
        <v>cc.F_ACTSOC</v>
      </c>
      <c r="AB48" s="28" t="str">
        <f t="shared" si="6"/>
        <v>cc.F_ACTSOC</v>
      </c>
      <c r="AC48" s="28" t="str">
        <f t="shared" si="1"/>
        <v/>
      </c>
      <c r="AD48" s="28" t="str">
        <f t="shared" si="2"/>
        <v/>
      </c>
      <c r="AE48" t="str">
        <f t="shared" si="5"/>
        <v>[Activity Standard Occupational Classification (3 digit)]</v>
      </c>
    </row>
    <row r="49" spans="1:31" ht="16" x14ac:dyDescent="0.2">
      <c r="A49">
        <v>100641</v>
      </c>
      <c r="B49" s="19" t="str">
        <f>DataItems3[[#This Row],[Field]]&amp;IF(DataItems3[[#This Row],[Options for supplying the Field]]="",""," "&amp;DataItems3[[#This Row],[Options for supplying the Field]])</f>
        <v>Activity uses skills [F_XWRKSKILLS]</v>
      </c>
      <c r="C49">
        <v>100641</v>
      </c>
      <c r="D49" s="3" t="s">
        <v>151</v>
      </c>
      <c r="F49" s="3" t="s">
        <v>268</v>
      </c>
      <c r="G49" s="13" t="str">
        <f>"["&amp;H49&amp;"]"</f>
        <v>[F_XWRKSKILLS]</v>
      </c>
      <c r="H49" s="3" t="s">
        <v>269</v>
      </c>
      <c r="J49" s="3">
        <v>1</v>
      </c>
      <c r="K49" s="3">
        <v>2</v>
      </c>
      <c r="L49" s="3">
        <v>0</v>
      </c>
      <c r="M49" s="3">
        <v>0</v>
      </c>
      <c r="P49" s="3" t="s">
        <v>234</v>
      </c>
      <c r="Q49" s="16" t="s">
        <v>270</v>
      </c>
      <c r="R49" s="3" t="s">
        <v>93</v>
      </c>
      <c r="S49" s="16" t="s">
        <v>271</v>
      </c>
      <c r="U49" s="3" t="s">
        <v>272</v>
      </c>
      <c r="V49" s="3" t="s">
        <v>93</v>
      </c>
      <c r="W49" s="57" t="s">
        <v>2909</v>
      </c>
      <c r="X49" t="str">
        <f>DataItems3[[#This Row],[Collection]]&amp;DataItems3[[#This Row],[Field]]&amp;DataItems3[[#This Row],[Options for supplying the Field]]&amp;DataItems3[[#This Row],[Fieldname]]&amp;DataItems3[[#This Row],[Parent]]</f>
        <v>Graduate OutcomesActivity uses skills[F_XWRKSKILLS]F_XWRKSKILLSProvider &gt; Official Stats Derived Field &gt; All</v>
      </c>
      <c r="Y49" s="15">
        <v>44008</v>
      </c>
      <c r="Z49" t="s">
        <v>159</v>
      </c>
      <c r="AA49" s="28" t="str">
        <f t="shared" si="0"/>
        <v>CASE WHEN ISNULL(g.ZRESPSTATUS, '02')='02' OR ISNULL(g.XACTIVITY, '99')='99' THEN 'Not in GO publication population' WHEN g.dw_fromdate=20170801 then IIF(gd.f_XWRKSKILLS='UN','NA',gd.f_XWRKSKILLS) ELSE isnull(g.xactskills,'NA') END</v>
      </c>
      <c r="AB49" s="28" t="str">
        <f t="shared" si="6"/>
        <v xml:space="preserve">CASE WHEN ISNULL(g.ZRESPSTATUS, '02')='02' OR ISNULL(g.XACTIVITY, '99')='99' THEN 'Not in GO publication population' else isnull(xWRKSKILLS.label,'Unknown') END </v>
      </c>
      <c r="AC49" s="28" t="str">
        <f t="shared" si="1"/>
        <v/>
      </c>
      <c r="AD49" s="28" t="str">
        <f t="shared" si="2"/>
        <v/>
      </c>
      <c r="AE49" t="str">
        <f t="shared" si="5"/>
        <v>[Activity uses skills]</v>
      </c>
    </row>
    <row r="50" spans="1:31" ht="48" x14ac:dyDescent="0.2">
      <c r="A50">
        <v>100035</v>
      </c>
      <c r="B50" s="11" t="str">
        <f>DataItems3[[#This Row],[Field]]&amp;IF(DataItems3[[#This Row],[Options for supplying the Field]]="",""," "&amp;DataItems3[[#This Row],[Options for supplying the Field]])</f>
        <v>Age of leaver (17 &amp; under/ 18-20/ 21-24/ 25-29/ 30 &amp; over/ Unknown)</v>
      </c>
      <c r="C50">
        <v>100035</v>
      </c>
      <c r="D50" s="3" t="s">
        <v>146</v>
      </c>
      <c r="F50" s="3" t="s">
        <v>273</v>
      </c>
      <c r="G50" s="13" t="s">
        <v>274</v>
      </c>
      <c r="H50" s="14" t="s">
        <v>93</v>
      </c>
      <c r="J50" s="3">
        <v>1</v>
      </c>
      <c r="K50" s="3">
        <v>3</v>
      </c>
      <c r="L50" s="3">
        <v>0</v>
      </c>
      <c r="M50" s="3">
        <v>0</v>
      </c>
      <c r="Q50" s="16" t="s">
        <v>93</v>
      </c>
      <c r="R50" s="3" t="s">
        <v>93</v>
      </c>
      <c r="S50" s="16" t="s">
        <v>93</v>
      </c>
      <c r="U50" s="3" t="s">
        <v>93</v>
      </c>
      <c r="V50" s="3" t="s">
        <v>93</v>
      </c>
      <c r="W50" s="57" t="s">
        <v>2926</v>
      </c>
      <c r="X50" t="str">
        <f>DataItems3[[#This Row],[Collection]]&amp;DataItems3[[#This Row],[Field]]&amp;DataItems3[[#This Row],[Options for supplying the Field]]&amp;DataItems3[[#This Row],[Fieldname]]&amp;DataItems3[[#This Row],[Parent]]</f>
        <v>DLHEAge of leaver(17 &amp; under/ 18-20/ 21-24/ 25-29/ 30 &amp; over/ Unknown)</v>
      </c>
      <c r="Y50" s="15">
        <v>43684</v>
      </c>
      <c r="Z50" t="s">
        <v>95</v>
      </c>
      <c r="AA50" s="28" t="str">
        <f t="shared" si="0"/>
        <v/>
      </c>
      <c r="AB50" s="28" t="str">
        <f t="shared" si="6"/>
        <v/>
      </c>
      <c r="AC50" s="28" t="str">
        <f t="shared" si="1"/>
        <v/>
      </c>
      <c r="AD50" s="28" t="str">
        <f t="shared" si="2"/>
        <v/>
      </c>
      <c r="AE50" t="str">
        <f t="shared" si="5"/>
        <v>[Age of leaver]</v>
      </c>
    </row>
    <row r="51" spans="1:31" ht="48" x14ac:dyDescent="0.2">
      <c r="A51">
        <v>100036</v>
      </c>
      <c r="B51" s="11" t="str">
        <f>DataItems3[[#This Row],[Field]]&amp;IF(DataItems3[[#This Row],[Options for supplying the Field]]="",""," "&amp;DataItems3[[#This Row],[Options for supplying the Field]])</f>
        <v>Age of leaver (17 &amp; under/ Individual year/ 75 &amp; over/ Unknown)</v>
      </c>
      <c r="C51">
        <v>100036</v>
      </c>
      <c r="D51" s="3" t="s">
        <v>146</v>
      </c>
      <c r="F51" s="3" t="s">
        <v>273</v>
      </c>
      <c r="G51" s="13" t="s">
        <v>275</v>
      </c>
      <c r="H51" s="14" t="s">
        <v>93</v>
      </c>
      <c r="J51" s="3">
        <v>3</v>
      </c>
      <c r="K51" s="3">
        <v>3</v>
      </c>
      <c r="L51" s="3">
        <v>2</v>
      </c>
      <c r="M51" s="3">
        <v>2</v>
      </c>
      <c r="Q51" s="16" t="s">
        <v>2927</v>
      </c>
      <c r="R51" s="3" t="s">
        <v>93</v>
      </c>
      <c r="S51" s="16" t="s">
        <v>2927</v>
      </c>
      <c r="U51" s="3" t="s">
        <v>93</v>
      </c>
      <c r="V51" s="3" t="s">
        <v>93</v>
      </c>
      <c r="W51" s="57" t="s">
        <v>2926</v>
      </c>
      <c r="X51" t="str">
        <f>DataItems3[[#This Row],[Collection]]&amp;DataItems3[[#This Row],[Field]]&amp;DataItems3[[#This Row],[Options for supplying the Field]]&amp;DataItems3[[#This Row],[Fieldname]]&amp;DataItems3[[#This Row],[Parent]]</f>
        <v>DLHEAge of leaver(17 &amp; under/ Individual year/ 75 &amp; over/ Unknown)</v>
      </c>
      <c r="Y51" s="15">
        <v>43684</v>
      </c>
      <c r="Z51" t="s">
        <v>95</v>
      </c>
      <c r="AA51" s="28" t="str">
        <f t="shared" si="0"/>
        <v>CASE WHEN s.F_XAGEJ01 BETWEEN '01' AND '16' THEN '16 and under' WHEN s.F_XAGEJ01 BETWEEN '17' AND '74' THEN CAST(s.F_XAGEJ01 AS VARCHAR(2)) WHEN s.F_XAGEJ01 BETWEEN '75' AND '98' THEN '75 and over' ELSE 'Unknown' END</v>
      </c>
      <c r="AB51" s="28" t="str">
        <f t="shared" si="6"/>
        <v>CASE WHEN s.F_XAGEJ01 BETWEEN '01' AND '16' THEN '16 and under' WHEN s.F_XAGEJ01 BETWEEN '17' AND '74' THEN CAST(s.F_XAGEJ01 AS VARCHAR(2)) WHEN s.F_XAGEJ01 BETWEEN '75' AND '98' THEN '75 and over' ELSE 'Unknown' END</v>
      </c>
      <c r="AC51" s="28" t="str">
        <f t="shared" si="1"/>
        <v/>
      </c>
      <c r="AD51" s="28" t="str">
        <f t="shared" si="2"/>
        <v/>
      </c>
      <c r="AE51" t="str">
        <f t="shared" si="5"/>
        <v>[Age of leaver]</v>
      </c>
    </row>
    <row r="52" spans="1:31" ht="42.75" customHeight="1" x14ac:dyDescent="0.2">
      <c r="A52">
        <v>100037</v>
      </c>
      <c r="B52" s="11" t="str">
        <f>DataItems3[[#This Row],[Field]]&amp;IF(DataItems3[[#This Row],[Options for supplying the Field]]="",""," "&amp;DataItems3[[#This Row],[Options for supplying the Field]])</f>
        <v>Age of leaver (21 &amp; under/ 22-25 years/ 26-35 years/ 36 &amp; over/ Unknown)</v>
      </c>
      <c r="C52">
        <v>100037</v>
      </c>
      <c r="D52" s="3" t="s">
        <v>146</v>
      </c>
      <c r="F52" s="3" t="s">
        <v>273</v>
      </c>
      <c r="G52" s="13" t="s">
        <v>276</v>
      </c>
      <c r="H52" s="14" t="s">
        <v>93</v>
      </c>
      <c r="J52" s="3">
        <v>3</v>
      </c>
      <c r="K52" s="3">
        <v>3</v>
      </c>
      <c r="L52" s="3">
        <v>0</v>
      </c>
      <c r="M52" s="3">
        <v>0</v>
      </c>
      <c r="Q52" s="16" t="s">
        <v>93</v>
      </c>
      <c r="R52" s="3" t="s">
        <v>93</v>
      </c>
      <c r="S52" s="16" t="s">
        <v>93</v>
      </c>
      <c r="U52" s="3" t="s">
        <v>93</v>
      </c>
      <c r="V52" s="3" t="s">
        <v>93</v>
      </c>
      <c r="W52" s="57" t="s">
        <v>2926</v>
      </c>
      <c r="X52" t="str">
        <f>DataItems3[[#This Row],[Collection]]&amp;DataItems3[[#This Row],[Field]]&amp;DataItems3[[#This Row],[Options for supplying the Field]]&amp;DataItems3[[#This Row],[Fieldname]]&amp;DataItems3[[#This Row],[Parent]]</f>
        <v>DLHEAge of leaver(21 &amp; under/ 22-25 years/ 26-35 years/ 36 &amp; over/ Unknown)</v>
      </c>
      <c r="Y52" s="15">
        <v>43684</v>
      </c>
      <c r="Z52" t="s">
        <v>95</v>
      </c>
      <c r="AA52" s="28" t="str">
        <f t="shared" si="0"/>
        <v/>
      </c>
      <c r="AB52" s="28" t="str">
        <f t="shared" si="6"/>
        <v/>
      </c>
      <c r="AC52" s="28" t="str">
        <f t="shared" si="1"/>
        <v/>
      </c>
      <c r="AD52" s="28" t="str">
        <f t="shared" si="2"/>
        <v/>
      </c>
      <c r="AE52" t="str">
        <f t="shared" si="5"/>
        <v>[Age of leaver]</v>
      </c>
    </row>
    <row r="53" spans="1:31" ht="42.75" customHeight="1" x14ac:dyDescent="0.2">
      <c r="A53">
        <v>100038</v>
      </c>
      <c r="B53" s="11" t="str">
        <f>DataItems3[[#This Row],[Field]]&amp;IF(DataItems3[[#This Row],[Options for supplying the Field]]="",""," "&amp;DataItems3[[#This Row],[Options for supplying the Field]])</f>
        <v>Age of leaver (Full)</v>
      </c>
      <c r="C53">
        <v>100038</v>
      </c>
      <c r="D53" s="3" t="s">
        <v>146</v>
      </c>
      <c r="F53" s="3" t="s">
        <v>273</v>
      </c>
      <c r="G53" s="13" t="s">
        <v>277</v>
      </c>
      <c r="H53" s="14" t="s">
        <v>93</v>
      </c>
      <c r="J53" s="3">
        <v>3</v>
      </c>
      <c r="K53" s="3">
        <v>4</v>
      </c>
      <c r="L53" s="3">
        <v>2</v>
      </c>
      <c r="M53" s="3">
        <v>2</v>
      </c>
      <c r="Q53" s="16" t="s">
        <v>93</v>
      </c>
      <c r="R53" s="3" t="s">
        <v>93</v>
      </c>
      <c r="S53" s="16" t="s">
        <v>93</v>
      </c>
      <c r="U53" s="3" t="s">
        <v>93</v>
      </c>
      <c r="V53" s="3" t="s">
        <v>93</v>
      </c>
      <c r="W53" s="57" t="s">
        <v>2926</v>
      </c>
      <c r="X53" t="str">
        <f>DataItems3[[#This Row],[Collection]]&amp;DataItems3[[#This Row],[Field]]&amp;DataItems3[[#This Row],[Options for supplying the Field]]&amp;DataItems3[[#This Row],[Fieldname]]&amp;DataItems3[[#This Row],[Parent]]</f>
        <v>DLHEAge of leaver(Full)</v>
      </c>
      <c r="Y53" s="15">
        <v>43684</v>
      </c>
      <c r="Z53" t="s">
        <v>95</v>
      </c>
      <c r="AA53" s="28" t="str">
        <f t="shared" si="0"/>
        <v/>
      </c>
      <c r="AB53" s="28" t="str">
        <f t="shared" si="6"/>
        <v/>
      </c>
      <c r="AC53" s="28" t="str">
        <f t="shared" si="1"/>
        <v/>
      </c>
      <c r="AD53" s="28" t="str">
        <f t="shared" si="2"/>
        <v/>
      </c>
      <c r="AE53" t="str">
        <f t="shared" si="5"/>
        <v>[Age of leaver]</v>
      </c>
    </row>
    <row r="54" spans="1:31" ht="42.75" customHeight="1" x14ac:dyDescent="0.2">
      <c r="A54">
        <v>100040</v>
      </c>
      <c r="B54" s="11" t="str">
        <f>DataItems3[[#This Row],[Field]]&amp;IF(DataItems3[[#This Row],[Options for supplying the Field]]="",""," "&amp;DataItems3[[#This Row],[Options for supplying the Field]])</f>
        <v>Age of qualifier (17 &amp; under/ Individual year/ 75 &amp; over/ Unknown)</v>
      </c>
      <c r="C54">
        <v>100040</v>
      </c>
      <c r="D54" s="3" t="s">
        <v>86</v>
      </c>
      <c r="E54" s="3" t="s">
        <v>106</v>
      </c>
      <c r="F54" s="3" t="s">
        <v>278</v>
      </c>
      <c r="G54" s="13" t="s">
        <v>275</v>
      </c>
      <c r="H54" s="14" t="s">
        <v>279</v>
      </c>
      <c r="J54" s="3">
        <v>3</v>
      </c>
      <c r="K54" s="3">
        <v>3</v>
      </c>
      <c r="L54" s="3">
        <v>0</v>
      </c>
      <c r="M54" s="3">
        <v>0</v>
      </c>
      <c r="N54" s="3" t="s">
        <v>89</v>
      </c>
      <c r="P54" s="3" t="s">
        <v>280</v>
      </c>
      <c r="Q54" s="16" t="s">
        <v>281</v>
      </c>
      <c r="R54" s="3" t="s">
        <v>281</v>
      </c>
      <c r="S54" s="16" t="s">
        <v>281</v>
      </c>
      <c r="T54" s="3" t="s">
        <v>281</v>
      </c>
      <c r="U54" s="3" t="s">
        <v>93</v>
      </c>
      <c r="V54" s="3">
        <v>1</v>
      </c>
      <c r="W54" s="57" t="s">
        <v>282</v>
      </c>
      <c r="X54" t="str">
        <f>DataItems3[[#This Row],[Collection]]&amp;DataItems3[[#This Row],[Field]]&amp;DataItems3[[#This Row],[Options for supplying the Field]]&amp;DataItems3[[#This Row],[Fieldname]]&amp;DataItems3[[#This Row],[Parent]]</f>
        <v>StudentAge of qualifier(17 &amp; under/ Individual year/ 75 &amp; over/ Unknown)F_XAGEJ01Qualifiers</v>
      </c>
      <c r="Y54" s="15"/>
      <c r="AA54" s="28" t="str">
        <f t="shared" si="0"/>
        <v>case when s.F_XAGEJ01 &lt;= 17 then '17 and under' when s.F_XAGEJ01 = '99' then 'Age unknown' when s.F_XAGEJ01 &gt; 74 then '75 and over' ELSE CAST(s.F_XAGEJ01 AS VARCHAR(2)) END</v>
      </c>
      <c r="AB54" s="28" t="str">
        <f t="shared" si="6"/>
        <v>case when s.F_XAGEJ01 &lt;= 17 then '17 and under' when s.F_XAGEJ01 = '99' then 'Age unknown' when s.F_XAGEJ01 &gt; 74 then '75 and over' ELSE CAST(s.F_XAGEJ01 AS VARCHAR(2)) END</v>
      </c>
      <c r="AC54" s="28" t="str">
        <f t="shared" si="1"/>
        <v>case when s.F_XAGEJ01 &lt;= 17 then '17 and under' when s.F_XAGEJ01 = '99' then 'Age unknown' when s.F_XAGEJ01 &gt; 74 then '75 and over' ELSE CAST(s.F_XAGEJ01 AS VARCHAR(2)) END</v>
      </c>
      <c r="AD54" s="28" t="str">
        <f t="shared" si="2"/>
        <v>case when s.F_XAGEJ01 &lt;= 17 then '17 and under' when s.F_XAGEJ01 = '99' then 'Age unknown' when s.F_XAGEJ01 &gt; 74 then '75 and over' ELSE CAST(s.F_XAGEJ01 AS VARCHAR(2)) END</v>
      </c>
      <c r="AE54" t="str">
        <f t="shared" si="5"/>
        <v>[Age of qualifier]</v>
      </c>
    </row>
    <row r="55" spans="1:31" ht="48" x14ac:dyDescent="0.2">
      <c r="A55">
        <v>100039</v>
      </c>
      <c r="B55" s="11" t="str">
        <f>DataItems3[[#This Row],[Field]]&amp;IF(DataItems3[[#This Row],[Options for supplying the Field]]="",""," "&amp;DataItems3[[#This Row],[Options for supplying the Field]])</f>
        <v>Age of qualifier (17 &amp; under/ 18-20/ 21-24/ 25-29/ 30 &amp; over/ Unknown)</v>
      </c>
      <c r="C55">
        <v>100039</v>
      </c>
      <c r="D55" s="3" t="s">
        <v>86</v>
      </c>
      <c r="E55" s="3" t="s">
        <v>106</v>
      </c>
      <c r="F55" s="3" t="s">
        <v>278</v>
      </c>
      <c r="G55" s="13" t="s">
        <v>274</v>
      </c>
      <c r="H55" s="14" t="s">
        <v>283</v>
      </c>
      <c r="J55" s="3">
        <v>1</v>
      </c>
      <c r="K55" s="3">
        <v>3</v>
      </c>
      <c r="L55" s="3">
        <v>0</v>
      </c>
      <c r="M55" s="3">
        <v>0</v>
      </c>
      <c r="N55" s="3" t="s">
        <v>284</v>
      </c>
      <c r="P55" s="3" t="s">
        <v>280</v>
      </c>
      <c r="Q55" s="16" t="s">
        <v>285</v>
      </c>
      <c r="R55" s="3" t="s">
        <v>285</v>
      </c>
      <c r="S55" s="16" t="s">
        <v>286</v>
      </c>
      <c r="T55" s="3" t="s">
        <v>286</v>
      </c>
      <c r="U55" s="3" t="s">
        <v>93</v>
      </c>
      <c r="V55" s="3" t="s">
        <v>93</v>
      </c>
      <c r="W55" s="57" t="s">
        <v>114</v>
      </c>
      <c r="X55" t="str">
        <f>DataItems3[[#This Row],[Collection]]&amp;DataItems3[[#This Row],[Field]]&amp;DataItems3[[#This Row],[Options for supplying the Field]]&amp;DataItems3[[#This Row],[Fieldname]]&amp;DataItems3[[#This Row],[Parent]]</f>
        <v>StudentAge of qualifier(17 &amp; under/ 18-20/ 21-24/ 25-29/ 30 &amp; over/ Unknown)F_XAGRPJ01Qualifiers</v>
      </c>
      <c r="Y55" s="15"/>
      <c r="AA55" s="28" t="str">
        <f t="shared" si="0"/>
        <v>cast(s.F_XAGRPJ01 as varchar)</v>
      </c>
      <c r="AB55" s="28" t="str">
        <f t="shared" si="6"/>
        <v xml:space="preserve"> s.f_xagrpj01</v>
      </c>
      <c r="AC55" s="28" t="str">
        <f t="shared" si="1"/>
        <v>cast(s.F_XAGRPJ01 as varchar)</v>
      </c>
      <c r="AD55" s="28" t="str">
        <f t="shared" si="2"/>
        <v xml:space="preserve"> s.f_xagrpj01</v>
      </c>
      <c r="AE55" t="str">
        <f t="shared" si="5"/>
        <v>[Age of qualifier]</v>
      </c>
    </row>
    <row r="56" spans="1:31" ht="16" x14ac:dyDescent="0.2">
      <c r="A56">
        <v>100042</v>
      </c>
      <c r="B56" s="11" t="str">
        <f>DataItems3[[#This Row],[Field]]&amp;IF(DataItems3[[#This Row],[Options for supplying the Field]]="",""," "&amp;DataItems3[[#This Row],[Options for supplying the Field]])</f>
        <v>Age of Staff (Full)</v>
      </c>
      <c r="C56">
        <v>100042</v>
      </c>
      <c r="D56" s="3" t="s">
        <v>100</v>
      </c>
      <c r="F56" s="3" t="s">
        <v>287</v>
      </c>
      <c r="G56" s="13" t="s">
        <v>277</v>
      </c>
      <c r="H56" s="14" t="s">
        <v>288</v>
      </c>
      <c r="J56" s="3">
        <v>3</v>
      </c>
      <c r="K56" s="3">
        <v>4</v>
      </c>
      <c r="L56" s="3">
        <v>2</v>
      </c>
      <c r="M56" s="3">
        <v>2</v>
      </c>
      <c r="N56" s="3" t="s">
        <v>89</v>
      </c>
      <c r="Q56" s="16" t="s">
        <v>289</v>
      </c>
      <c r="R56" s="3" t="s">
        <v>93</v>
      </c>
      <c r="S56" s="16" t="s">
        <v>290</v>
      </c>
      <c r="U56" s="3" t="s">
        <v>93</v>
      </c>
      <c r="V56" s="3" t="s">
        <v>93</v>
      </c>
      <c r="W56" s="57" t="s">
        <v>282</v>
      </c>
      <c r="X56" t="str">
        <f>DataItems3[[#This Row],[Collection]]&amp;DataItems3[[#This Row],[Field]]&amp;DataItems3[[#This Row],[Options for supplying the Field]]&amp;DataItems3[[#This Row],[Fieldname]]&amp;DataItems3[[#This Row],[Parent]]</f>
        <v>StaffAge of Staff(Full)AGEFULL</v>
      </c>
      <c r="Y56" s="15">
        <v>43391</v>
      </c>
      <c r="Z56" t="s">
        <v>102</v>
      </c>
      <c r="AA56" s="28" t="str">
        <f t="shared" si="0"/>
        <v>CASE WHEN p.F_XAGEA01 IN ('00', '99') THEN 'UNK' WHEN p.F_XAGEA01 &lt;= '20' THEN '20 and under' WHEN p.F_XAGEA01 &lt;= '65' THEN CAST(p.F_XAGEA01 AS VARCHAR(2)) WHEN p.F_XAGEA01 &lt;= '98' THEN '66 and over' ELSE 'Error' END</v>
      </c>
      <c r="AB56" s="28" t="str">
        <f t="shared" si="6"/>
        <v>CASE WHEN p.F_XAGEA01 IN ('00', '99') THEN 'Unknown' WHEN p.F_XAGEA01 &lt;= '20' THEN '20 and under' WHEN p.F_XAGEA01 &lt;= '65' THEN CAST(p.F_XAGEA01 AS VARCHAR(2)) WHEN p.F_XAGEA01 &lt;= '98' THEN '66 and over' ELSE 'ERROR' END</v>
      </c>
      <c r="AC56" s="28" t="str">
        <f t="shared" si="1"/>
        <v/>
      </c>
      <c r="AD56" s="28" t="str">
        <f t="shared" si="2"/>
        <v/>
      </c>
      <c r="AE56" t="str">
        <f t="shared" si="5"/>
        <v>[Age of Staff]</v>
      </c>
    </row>
    <row r="57" spans="1:31" ht="48" x14ac:dyDescent="0.2">
      <c r="A57">
        <v>100041</v>
      </c>
      <c r="B57" s="11" t="str">
        <f>DataItems3[[#This Row],[Field]]&amp;IF(DataItems3[[#This Row],[Options for supplying the Field]]="",""," "&amp;DataItems3[[#This Row],[Options for supplying the Field]])</f>
        <v>Age of Staff (34 years &amp; under/ 35-49/ 50-65/ 66 years &amp; over/ Age unknown)</v>
      </c>
      <c r="C57">
        <v>100041</v>
      </c>
      <c r="D57" s="3" t="s">
        <v>100</v>
      </c>
      <c r="F57" s="3" t="s">
        <v>287</v>
      </c>
      <c r="G57" s="13" t="s">
        <v>291</v>
      </c>
      <c r="H57" s="14" t="s">
        <v>292</v>
      </c>
      <c r="J57" s="3">
        <v>5</v>
      </c>
      <c r="K57" s="3">
        <v>3</v>
      </c>
      <c r="L57" s="3">
        <v>0</v>
      </c>
      <c r="M57" s="3">
        <v>0</v>
      </c>
      <c r="N57" s="3" t="s">
        <v>106</v>
      </c>
      <c r="Q57" s="16" t="s">
        <v>293</v>
      </c>
      <c r="R57" s="3" t="s">
        <v>93</v>
      </c>
      <c r="S57" s="16" t="s">
        <v>293</v>
      </c>
      <c r="U57" s="3" t="s">
        <v>93</v>
      </c>
      <c r="V57" s="3" t="s">
        <v>93</v>
      </c>
      <c r="W57" s="57" t="s">
        <v>282</v>
      </c>
      <c r="X57" t="str">
        <f>DataItems3[[#This Row],[Collection]]&amp;DataItems3[[#This Row],[Field]]&amp;DataItems3[[#This Row],[Options for supplying the Field]]&amp;DataItems3[[#This Row],[Fieldname]]&amp;DataItems3[[#This Row],[Parent]]</f>
        <v>StaffAge of Staff(34 years &amp; under/ 35-49/ 50-65/ 66 years &amp; over/ Age unknown)AGEGRP</v>
      </c>
      <c r="Y57" s="15">
        <v>43391</v>
      </c>
      <c r="Z57" t="s">
        <v>102</v>
      </c>
      <c r="AA57" s="28" t="str">
        <f t="shared" si="0"/>
        <v>CASE WHEN p.F_XAGEA01 IN ('00', '99') THEN 'Unknown' WHEN p.F_XAGEA01 &lt;= '34' THEN '34 and under' WHEN p.F_XAGEA01 &lt;= '49' THEN '35 - 49' WHEN p.F_XAGEA01 &lt;= '65' THEN '50 - 65' WHEN p.F_XAGEA01 &lt;= '98' THEN '66 and over' ELSE 'ERROR' END</v>
      </c>
      <c r="AB57" s="28" t="str">
        <f t="shared" si="6"/>
        <v>CASE WHEN p.F_XAGEA01 IN ('00', '99') THEN 'Unknown' WHEN p.F_XAGEA01 &lt;= '34' THEN '34 and under' WHEN p.F_XAGEA01 &lt;= '49' THEN '35 - 49' WHEN p.F_XAGEA01 &lt;= '65' THEN '50 - 65' WHEN p.F_XAGEA01 &lt;= '98' THEN '66 and over' ELSE 'ERROR' END</v>
      </c>
      <c r="AC57" s="28" t="str">
        <f t="shared" si="1"/>
        <v/>
      </c>
      <c r="AD57" s="28" t="str">
        <f t="shared" si="2"/>
        <v/>
      </c>
      <c r="AE57" t="str">
        <f t="shared" si="5"/>
        <v>[Age of Staff]</v>
      </c>
    </row>
    <row r="58" spans="1:31" ht="96" x14ac:dyDescent="0.2">
      <c r="A58">
        <v>100777</v>
      </c>
      <c r="B58" s="11" t="str">
        <f>DataItems3[[#This Row],[Field]]&amp;IF(DataItems3[[#This Row],[Options for supplying the Field]]="",""," "&amp;DataItems3[[#This Row],[Options for supplying the Field]])</f>
        <v>Age of Staff (20 years &amp; under/21-25/ 26-30/ 31-35/ 36-40/ 41-45/ 46-50/ 51-55/ 56-60/ 61-65/ 66 years &amp; over/ Age unknown)</v>
      </c>
      <c r="C58">
        <v>100777</v>
      </c>
      <c r="D58" s="3" t="s">
        <v>100</v>
      </c>
      <c r="F58" s="3" t="s">
        <v>287</v>
      </c>
      <c r="G58" s="13" t="s">
        <v>294</v>
      </c>
      <c r="H58" s="3" t="s">
        <v>295</v>
      </c>
      <c r="J58" s="3">
        <v>6</v>
      </c>
      <c r="K58" s="3">
        <v>4</v>
      </c>
      <c r="L58" s="3">
        <v>1</v>
      </c>
      <c r="M58" s="3">
        <v>0</v>
      </c>
      <c r="Q58" s="16" t="s">
        <v>296</v>
      </c>
      <c r="S58" s="16" t="s">
        <v>296</v>
      </c>
      <c r="W58" s="57" t="s">
        <v>109</v>
      </c>
      <c r="X58" t="str">
        <f>DataItems3[[#This Row],[Collection]]&amp;DataItems3[[#This Row],[Field]]&amp;DataItems3[[#This Row],[Options for supplying the Field]]&amp;DataItems3[[#This Row],[Fieldname]]&amp;DataItems3[[#This Row],[Parent]]</f>
        <v>StaffAge of Staff(20 years &amp; under/21-25/ 26-30/ 31-35/ 36-40/ 41-45/ 46-50/ 51-55/ 56-60/ 61-65/ 66 years &amp; over/ Age unknown)f_xagrpb01</v>
      </c>
      <c r="Y58" s="4">
        <v>44253</v>
      </c>
      <c r="Z58" t="s">
        <v>135</v>
      </c>
      <c r="AA58" s="28" t="str">
        <f t="shared" si="0"/>
        <v>p.f_xagrpb01</v>
      </c>
      <c r="AB58" s="28" t="str">
        <f t="shared" si="6"/>
        <v>p.f_xagrpb01</v>
      </c>
      <c r="AC58" s="28" t="str">
        <f t="shared" si="1"/>
        <v/>
      </c>
      <c r="AD58" s="28" t="str">
        <f t="shared" si="2"/>
        <v/>
      </c>
      <c r="AE58" t="str">
        <f t="shared" si="5"/>
        <v>[Age of Staff]</v>
      </c>
    </row>
    <row r="59" spans="1:31" ht="48" x14ac:dyDescent="0.2">
      <c r="A59">
        <v>100044</v>
      </c>
      <c r="B59" s="11" t="str">
        <f>DataItems3[[#This Row],[Field]]&amp;IF(DataItems3[[#This Row],[Options for supplying the Field]]="",""," "&amp;DataItems3[[#This Row],[Options for supplying the Field]])</f>
        <v>Age of student (17 &amp; under/ Individual year/ 75 &amp; over/ Unknown)</v>
      </c>
      <c r="C59">
        <v>100044</v>
      </c>
      <c r="D59" s="3" t="s">
        <v>86</v>
      </c>
      <c r="E59" s="3" t="s">
        <v>106</v>
      </c>
      <c r="F59" s="3" t="s">
        <v>297</v>
      </c>
      <c r="G59" s="13" t="s">
        <v>275</v>
      </c>
      <c r="H59" s="14" t="s">
        <v>298</v>
      </c>
      <c r="J59" s="3">
        <v>3</v>
      </c>
      <c r="K59" s="3">
        <v>3</v>
      </c>
      <c r="L59" s="3">
        <v>0</v>
      </c>
      <c r="M59" s="3">
        <v>0</v>
      </c>
      <c r="N59" s="3" t="s">
        <v>89</v>
      </c>
      <c r="Q59" s="16" t="s">
        <v>299</v>
      </c>
      <c r="R59" s="3" t="s">
        <v>299</v>
      </c>
      <c r="S59" s="16" t="s">
        <v>299</v>
      </c>
      <c r="T59" s="3" t="s">
        <v>299</v>
      </c>
      <c r="U59" s="3" t="s">
        <v>93</v>
      </c>
      <c r="V59" s="3">
        <v>1</v>
      </c>
      <c r="W59" s="57" t="s">
        <v>282</v>
      </c>
      <c r="X59" t="str">
        <f>DataItems3[[#This Row],[Collection]]&amp;DataItems3[[#This Row],[Field]]&amp;DataItems3[[#This Row],[Options for supplying the Field]]&amp;DataItems3[[#This Row],[Fieldname]]&amp;DataItems3[[#This Row],[Parent]]</f>
        <v>StudentAge of student(17 &amp; under/ Individual year/ 75 &amp; over/ Unknown)F_XAGEA01</v>
      </c>
      <c r="Y59" s="15"/>
      <c r="AA59" s="28" t="str">
        <f t="shared" si="0"/>
        <v>CASE WHEN s.F_XAGEA01 &lt;= 17 THEN '17 and under' WHEN s.F_XAGEA01 = '99' THEN 'Age unknown' WHEN s.F_XAGEA01 &gt; 74 THEN '75 and over' ELSE CAST(s.F_XAGEA01 AS VARCHAR(2)) END</v>
      </c>
      <c r="AB59" s="28" t="str">
        <f t="shared" si="6"/>
        <v>CASE WHEN s.F_XAGEA01 &lt;= 17 THEN '17 and under' WHEN s.F_XAGEA01 = '99' THEN 'Age unknown' WHEN s.F_XAGEA01 &gt; 74 THEN '75 and over' ELSE CAST(s.F_XAGEA01 AS VARCHAR(2)) END</v>
      </c>
      <c r="AC59" s="28" t="str">
        <f t="shared" si="1"/>
        <v>CASE WHEN s.F_XAGEA01 &lt;= 17 THEN '17 and under' WHEN s.F_XAGEA01 = '99' THEN 'Age unknown' WHEN s.F_XAGEA01 &gt; 74 THEN '75 and over' ELSE CAST(s.F_XAGEA01 AS VARCHAR(2)) END</v>
      </c>
      <c r="AD59" s="28" t="str">
        <f t="shared" si="2"/>
        <v>CASE WHEN s.F_XAGEA01 &lt;= 17 THEN '17 and under' WHEN s.F_XAGEA01 = '99' THEN 'Age unknown' WHEN s.F_XAGEA01 &gt; 74 THEN '75 and over' ELSE CAST(s.F_XAGEA01 AS VARCHAR(2)) END</v>
      </c>
      <c r="AE59" t="str">
        <f t="shared" si="5"/>
        <v>[Age of student]</v>
      </c>
    </row>
    <row r="60" spans="1:31" ht="48" x14ac:dyDescent="0.2">
      <c r="A60">
        <v>100043</v>
      </c>
      <c r="B60" s="11" t="str">
        <f>DataItems3[[#This Row],[Field]]&amp;IF(DataItems3[[#This Row],[Options for supplying the Field]]="",""," "&amp;DataItems3[[#This Row],[Options for supplying the Field]])</f>
        <v>Age of student (17 &amp; under/ 18-20/ 21-24/ 25-29/ 30 &amp; over/ Unknown)</v>
      </c>
      <c r="C60">
        <v>100043</v>
      </c>
      <c r="D60" s="3" t="s">
        <v>86</v>
      </c>
      <c r="E60" s="3" t="s">
        <v>106</v>
      </c>
      <c r="F60" s="3" t="s">
        <v>297</v>
      </c>
      <c r="G60" s="13" t="s">
        <v>274</v>
      </c>
      <c r="H60" s="14" t="s">
        <v>300</v>
      </c>
      <c r="J60" s="3">
        <v>1</v>
      </c>
      <c r="K60" s="3">
        <v>3</v>
      </c>
      <c r="L60" s="3">
        <v>0</v>
      </c>
      <c r="M60" s="3">
        <v>0</v>
      </c>
      <c r="N60" s="3" t="s">
        <v>301</v>
      </c>
      <c r="Q60" s="16" t="s">
        <v>302</v>
      </c>
      <c r="R60" s="3" t="s">
        <v>302</v>
      </c>
      <c r="S60" s="16" t="s">
        <v>303</v>
      </c>
      <c r="T60" s="3" t="s">
        <v>303</v>
      </c>
      <c r="U60" s="3" t="s">
        <v>93</v>
      </c>
      <c r="V60" s="3" t="s">
        <v>93</v>
      </c>
      <c r="W60" s="57" t="s">
        <v>109</v>
      </c>
      <c r="X60" t="str">
        <f>DataItems3[[#This Row],[Collection]]&amp;DataItems3[[#This Row],[Field]]&amp;DataItems3[[#This Row],[Options for supplying the Field]]&amp;DataItems3[[#This Row],[Fieldname]]&amp;DataItems3[[#This Row],[Parent]]</f>
        <v>StudentAge of student(17 &amp; under/ 18-20/ 21-24/ 25-29/ 30 &amp; over/ Unknown)F_XAGRP601</v>
      </c>
      <c r="Y60" s="15"/>
      <c r="AA60" s="28" t="str">
        <f t="shared" si="0"/>
        <v>CAST(s.F_XAGRP601 AS VARCHAR(1))</v>
      </c>
      <c r="AB60" s="28" t="str">
        <f t="shared" si="6"/>
        <v xml:space="preserve"> s.f_xagrp601</v>
      </c>
      <c r="AC60" s="28" t="str">
        <f t="shared" si="1"/>
        <v>CAST(s.F_XAGRP601 AS VARCHAR(1))</v>
      </c>
      <c r="AD60" s="28" t="str">
        <f t="shared" si="2"/>
        <v xml:space="preserve"> s.f_xagrp601</v>
      </c>
      <c r="AE60" t="str">
        <f t="shared" si="5"/>
        <v>[Age of student]</v>
      </c>
    </row>
    <row r="61" spans="1:31" ht="48" x14ac:dyDescent="0.2">
      <c r="A61">
        <v>100045</v>
      </c>
      <c r="B61" s="11" t="str">
        <f>DataItems3[[#This Row],[Field]]&amp;IF(DataItems3[[#This Row],[Options for supplying the Field]]="",""," "&amp;DataItems3[[#This Row],[Options for supplying the Field]])</f>
        <v>Age on entry (17 &amp; under/ 18-20/ 21-24/ 25-29/ 30 &amp; over/ Unknown)</v>
      </c>
      <c r="C61">
        <v>100045</v>
      </c>
      <c r="D61" s="3" t="s">
        <v>86</v>
      </c>
      <c r="E61" s="3" t="s">
        <v>106</v>
      </c>
      <c r="F61" s="3" t="s">
        <v>304</v>
      </c>
      <c r="G61" s="13" t="s">
        <v>274</v>
      </c>
      <c r="H61" s="14" t="s">
        <v>305</v>
      </c>
      <c r="J61" s="3">
        <v>5</v>
      </c>
      <c r="K61" s="3">
        <v>3</v>
      </c>
      <c r="L61" s="3">
        <v>0</v>
      </c>
      <c r="M61" s="3">
        <v>0</v>
      </c>
      <c r="N61" s="3" t="s">
        <v>89</v>
      </c>
      <c r="Q61" s="16" t="s">
        <v>306</v>
      </c>
      <c r="R61" s="3" t="s">
        <v>306</v>
      </c>
      <c r="S61" s="16" t="s">
        <v>306</v>
      </c>
      <c r="T61" s="3" t="s">
        <v>306</v>
      </c>
      <c r="U61" s="3" t="s">
        <v>93</v>
      </c>
      <c r="V61" s="3">
        <v>1</v>
      </c>
      <c r="W61" s="57" t="s">
        <v>282</v>
      </c>
      <c r="X61" t="str">
        <f>DataItems3[[#This Row],[Collection]]&amp;DataItems3[[#This Row],[Field]]&amp;DataItems3[[#This Row],[Options for supplying the Field]]&amp;DataItems3[[#This Row],[Fieldname]]&amp;DataItems3[[#This Row],[Parent]]</f>
        <v>StudentAge on entry(17 &amp; under/ 18-20/ 21-24/ 25-29/ 30 &amp; over/ Unknown)AOE</v>
      </c>
      <c r="Y61" s="15">
        <v>43434</v>
      </c>
      <c r="Z61" t="s">
        <v>95</v>
      </c>
      <c r="AA61" s="28" t="str">
        <f t="shared" si="0"/>
        <v xml:space="preserve">case when dbo.SP_Age(s.F_BIRTHDTE,s.F_COMDATE)  in ('-1','0') then 'Unknown' when dbo.SP_Age(s.F_BIRTHDTE,s.F_COMDATE) &lt;= 17 then '17 and under' when dbo.SP_Age(s.F_BIRTHDTE,s.F_COMDATE) between 21 and 24 then '21-24' when dbo.SP_Age(s.F_BIRTHDTE,s.F_COMDATE) between 18 and 20 then '18-20' when dbo.SP_Age(s.F_BIRTHDTE,s.F_COMDATE) between 25 and 29 then '25-29' when dbo.SP_Age(s.F_BIRTHDTE,s.F_COMDATE) &gt;= 30 then '30 and over' else 'Unknown' end </v>
      </c>
      <c r="AB61" s="28" t="str">
        <f t="shared" si="6"/>
        <v xml:space="preserve">case when dbo.SP_Age(s.F_BIRTHDTE,s.F_COMDATE)  in ('-1','0') then 'Unknown' when dbo.SP_Age(s.F_BIRTHDTE,s.F_COMDATE) &lt;= 17 then '17 and under' when dbo.SP_Age(s.F_BIRTHDTE,s.F_COMDATE) between 21 and 24 then '21-24' when dbo.SP_Age(s.F_BIRTHDTE,s.F_COMDATE) between 18 and 20 then '18-20' when dbo.SP_Age(s.F_BIRTHDTE,s.F_COMDATE) between 25 and 29 then '25-29' when dbo.SP_Age(s.F_BIRTHDTE,s.F_COMDATE) &gt;= 30 then '30 and over' else 'Unknown' end </v>
      </c>
      <c r="AC61" s="28" t="str">
        <f t="shared" si="1"/>
        <v xml:space="preserve">case when dbo.SP_Age(s.F_BIRTHDTE,s.F_COMDATE)  in ('-1','0') then 'Unknown' when dbo.SP_Age(s.F_BIRTHDTE,s.F_COMDATE) &lt;= 17 then '17 and under' when dbo.SP_Age(s.F_BIRTHDTE,s.F_COMDATE) between 21 and 24 then '21-24' when dbo.SP_Age(s.F_BIRTHDTE,s.F_COMDATE) between 18 and 20 then '18-20' when dbo.SP_Age(s.F_BIRTHDTE,s.F_COMDATE) between 25 and 29 then '25-29' when dbo.SP_Age(s.F_BIRTHDTE,s.F_COMDATE) &gt;= 30 then '30 and over' else 'Unknown' end </v>
      </c>
      <c r="AD61" s="28" t="str">
        <f t="shared" si="2"/>
        <v xml:space="preserve">case when dbo.SP_Age(s.F_BIRTHDTE,s.F_COMDATE)  in ('-1','0') then 'Unknown' when dbo.SP_Age(s.F_BIRTHDTE,s.F_COMDATE) &lt;= 17 then '17 and under' when dbo.SP_Age(s.F_BIRTHDTE,s.F_COMDATE) between 21 and 24 then '21-24' when dbo.SP_Age(s.F_BIRTHDTE,s.F_COMDATE) between 18 and 20 then '18-20' when dbo.SP_Age(s.F_BIRTHDTE,s.F_COMDATE) between 25 and 29 then '25-29' when dbo.SP_Age(s.F_BIRTHDTE,s.F_COMDATE) &gt;= 30 then '30 and over' else 'Unknown' end </v>
      </c>
      <c r="AE61" t="str">
        <f t="shared" si="5"/>
        <v>[Age on entry]</v>
      </c>
    </row>
    <row r="62" spans="1:31" ht="16" x14ac:dyDescent="0.2">
      <c r="A62">
        <v>100046</v>
      </c>
      <c r="B62" s="11" t="str">
        <f>DataItems3[[#This Row],[Field]]&amp;IF(DataItems3[[#This Row],[Options for supplying the Field]]="",""," "&amp;DataItems3[[#This Row],[Options for supplying the Field]])</f>
        <v>Age on entry (Full)</v>
      </c>
      <c r="C62">
        <v>100046</v>
      </c>
      <c r="D62" s="3" t="s">
        <v>86</v>
      </c>
      <c r="E62" s="3" t="s">
        <v>106</v>
      </c>
      <c r="F62" s="3" t="s">
        <v>304</v>
      </c>
      <c r="G62" s="13" t="s">
        <v>277</v>
      </c>
      <c r="H62" s="14" t="s">
        <v>305</v>
      </c>
      <c r="J62" s="3">
        <v>5</v>
      </c>
      <c r="K62" s="3">
        <v>4</v>
      </c>
      <c r="L62" s="3">
        <v>2</v>
      </c>
      <c r="M62" s="3">
        <v>2</v>
      </c>
      <c r="N62" s="3" t="s">
        <v>89</v>
      </c>
      <c r="Q62" s="16" t="s">
        <v>307</v>
      </c>
      <c r="R62" s="16" t="s">
        <v>307</v>
      </c>
      <c r="S62" s="16" t="s">
        <v>308</v>
      </c>
      <c r="T62" s="16" t="s">
        <v>308</v>
      </c>
      <c r="U62" s="3" t="s">
        <v>93</v>
      </c>
      <c r="V62" s="3" t="s">
        <v>93</v>
      </c>
      <c r="W62" s="57" t="s">
        <v>94</v>
      </c>
      <c r="X62" t="str">
        <f>DataItems3[[#This Row],[Collection]]&amp;DataItems3[[#This Row],[Field]]&amp;DataItems3[[#This Row],[Options for supplying the Field]]&amp;DataItems3[[#This Row],[Fieldname]]&amp;DataItems3[[#This Row],[Parent]]</f>
        <v>StudentAge on entry(Full)AOE</v>
      </c>
      <c r="Y62" s="15">
        <v>43234</v>
      </c>
      <c r="Z62" t="s">
        <v>102</v>
      </c>
      <c r="AA62" s="28" t="str">
        <f t="shared" si="0"/>
        <v>CASE WHEN CAST(dbo.SP_Age(s.F_BIRTHDTE, s.F_COMDATE) AS VARCHAR(3)) IS NULL THEN 'Unknown' WHEN CAST(dbo.SP_Age(s.F_BIRTHDTE, s.F_COMDATE) AS VARCHAR(3))  IN ('-1', '0')  then 'Unknown'  WHEN CAST(dbo.SP_Age(s.F_BIRTHDTE,s.F_COMDATE) AS varchar(3)) BETWEEN 1 AND 16 THEN '&lt;17' WHEN CAST(dbo.SP_Age(s.F_BIRTHDTE,s.F_COMDATE) AS varchar(3)) BETWEEN 75 AND 100 THEN '&gt;74' ELSE CAST(dbo.SP_Age(s.F_BIRTHDTE,s.F_COMDATE) AS varchar(3)) END</v>
      </c>
      <c r="AB62" s="28" t="str">
        <f t="shared" si="6"/>
        <v>CASE WHEN CAST(dbo.SP_Age(s.F_BIRTHDTE, s.F_COMDATE) AS VARCHAR(3)) IS NULL THEN 'Unknown' WHEN CAST(dbo.SP_Age(s.F_BIRTHDTE, s.F_COMDATE) AS VARCHAR(3))  IN ('-1', '0') then 'Unknown' WHEN CAST(dbo.SP_Age(s.F_BIRTHDTE,s.F_COMDATE) AS varchar(3)) BETWEEN 1 AND 16 THEN '16 and under' WHEN CAST(dbo.SP_Age(s.F_BIRTHDTE,s.F_COMDATE) AS varchar(3)) BETWEEN 75 AND 100 THEN '75 and over' ELSE CAST(dbo.SP_Age(s.F_BIRTHDTE,s.F_COMDATE) AS varchar(3)) END</v>
      </c>
      <c r="AC62" s="28" t="str">
        <f t="shared" si="1"/>
        <v>CASE WHEN CAST(dbo.SP_Age(s.F_BIRTHDTE, s.F_COMDATE) AS VARCHAR(3)) IS NULL THEN 'Unknown' WHEN CAST(dbo.SP_Age(s.F_BIRTHDTE, s.F_COMDATE) AS VARCHAR(3))  IN ('-1', '0')  then 'Unknown'  WHEN CAST(dbo.SP_Age(s.F_BIRTHDTE,s.F_COMDATE) AS varchar(3)) BETWEEN 1 AND 16 THEN '&lt;17' WHEN CAST(dbo.SP_Age(s.F_BIRTHDTE,s.F_COMDATE) AS varchar(3)) BETWEEN 75 AND 100 THEN '&gt;74' ELSE CAST(dbo.SP_Age(s.F_BIRTHDTE,s.F_COMDATE) AS varchar(3)) END</v>
      </c>
      <c r="AD62" s="28" t="str">
        <f t="shared" si="2"/>
        <v>CASE WHEN CAST(dbo.SP_Age(s.F_BIRTHDTE, s.F_COMDATE) AS VARCHAR(3)) IS NULL THEN 'Unknown' WHEN CAST(dbo.SP_Age(s.F_BIRTHDTE, s.F_COMDATE) AS VARCHAR(3))  IN ('-1', '0') then 'Unknown' WHEN CAST(dbo.SP_Age(s.F_BIRTHDTE,s.F_COMDATE) AS varchar(3)) BETWEEN 1 AND 16 THEN '16 and under' WHEN CAST(dbo.SP_Age(s.F_BIRTHDTE,s.F_COMDATE) AS varchar(3)) BETWEEN 75 AND 100 THEN '75 and over' ELSE CAST(dbo.SP_Age(s.F_BIRTHDTE,s.F_COMDATE) AS varchar(3)) END</v>
      </c>
      <c r="AE62" t="str">
        <f t="shared" si="5"/>
        <v>[Age on entry]</v>
      </c>
    </row>
    <row r="63" spans="1:31" ht="16" x14ac:dyDescent="0.2">
      <c r="A63">
        <v>100047</v>
      </c>
      <c r="B63" s="11" t="str">
        <f>DataItems3[[#This Row],[Field]]&amp;IF(DataItems3[[#This Row],[Options for supplying the Field]]="",""," "&amp;DataItems3[[#This Row],[Options for supplying the Field]])</f>
        <v>A-levels and Scottish Highers marker</v>
      </c>
      <c r="C63">
        <v>100047</v>
      </c>
      <c r="D63" s="3" t="s">
        <v>86</v>
      </c>
      <c r="F63" s="3" t="s">
        <v>309</v>
      </c>
      <c r="G63" s="13"/>
      <c r="H63" s="14" t="s">
        <v>310</v>
      </c>
      <c r="J63" s="3">
        <v>3</v>
      </c>
      <c r="K63" s="3">
        <v>2</v>
      </c>
      <c r="L63" s="3">
        <v>0</v>
      </c>
      <c r="M63" s="3">
        <v>0</v>
      </c>
      <c r="N63" s="3" t="s">
        <v>89</v>
      </c>
      <c r="Q63" s="16" t="s">
        <v>311</v>
      </c>
      <c r="R63" s="3" t="s">
        <v>91</v>
      </c>
      <c r="S63" s="16" t="s">
        <v>312</v>
      </c>
      <c r="U63" s="3" t="s">
        <v>92</v>
      </c>
      <c r="V63" s="3" t="s">
        <v>93</v>
      </c>
      <c r="W63" s="57" t="s">
        <v>109</v>
      </c>
      <c r="X63" t="str">
        <f>DataItems3[[#This Row],[Collection]]&amp;DataItems3[[#This Row],[Field]]&amp;DataItems3[[#This Row],[Options for supplying the Field]]&amp;DataItems3[[#This Row],[Fieldname]]&amp;DataItems3[[#This Row],[Parent]]</f>
        <v>StudentA-levels and Scottish Highers markerF_ZALEV_HIGH_MARKER</v>
      </c>
      <c r="Y63" s="15">
        <v>43438</v>
      </c>
      <c r="Z63" t="s">
        <v>95</v>
      </c>
      <c r="AA63" s="28" t="str">
        <f t="shared" si="0"/>
        <v xml:space="preserve">CAST(d.F_ZALEV_HIGH_MARKER AS VARCHAR(1)) </v>
      </c>
      <c r="AB63" s="28" t="str">
        <f t="shared" si="6"/>
        <v>d.F_ZALEV_HIGH_MARKER</v>
      </c>
      <c r="AC63" s="28" t="str">
        <f t="shared" si="1"/>
        <v xml:space="preserve"> </v>
      </c>
      <c r="AD63" s="28" t="str">
        <f t="shared" si="2"/>
        <v/>
      </c>
      <c r="AE63" t="str">
        <f t="shared" si="5"/>
        <v>[A-levels and Scottish Highers marker]</v>
      </c>
    </row>
    <row r="64" spans="1:31" ht="16" x14ac:dyDescent="0.2">
      <c r="A64">
        <v>100048</v>
      </c>
      <c r="B64" s="11" t="str">
        <f>DataItems3[[#This Row],[Field]]&amp;IF(DataItems3[[#This Row],[Options for supplying the Field]]="",""," "&amp;DataItems3[[#This Row],[Options for supplying the Field]])</f>
        <v>A-levels/Highers and BTEC/vocational marker</v>
      </c>
      <c r="C64">
        <v>100048</v>
      </c>
      <c r="D64" s="3" t="s">
        <v>86</v>
      </c>
      <c r="F64" s="3" t="s">
        <v>313</v>
      </c>
      <c r="G64" s="13"/>
      <c r="H64" s="14" t="s">
        <v>314</v>
      </c>
      <c r="J64" s="3">
        <v>3</v>
      </c>
      <c r="K64" s="3">
        <v>2</v>
      </c>
      <c r="L64" s="3">
        <v>0</v>
      </c>
      <c r="M64" s="3">
        <v>0</v>
      </c>
      <c r="N64" s="3" t="s">
        <v>89</v>
      </c>
      <c r="Q64" s="16" t="s">
        <v>315</v>
      </c>
      <c r="R64" s="3" t="s">
        <v>91</v>
      </c>
      <c r="S64" s="16" t="s">
        <v>316</v>
      </c>
      <c r="U64" s="3" t="s">
        <v>92</v>
      </c>
      <c r="V64" s="3" t="s">
        <v>93</v>
      </c>
      <c r="W64" s="57" t="s">
        <v>109</v>
      </c>
      <c r="X64" t="str">
        <f>DataItems3[[#This Row],[Collection]]&amp;DataItems3[[#This Row],[Field]]&amp;DataItems3[[#This Row],[Options for supplying the Field]]&amp;DataItems3[[#This Row],[Fieldname]]&amp;DataItems3[[#This Row],[Parent]]</f>
        <v>StudentA-levels/Highers and BTEC/vocational markerF_ZALEV_VOC_MARKER</v>
      </c>
      <c r="Y64" s="15">
        <v>43438</v>
      </c>
      <c r="Z64" t="s">
        <v>95</v>
      </c>
      <c r="AA64" s="28" t="str">
        <f t="shared" si="0"/>
        <v>CAST(d.F_ZALEV_VOC_MARKER AS VARCHAR(1))</v>
      </c>
      <c r="AB64" s="28" t="str">
        <f t="shared" si="6"/>
        <v>d.F_ZALEV_VOC_MARKER</v>
      </c>
      <c r="AC64" s="28" t="str">
        <f t="shared" si="1"/>
        <v xml:space="preserve"> </v>
      </c>
      <c r="AD64" s="28" t="str">
        <f t="shared" si="2"/>
        <v/>
      </c>
      <c r="AE64" t="str">
        <f t="shared" si="5"/>
        <v>[A-levels/Highers and BTEC/vocational marker]</v>
      </c>
    </row>
    <row r="65" spans="1:31" ht="16" x14ac:dyDescent="0.2">
      <c r="A65">
        <v>100049</v>
      </c>
      <c r="B65" s="11" t="str">
        <f>DataItems3[[#This Row],[Field]]&amp;IF(DataItems3[[#This Row],[Options for supplying the Field]]="",""," "&amp;DataItems3[[#This Row],[Options for supplying the Field]])</f>
        <v>Anxious yesterday [ANXYEST]</v>
      </c>
      <c r="C65">
        <v>100049</v>
      </c>
      <c r="D65" s="3" t="s">
        <v>151</v>
      </c>
      <c r="F65" s="3" t="s">
        <v>317</v>
      </c>
      <c r="G65" s="13" t="s">
        <v>318</v>
      </c>
      <c r="I65" s="3" t="s">
        <v>2928</v>
      </c>
      <c r="J65" s="3">
        <v>1</v>
      </c>
      <c r="K65" s="3">
        <v>2</v>
      </c>
      <c r="L65" s="3">
        <v>0</v>
      </c>
      <c r="M65" s="3">
        <v>8</v>
      </c>
      <c r="P65" s="3" t="s">
        <v>320</v>
      </c>
      <c r="Q65" s="16" t="s">
        <v>93</v>
      </c>
      <c r="R65" s="3" t="s">
        <v>93</v>
      </c>
      <c r="S65" s="16" t="s">
        <v>93</v>
      </c>
      <c r="U65" s="3" t="s">
        <v>93</v>
      </c>
      <c r="V65" s="3" t="s">
        <v>93</v>
      </c>
      <c r="W65" s="57" t="s">
        <v>2926</v>
      </c>
      <c r="X65" t="str">
        <f>DataItems3[[#This Row],[Collection]]&amp;DataItems3[[#This Row],[Field]]&amp;DataItems3[[#This Row],[Options for supplying the Field]]&amp;DataItems3[[#This Row],[Fieldname]]&amp;DataItems3[[#This Row],[Parent]]</f>
        <v>Graduate OutcomesAnxious yesterday[ANXYEST]Provider &gt; Graduate &gt; Subjective Wellbeing:</v>
      </c>
      <c r="Y65" s="15">
        <v>43550</v>
      </c>
      <c r="Z65" t="s">
        <v>159</v>
      </c>
      <c r="AA65" s="28" t="str">
        <f t="shared" si="0"/>
        <v/>
      </c>
      <c r="AB65" s="28" t="str">
        <f t="shared" si="6"/>
        <v/>
      </c>
      <c r="AC65" s="28" t="str">
        <f t="shared" si="1"/>
        <v/>
      </c>
      <c r="AD65" s="28" t="str">
        <f t="shared" si="2"/>
        <v/>
      </c>
      <c r="AE65" t="str">
        <f t="shared" si="5"/>
        <v>[Anxious yesterday]</v>
      </c>
    </row>
    <row r="66" spans="1:31" ht="16" x14ac:dyDescent="0.2">
      <c r="A66">
        <v>100050</v>
      </c>
      <c r="B66" s="11" t="str">
        <f>DataItems3[[#This Row],[Field]]&amp;IF(DataItems3[[#This Row],[Options for supplying the Field]]="",""," "&amp;DataItems3[[#This Row],[Options for supplying the Field]])</f>
        <v>Anxious yesterday grouping [XANXYESTGRP]</v>
      </c>
      <c r="C66">
        <v>100050</v>
      </c>
      <c r="D66" s="3" t="s">
        <v>151</v>
      </c>
      <c r="F66" s="3" t="s">
        <v>321</v>
      </c>
      <c r="G66" s="13" t="s">
        <v>322</v>
      </c>
      <c r="I66" s="3" t="s">
        <v>2928</v>
      </c>
      <c r="J66" s="3">
        <v>1</v>
      </c>
      <c r="K66" s="3">
        <v>2</v>
      </c>
      <c r="L66" s="3">
        <v>0</v>
      </c>
      <c r="M66" s="3">
        <v>8</v>
      </c>
      <c r="P66" s="3" t="s">
        <v>323</v>
      </c>
      <c r="R66" s="3" t="s">
        <v>93</v>
      </c>
      <c r="V66" s="3" t="s">
        <v>93</v>
      </c>
      <c r="W66" s="57" t="s">
        <v>2926</v>
      </c>
      <c r="X66" t="str">
        <f>DataItems3[[#This Row],[Collection]]&amp;DataItems3[[#This Row],[Field]]&amp;DataItems3[[#This Row],[Options for supplying the Field]]&amp;DataItems3[[#This Row],[Fieldname]]&amp;DataItems3[[#This Row],[Parent]]</f>
        <v>Graduate OutcomesAnxious yesterday grouping[XANXYESTGRP]Provider &gt; Derived Field</v>
      </c>
      <c r="Y66" s="15">
        <v>43550</v>
      </c>
      <c r="Z66" t="s">
        <v>159</v>
      </c>
      <c r="AA66" s="28" t="str">
        <f t="shared" si="0"/>
        <v/>
      </c>
      <c r="AB66" s="28" t="str">
        <f t="shared" si="6"/>
        <v/>
      </c>
      <c r="AC66" s="28" t="str">
        <f t="shared" si="1"/>
        <v/>
      </c>
      <c r="AD66" s="28" t="str">
        <f t="shared" si="2"/>
        <v/>
      </c>
      <c r="AE66" t="str">
        <f t="shared" si="5"/>
        <v>[Anxious yesterday grouping]</v>
      </c>
    </row>
    <row r="67" spans="1:31" ht="16" x14ac:dyDescent="0.2">
      <c r="A67">
        <v>100856</v>
      </c>
      <c r="B67" s="11" t="str">
        <f>DataItems3[[#This Row],[Field]]&amp;IF(DataItems3[[#This Row],[Options for supplying the Field]]="",""," "&amp;DataItems3[[#This Row],[Options for supplying the Field]])</f>
        <v>Applicable tariff marker</v>
      </c>
      <c r="C67">
        <v>100856</v>
      </c>
      <c r="D67" s="3" t="s">
        <v>86</v>
      </c>
      <c r="F67" s="3" t="s">
        <v>324</v>
      </c>
      <c r="G67" s="13"/>
      <c r="H67" s="14" t="s">
        <v>325</v>
      </c>
      <c r="J67" s="3">
        <v>1</v>
      </c>
      <c r="K67" s="3">
        <v>0</v>
      </c>
      <c r="L67" s="3">
        <v>0</v>
      </c>
      <c r="M67" s="3">
        <v>0</v>
      </c>
      <c r="Q67" s="16" t="s">
        <v>2929</v>
      </c>
      <c r="S67" s="16" t="s">
        <v>2929</v>
      </c>
      <c r="W67" s="57" t="s">
        <v>2661</v>
      </c>
      <c r="X67" t="str">
        <f>DataItems3[[#This Row],[Collection]]&amp;DataItems3[[#This Row],[Field]]&amp;DataItems3[[#This Row],[Options for supplying the Field]]&amp;DataItems3[[#This Row],[Fieldname]]&amp;DataItems3[[#This Row],[Parent]]</f>
        <v>StudentApplicable tariff markerAPP_TARIFF</v>
      </c>
      <c r="Y67" s="4">
        <v>44638</v>
      </c>
      <c r="Z67" t="s">
        <v>135</v>
      </c>
      <c r="AA67" s="28" t="str">
        <f t="shared" ref="AA67:AA130" si="7">IF(Q67="","",Q67)</f>
        <v xml:space="preserve">CASE WHEN s.F_QUALENT3 IN ('P41','P42','P46','P47','P50','P51','P53', 'P54', 'P62','P63','P64','P65','P68','P80','P91','P93','P94','X00','X01') AND s.dw_fromdate &gt;= '20170801' THEN 'Applicable' ELSE 'Not applicable' END </v>
      </c>
      <c r="AB67" s="28" t="str">
        <f t="shared" si="6"/>
        <v xml:space="preserve">CASE WHEN s.F_QUALENT3 IN ('P41','P42','P46','P47','P50','P51','P53', 'P54', 'P62','P63','P64','P65','P68','P80','P91','P93','P94','X00','X01') AND s.dw_fromdate &gt;= '20170801' THEN 'Applicable' ELSE 'Not applicable' END </v>
      </c>
      <c r="AC67" s="28" t="str">
        <f t="shared" ref="AC67:AC81" si="8">IF(R67="","",R67)</f>
        <v/>
      </c>
      <c r="AD67" s="28" t="str">
        <f t="shared" ref="AD67:AD71" si="9">IF(T67="","",IF(IFERROR(SEARCH("select",T67)&gt;0,0),IF(U67="",IF(MID(T67,SEARCH(H67,T67)-4,1)=" ",MID(T67,SEARCH(H67,T67)-2,LEN(O76)+2),MID(T67,SEARCH(H67,T67)-3,LEN(H67)+3)),U67&amp;"."&amp;H67),T67))</f>
        <v/>
      </c>
      <c r="AE67" t="str">
        <f t="shared" si="5"/>
        <v>[Applicable tariff marker]</v>
      </c>
    </row>
    <row r="68" spans="1:31" ht="16" x14ac:dyDescent="0.2">
      <c r="A68">
        <v>100051</v>
      </c>
      <c r="B68" s="11" t="str">
        <f>DataItems3[[#This Row],[Field]]&amp;IF(DataItems3[[#This Row],[Options for supplying the Field]]="",""," "&amp;DataItems3[[#This Row],[Options for supplying the Field]])</f>
        <v>Apprenticeship marker (Staff)</v>
      </c>
      <c r="C68">
        <v>100051</v>
      </c>
      <c r="D68" s="3" t="s">
        <v>100</v>
      </c>
      <c r="F68" s="3" t="s">
        <v>326</v>
      </c>
      <c r="G68" s="13" t="s">
        <v>327</v>
      </c>
      <c r="H68" s="14" t="s">
        <v>328</v>
      </c>
      <c r="J68" s="3">
        <v>2</v>
      </c>
      <c r="K68" s="3">
        <v>3</v>
      </c>
      <c r="L68" s="3">
        <v>1</v>
      </c>
      <c r="M68" s="3">
        <v>0</v>
      </c>
      <c r="N68" s="3" t="s">
        <v>89</v>
      </c>
      <c r="Q68" s="16" t="s">
        <v>329</v>
      </c>
      <c r="R68" s="3" t="s">
        <v>93</v>
      </c>
      <c r="S68" s="16" t="s">
        <v>330</v>
      </c>
      <c r="U68" s="3" t="s">
        <v>93</v>
      </c>
      <c r="V68" s="3" t="s">
        <v>93</v>
      </c>
      <c r="W68" s="57" t="s">
        <v>109</v>
      </c>
      <c r="X68" t="str">
        <f>DataItems3[[#This Row],[Collection]]&amp;DataItems3[[#This Row],[Field]]&amp;DataItems3[[#This Row],[Options for supplying the Field]]&amp;DataItems3[[#This Row],[Fieldname]]&amp;DataItems3[[#This Row],[Parent]]</f>
        <v>StaffApprenticeship marker(Staff)F_APPRENTICESHIP</v>
      </c>
      <c r="Y68" s="15">
        <v>43482</v>
      </c>
      <c r="Z68" t="s">
        <v>225</v>
      </c>
      <c r="AA68" s="28" t="str">
        <f t="shared" si="7"/>
        <v>ISNULL(c.f_apprenticeship,'UNK')</v>
      </c>
      <c r="AB68" s="28" t="str">
        <f t="shared" si="6"/>
        <v xml:space="preserve"> c.f_apprenticeship</v>
      </c>
      <c r="AC68" s="28" t="str">
        <f t="shared" si="8"/>
        <v/>
      </c>
      <c r="AD68" s="28" t="str">
        <f t="shared" si="9"/>
        <v/>
      </c>
      <c r="AE68" t="str">
        <f t="shared" si="5"/>
        <v>[Apprenticeship marker]</v>
      </c>
    </row>
    <row r="69" spans="1:31" ht="16" x14ac:dyDescent="0.2">
      <c r="A69">
        <v>100052</v>
      </c>
      <c r="B69" s="11" t="str">
        <f>DataItems3[[#This Row],[Field]]&amp;IF(DataItems3[[#This Row],[Options for supplying the Field]]="",""," "&amp;DataItems3[[#This Row],[Options for supplying the Field]])</f>
        <v>Apprenticeship marker</v>
      </c>
      <c r="C69">
        <v>100052</v>
      </c>
      <c r="D69" s="3" t="s">
        <v>86</v>
      </c>
      <c r="E69" s="3" t="s">
        <v>106</v>
      </c>
      <c r="F69" s="3" t="s">
        <v>326</v>
      </c>
      <c r="G69" s="13"/>
      <c r="H69" s="14" t="s">
        <v>331</v>
      </c>
      <c r="J69" s="3">
        <v>3</v>
      </c>
      <c r="K69" s="3">
        <v>3</v>
      </c>
      <c r="L69" s="3">
        <v>0</v>
      </c>
      <c r="M69" s="3">
        <v>0</v>
      </c>
      <c r="N69" s="3" t="s">
        <v>89</v>
      </c>
      <c r="Q69" s="16" t="s">
        <v>332</v>
      </c>
      <c r="R69" s="3" t="s">
        <v>2930</v>
      </c>
      <c r="S69" s="16" t="s">
        <v>332</v>
      </c>
      <c r="T69" s="3" t="s">
        <v>2930</v>
      </c>
      <c r="U69" s="3" t="s">
        <v>93</v>
      </c>
      <c r="V69" s="3" t="s">
        <v>93</v>
      </c>
      <c r="W69" s="57" t="s">
        <v>2218</v>
      </c>
      <c r="X69" t="str">
        <f>DataItems3[[#This Row],[Collection]]&amp;DataItems3[[#This Row],[Field]]&amp;DataItems3[[#This Row],[Options for supplying the Field]]&amp;DataItems3[[#This Row],[Fieldname]]&amp;DataItems3[[#This Row],[Parent]]</f>
        <v>StudentApprenticeship markerF_XAPP01</v>
      </c>
      <c r="Y69" s="15">
        <v>43434</v>
      </c>
      <c r="Z69" t="s">
        <v>95</v>
      </c>
      <c r="AA69" s="28" t="str">
        <f t="shared" si="7"/>
        <v>CASE when s.DW_CollectionYear &gt;= 2019 then CASE WHEN (IIF(s.F_INITIATIVES1 = ' ','UNK',s.F_INITIATIVES1) IN ('K', 'Z') OR IIF(s.F_INITIATIVES2 = ' ','UNK',s.F_INITIATIVES2) IN ('K', 'Z') OR IIF(s.F_INITIATIVES3 = ' ','UNK',s.F_INITIATIVES3) IN ('K', 'Z')) THEN 'Apprenticeship' ELSE 'Not Apprenticeship' END WHEN s.DW_CollectionYear &gt;= 2016 then CASE WHEN s.F_XAPP01 not in ('99') THEN 'Apprenticeship' WHEN  s.f_initiatives1 = 'K' THEN 'Apprenticeship' WHEN s.f_initiatives2 = 'K' THEN 'Apprenticeship' ELSE 'Not Apprenticeship' END ELSE 'Not Applicable' END</v>
      </c>
      <c r="AB69" s="28" t="str">
        <f t="shared" si="6"/>
        <v>CASE when s.DW_CollectionYear &gt;= 2019 then CASE WHEN (IIF(s.F_INITIATIVES1 = ' ','UNK',s.F_INITIATIVES1) IN ('K', 'Z') OR IIF(s.F_INITIATIVES2 = ' ','UNK',s.F_INITIATIVES2) IN ('K', 'Z') OR IIF(s.F_INITIATIVES3 = ' ','UNK',s.F_INITIATIVES3) IN ('K', 'Z')) THEN 'Apprenticeship' ELSE 'Not Apprenticeship' END WHEN s.DW_CollectionYear &gt;= 2016 then CASE WHEN s.F_XAPP01 not in ('99') THEN 'Apprenticeship' WHEN  s.f_initiatives1 = 'K' THEN 'Apprenticeship' WHEN s.f_initiatives2 = 'K' THEN 'Apprenticeship' ELSE 'Not Apprenticeship' END ELSE 'Not Applicable' END</v>
      </c>
      <c r="AC69" s="28" t="str">
        <f t="shared" si="8"/>
        <v>CASE WHEN s.DW_CollectionYear &gt;= 2019 THEN CASE WHEN (IIF(s.F_INITIATIVES1 = ' ', 'UNK', s.F_INITIATIVES1) IN ('K', 'Z') OR IIF(s.F_INITIATIVES2 = ' ', 'UNK', s.F_INITIATIVES2) IN ('K', 'Z')) THEN 'Apprenticeship'   ELSE 'Not Apprenticeship' END WHEN s.DW_CollectionYear &gt;= 2016 THEN CASE  WHEN s.F_INITIATIVES1 = 'K' THEN 'Apprenticeship'  WHEN s.F_INITIATIVES2 = 'K' THEN 'Apprenticeship'  ELSE 'Not Apprenticeship' END ELSE 'Not Applicable' END</v>
      </c>
      <c r="AD69" s="28" t="str">
        <f t="shared" si="9"/>
        <v>CASE WHEN s.DW_CollectionYear &gt;= 2019 THEN CASE WHEN (IIF(s.F_INITIATIVES1 = ' ', 'UNK', s.F_INITIATIVES1) IN ('K', 'Z') OR IIF(s.F_INITIATIVES2 = ' ', 'UNK', s.F_INITIATIVES2) IN ('K', 'Z')) THEN 'Apprenticeship'   ELSE 'Not Apprenticeship' END WHEN s.DW_CollectionYear &gt;= 2016 THEN CASE  WHEN s.F_INITIATIVES1 = 'K' THEN 'Apprenticeship'  WHEN s.F_INITIATIVES2 = 'K' THEN 'Apprenticeship'  ELSE 'Not Apprenticeship' END ELSE 'Not Applicable' END</v>
      </c>
      <c r="AE69" t="str">
        <f t="shared" si="5"/>
        <v>[Apprenticeship marker]</v>
      </c>
    </row>
    <row r="70" spans="1:31" ht="16" x14ac:dyDescent="0.2">
      <c r="A70">
        <v>100795</v>
      </c>
      <c r="B70" s="11" t="str">
        <f>DataItems3[[#This Row],[Field]]&amp;IF(DataItems3[[#This Row],[Options for supplying the Field]]="",""," "&amp;DataItems3[[#This Row],[Options for supplying the Field]])</f>
        <v>Articulation</v>
      </c>
      <c r="C70">
        <v>100795</v>
      </c>
      <c r="D70" s="3" t="s">
        <v>86</v>
      </c>
      <c r="F70" s="3" t="s">
        <v>333</v>
      </c>
      <c r="G70" s="13"/>
      <c r="H70" s="14" t="s">
        <v>334</v>
      </c>
      <c r="J70" s="3">
        <v>1</v>
      </c>
      <c r="K70" s="3">
        <v>3</v>
      </c>
      <c r="L70" s="3">
        <v>0</v>
      </c>
      <c r="M70" s="3">
        <v>0</v>
      </c>
      <c r="N70" s="3" t="s">
        <v>89</v>
      </c>
      <c r="Q70" s="16" t="s">
        <v>335</v>
      </c>
      <c r="S70" s="16" t="s">
        <v>336</v>
      </c>
      <c r="U70" s="3" t="s">
        <v>337</v>
      </c>
      <c r="W70" s="57" t="s">
        <v>109</v>
      </c>
      <c r="X70" t="str">
        <f>DataItems3[[#This Row],[Collection]]&amp;DataItems3[[#This Row],[Field]]&amp;DataItems3[[#This Row],[Options for supplying the Field]]&amp;DataItems3[[#This Row],[Fieldname]]&amp;DataItems3[[#This Row],[Parent]]</f>
        <v>StudentArticulationF_ARTICLN</v>
      </c>
      <c r="Y70" s="4">
        <v>44284</v>
      </c>
      <c r="Z70" t="s">
        <v>135</v>
      </c>
      <c r="AA70" s="28" t="str">
        <f t="shared" si="7"/>
        <v>CASE WHEN s.F_XINSTCOU01 = 'S' THEN CASE WHEN e.F_ARTICLN IN ('',' ') THEN 'n' ELSE ISNULL(e.F_ARTICLN,'n') END ELSE 'n'END</v>
      </c>
      <c r="AB70" s="28" t="str">
        <f t="shared" si="6"/>
        <v>CASE WHEN s.F_XINSTCOU01 = 'S' THEN CASE WHEN e.F_ARTICLN IN ('',' ') THEN 'Unknown' ELSE ISNULL(art.dw_currentlabel,'Unknown') END ELSE 'Unknown' END</v>
      </c>
      <c r="AC70" s="28" t="str">
        <f t="shared" si="8"/>
        <v/>
      </c>
      <c r="AD70" s="28" t="str">
        <f t="shared" si="9"/>
        <v/>
      </c>
      <c r="AE70" t="str">
        <f t="shared" si="5"/>
        <v>[Articulation]</v>
      </c>
    </row>
    <row r="71" spans="1:31" ht="16" x14ac:dyDescent="0.2">
      <c r="A71">
        <v>100851</v>
      </c>
      <c r="B71" s="11" t="str">
        <f>DataItems3[[#This Row],[Field]]&amp;IF(DataItems3[[#This Row],[Options for supplying the Field]]="",""," "&amp;DataItems3[[#This Row],[Options for supplying the Field]])</f>
        <v>British Sign Language user</v>
      </c>
      <c r="C71">
        <v>100851</v>
      </c>
      <c r="D71" s="3" t="s">
        <v>86</v>
      </c>
      <c r="F71" s="3" t="s">
        <v>338</v>
      </c>
      <c r="G71" s="13"/>
      <c r="H71" s="3" t="s">
        <v>339</v>
      </c>
      <c r="J71" s="3">
        <v>3</v>
      </c>
      <c r="K71" s="3">
        <v>2</v>
      </c>
      <c r="L71" s="3">
        <v>2</v>
      </c>
      <c r="M71" s="3">
        <v>8</v>
      </c>
      <c r="Q71" s="16" t="s">
        <v>340</v>
      </c>
      <c r="S71" s="16" t="s">
        <v>340</v>
      </c>
      <c r="T71" s="16"/>
      <c r="U71" s="3" t="s">
        <v>341</v>
      </c>
      <c r="W71" s="57" t="s">
        <v>2908</v>
      </c>
      <c r="X71" t="str">
        <f>DataItems3[[#This Row],[Collection]]&amp;DataItems3[[#This Row],[Field]]&amp;DataItems3[[#This Row],[Options for supplying the Field]]&amp;DataItems3[[#This Row],[Fieldname]]&amp;DataItems3[[#This Row],[Parent]]</f>
        <v>StudentBritish Sign Language userF_BSLUSER</v>
      </c>
      <c r="Y71" s="4">
        <v>44638</v>
      </c>
      <c r="Z71" t="s">
        <v>135</v>
      </c>
      <c r="AA71" s="28" t="str">
        <f t="shared" si="7"/>
        <v>case when s.dw_fromdate &lt; 20200801 then 'Not applicable before 2020/21' else isnull(stu.f_bsluser,'99') end</v>
      </c>
      <c r="AB71" s="28" t="str">
        <f t="shared" si="6"/>
        <v>case when s.dw_fromdate &lt; 20200801 then 'Not applicable before 2020/21' else isnull(stu.f_bsluser,'99') end</v>
      </c>
      <c r="AC71" s="28" t="str">
        <f t="shared" si="8"/>
        <v/>
      </c>
      <c r="AD71" s="28" t="str">
        <f t="shared" si="9"/>
        <v/>
      </c>
      <c r="AE71" t="str">
        <f t="shared" si="5"/>
        <v>[British Sign Language user]</v>
      </c>
    </row>
    <row r="72" spans="1:31" ht="16" x14ac:dyDescent="0.2">
      <c r="A72">
        <v>100804</v>
      </c>
      <c r="B72" s="11" t="str">
        <f>DataItems3[[#This Row],[Field]]&amp;IF(DataItems3[[#This Row],[Options for supplying the Field]]="",""," "&amp;DataItems3[[#This Row],[Options for supplying the Field]])</f>
        <v>BTEC marker</v>
      </c>
      <c r="C72">
        <v>100804</v>
      </c>
      <c r="D72" s="3" t="s">
        <v>86</v>
      </c>
      <c r="F72" s="3" t="s">
        <v>342</v>
      </c>
      <c r="G72" s="13"/>
      <c r="H72" s="20" t="s">
        <v>343</v>
      </c>
      <c r="I72" s="13"/>
      <c r="J72" s="3">
        <v>3</v>
      </c>
      <c r="K72" s="3">
        <v>2</v>
      </c>
      <c r="L72" s="3">
        <v>0</v>
      </c>
      <c r="M72" s="3">
        <v>0</v>
      </c>
      <c r="Q72" s="28" t="s">
        <v>344</v>
      </c>
      <c r="S72" s="16" t="s">
        <v>345</v>
      </c>
      <c r="U72" s="3" t="s">
        <v>92</v>
      </c>
      <c r="W72" s="57" t="s">
        <v>114</v>
      </c>
      <c r="X72" t="str">
        <f>DataItems3[[#This Row],[Collection]]&amp;DataItems3[[#This Row],[Field]]&amp;DataItems3[[#This Row],[Options for supplying the Field]]&amp;DataItems3[[#This Row],[Fieldname]]&amp;DataItems3[[#This Row],[Parent]]</f>
        <v>StudentBTEC markerZBTEC_MARKER</v>
      </c>
      <c r="Y72" s="4">
        <v>44329</v>
      </c>
      <c r="Z72" t="s">
        <v>135</v>
      </c>
      <c r="AA72" s="28" t="str">
        <f t="shared" si="7"/>
        <v>cast(d.f_zbtec_marker as varchar)</v>
      </c>
      <c r="AB72" s="28" t="str">
        <f t="shared" ref="AB72:AB80" si="10">IF(S72="","",IF(IFERROR(SEARCH("select",S72)&gt;0,0),IF(U72="",IF(MID(S72,SEARCH(H72,S72)-4,1)=" ",MID(S72,SEARCH(H72,S72)-2,LEN(O82)+2),MID(S72,SEARCH(H72,S72)-3,LEN(H72)+3)),U72&amp;"."&amp;H72),S72))</f>
        <v>d.ZBTEC_MARKER</v>
      </c>
      <c r="AC72" s="28" t="str">
        <f t="shared" si="8"/>
        <v/>
      </c>
      <c r="AD72" s="28" t="str">
        <f t="shared" ref="AD72:AD80" si="11">IF(T72="","",IF(IFERROR(SEARCH("select",T72)&gt;0,0),IF(U72="",IF(MID(T72,SEARCH(H72,T72)-4,1)=" ",MID(T72,SEARCH(H72,T72)-2,LEN(O82)+2),MID(T72,SEARCH(H72,T72)-3,LEN(H72)+3)),U72&amp;"."&amp;H72),T72))</f>
        <v/>
      </c>
      <c r="AE72" t="str">
        <f t="shared" si="5"/>
        <v>[BTEC marker]</v>
      </c>
    </row>
    <row r="73" spans="1:31" ht="16" x14ac:dyDescent="0.2">
      <c r="A73">
        <v>100638</v>
      </c>
      <c r="B73" s="19" t="str">
        <f>DataItems3[[#This Row],[Field]]&amp;IF(DataItems3[[#This Row],[Options for supplying the Field]]="",""," "&amp;DataItems3[[#This Row],[Options for supplying the Field]])</f>
        <v>Business funded [F_XBUSCOMPFUND]</v>
      </c>
      <c r="C73">
        <v>100638</v>
      </c>
      <c r="D73" s="3" t="s">
        <v>151</v>
      </c>
      <c r="F73" s="3" t="s">
        <v>346</v>
      </c>
      <c r="G73" s="13" t="str">
        <f>"["&amp;H73&amp;"]"</f>
        <v>[F_XBUSCOMPFUND]</v>
      </c>
      <c r="H73" s="3" t="s">
        <v>347</v>
      </c>
      <c r="J73" s="3">
        <v>1</v>
      </c>
      <c r="K73" s="3">
        <v>2</v>
      </c>
      <c r="L73" s="3">
        <v>0</v>
      </c>
      <c r="M73" s="3">
        <v>0</v>
      </c>
      <c r="P73" s="3" t="s">
        <v>348</v>
      </c>
      <c r="Q73" s="16" t="s">
        <v>349</v>
      </c>
      <c r="R73" s="3" t="s">
        <v>93</v>
      </c>
      <c r="S73" s="16" t="s">
        <v>350</v>
      </c>
      <c r="U73" s="3" t="s">
        <v>351</v>
      </c>
      <c r="V73" s="3" t="s">
        <v>93</v>
      </c>
      <c r="W73" s="57" t="s">
        <v>2909</v>
      </c>
      <c r="X73" t="str">
        <f>DataItems3[[#This Row],[Collection]]&amp;DataItems3[[#This Row],[Field]]&amp;DataItems3[[#This Row],[Options for supplying the Field]]&amp;DataItems3[[#This Row],[Fieldname]]&amp;DataItems3[[#This Row],[Parent]]</f>
        <v>Graduate OutcomesBusiness funded[F_XBUSCOMPFUND]F_XBUSCOMPFUNDProvider &gt; Official Stats Derived Field &gt; Business Funded</v>
      </c>
      <c r="Y73" s="15">
        <v>44008</v>
      </c>
      <c r="Z73" t="s">
        <v>159</v>
      </c>
      <c r="AA73" s="28" t="str">
        <f t="shared" si="7"/>
        <v>CASE WHEN ISNULL(g.ZRESPSTATUS, '02')='02' OR ISNULL(g.XACTIVITY, '99')='99' THEN 'Not in GO publication population' else isnull(g.XBUSCOMPFUND,'NA/UNK') end</v>
      </c>
      <c r="AB73" s="28" t="str">
        <f t="shared" si="10"/>
        <v>CASE WHEN ISNULL(g.ZRESPSTATUS, '02')='02' OR ISNULL(g.XACTIVITY, '99')='99' THEN 'Not in GO publication population' else isnull(XBUSCOMPFUND.label,'NA/UNK') end</v>
      </c>
      <c r="AC73" s="28" t="str">
        <f t="shared" si="8"/>
        <v/>
      </c>
      <c r="AD73" s="28" t="str">
        <f t="shared" si="11"/>
        <v/>
      </c>
      <c r="AE73" t="str">
        <f t="shared" si="5"/>
        <v>[Business funded]</v>
      </c>
    </row>
    <row r="74" spans="1:31" ht="32" x14ac:dyDescent="0.2">
      <c r="A74">
        <v>100054</v>
      </c>
      <c r="B74" s="11" t="str">
        <f>DataItems3[[#This Row],[Field]]&amp;IF(DataItems3[[#This Row],[Options for supplying the Field]]="",""," "&amp;DataItems3[[#This Row],[Options for supplying the Field]])</f>
        <v>Business, self-employment or portfolio company funding (Self/family) [BUSCOMPFUND1]</v>
      </c>
      <c r="C74">
        <v>100054</v>
      </c>
      <c r="D74" s="3" t="s">
        <v>151</v>
      </c>
      <c r="F74" s="3" t="s">
        <v>352</v>
      </c>
      <c r="G74" s="13" t="s">
        <v>353</v>
      </c>
      <c r="H74" s="3" t="s">
        <v>354</v>
      </c>
      <c r="J74" s="3">
        <v>2</v>
      </c>
      <c r="K74" s="3">
        <v>1</v>
      </c>
      <c r="L74" s="3">
        <v>0</v>
      </c>
      <c r="M74" s="3">
        <v>0</v>
      </c>
      <c r="P74" s="3" t="s">
        <v>355</v>
      </c>
      <c r="Q74" s="16" t="s">
        <v>2931</v>
      </c>
      <c r="R74" s="3" t="s">
        <v>93</v>
      </c>
      <c r="S74" s="16" t="s">
        <v>2932</v>
      </c>
      <c r="U74" s="3" t="s">
        <v>356</v>
      </c>
      <c r="V74" s="3" t="s">
        <v>93</v>
      </c>
      <c r="W74" s="57" t="s">
        <v>2909</v>
      </c>
      <c r="X74" t="str">
        <f>DataItems3[[#This Row],[Collection]]&amp;DataItems3[[#This Row],[Field]]&amp;DataItems3[[#This Row],[Options for supplying the Field]]&amp;DataItems3[[#This Row],[Fieldname]]&amp;DataItems3[[#This Row],[Parent]]</f>
        <v>Graduate OutcomesBusiness, self-employment or portfolio company funding(Self/family) [BUSCOMPFUND1]BUSCOMPFUND1Provider &gt; Graduate &gt; Self Employment, Running Own Business, Portfolio:</v>
      </c>
      <c r="Y74" s="15">
        <v>43550</v>
      </c>
      <c r="Z74" t="s">
        <v>159</v>
      </c>
      <c r="AA74" s="28" t="str">
        <f t="shared" si="7"/>
        <v>CASE WHEN ISNULL(g.ZRESPSTATUS, '02')='02' OR ISNULL(g.XACTIVITY, '99')='99' THEN 'Not in GO publication population'  WHEN g.dw_fromdate=20200801 THEN 'Not applicable 2020/21 onwards' else IIF(isnull(g.BUSCOMPFUND1,'')='','N/A',g.BUSCOMPFUND1) end</v>
      </c>
      <c r="AB74" s="28" t="str">
        <f t="shared" si="10"/>
        <v>CASE WHEN ISNULL(g.ZRESPSTATUS, '02')='02' OR ISNULL(g.XACTIVITY, '99')='99' THEN 'Not in GO publication population'  WHEN g.dw_fromdate=20200801 THEN 'Not applicable 2020/21 onwards' else IIF(isnull(g.BUSCOMPFUND1,'')='','N/A',BUSCOMPFUND1.label) end</v>
      </c>
      <c r="AC74" s="28" t="str">
        <f t="shared" si="8"/>
        <v/>
      </c>
      <c r="AD74" s="28" t="str">
        <f t="shared" si="11"/>
        <v/>
      </c>
      <c r="AE74" t="s">
        <v>2933</v>
      </c>
    </row>
    <row r="75" spans="1:31" ht="32" x14ac:dyDescent="0.2">
      <c r="A75">
        <v>100055</v>
      </c>
      <c r="B75" s="11" t="str">
        <f>DataItems3[[#This Row],[Field]]&amp;IF(DataItems3[[#This Row],[Options for supplying the Field]]="",""," "&amp;DataItems3[[#This Row],[Options for supplying the Field]])</f>
        <v>Business, self-employment or portfolio company funding (Crowdfunding) [BUSCOMPFUND2]</v>
      </c>
      <c r="C75">
        <v>100055</v>
      </c>
      <c r="D75" s="3" t="s">
        <v>151</v>
      </c>
      <c r="F75" s="3" t="s">
        <v>352</v>
      </c>
      <c r="G75" s="13" t="s">
        <v>357</v>
      </c>
      <c r="H75" s="3" t="s">
        <v>358</v>
      </c>
      <c r="J75" s="3">
        <v>2</v>
      </c>
      <c r="K75" s="3">
        <v>1</v>
      </c>
      <c r="L75" s="3">
        <v>0</v>
      </c>
      <c r="M75" s="3">
        <v>0</v>
      </c>
      <c r="P75" s="3" t="s">
        <v>355</v>
      </c>
      <c r="Q75" s="16" t="s">
        <v>2934</v>
      </c>
      <c r="R75" s="3" t="s">
        <v>93</v>
      </c>
      <c r="S75" s="16" t="s">
        <v>2935</v>
      </c>
      <c r="U75" s="3" t="s">
        <v>359</v>
      </c>
      <c r="V75" s="3" t="s">
        <v>93</v>
      </c>
      <c r="W75" s="57" t="s">
        <v>2909</v>
      </c>
      <c r="X75" t="str">
        <f>DataItems3[[#This Row],[Collection]]&amp;DataItems3[[#This Row],[Field]]&amp;DataItems3[[#This Row],[Options for supplying the Field]]&amp;DataItems3[[#This Row],[Fieldname]]&amp;DataItems3[[#This Row],[Parent]]</f>
        <v>Graduate OutcomesBusiness, self-employment or portfolio company funding(Crowdfunding) [BUSCOMPFUND2]BUSCOMPFUND2Provider &gt; Graduate &gt; Self Employment, Running Own Business, Portfolio:</v>
      </c>
      <c r="Y75" s="15">
        <v>43550</v>
      </c>
      <c r="Z75" t="s">
        <v>159</v>
      </c>
      <c r="AA75" s="28" t="str">
        <f t="shared" si="7"/>
        <v>CASE WHEN ISNULL(g.ZRESPSTATUS, '02')='02' OR ISNULL(g.XACTIVITY, '99')='99' THEN 'Not in GO publication population'  WHEN g.dw_fromdate=20200801 THEN 'Not applicable 2020/21 onwards' else IIF(isnull(g.BUSCOMPFUND2,'')='','N/A',g.BUSCOMPFUND2) end</v>
      </c>
      <c r="AB75" s="28" t="str">
        <f t="shared" si="10"/>
        <v>CASE WHEN ISNULL(g.ZRESPSTATUS, '02')='02' OR ISNULL(g.XACTIVITY, '99')='99' THEN 'Not in GO publication population'  WHEN g.dw_fromdate=20200801 THEN 'Not applicable 2020/21 onwards' else IIF(isnull(g.BUSCOMPFUND2,'')='','N/A',BUSCOMPFUND2.label) end</v>
      </c>
      <c r="AC75" s="28" t="str">
        <f t="shared" si="8"/>
        <v/>
      </c>
      <c r="AD75" s="28" t="str">
        <f t="shared" si="11"/>
        <v/>
      </c>
      <c r="AE75" t="s">
        <v>2936</v>
      </c>
    </row>
    <row r="76" spans="1:31" ht="32" x14ac:dyDescent="0.2">
      <c r="A76">
        <v>100056</v>
      </c>
      <c r="B76" s="11" t="str">
        <f>DataItems3[[#This Row],[Field]]&amp;IF(DataItems3[[#This Row],[Options for supplying the Field]]="",""," "&amp;DataItems3[[#This Row],[Options for supplying the Field]])</f>
        <v>Business, self-employment or portfolio company funding (Loan) [BUSCOMPFUND3]</v>
      </c>
      <c r="C76">
        <v>100056</v>
      </c>
      <c r="D76" s="3" t="s">
        <v>151</v>
      </c>
      <c r="F76" s="3" t="s">
        <v>352</v>
      </c>
      <c r="G76" s="13" t="s">
        <v>360</v>
      </c>
      <c r="H76" s="3" t="s">
        <v>361</v>
      </c>
      <c r="J76" s="3">
        <v>2</v>
      </c>
      <c r="K76" s="3">
        <v>1</v>
      </c>
      <c r="L76" s="3">
        <v>0</v>
      </c>
      <c r="M76" s="3">
        <v>0</v>
      </c>
      <c r="P76" s="3" t="s">
        <v>355</v>
      </c>
      <c r="Q76" s="16" t="s">
        <v>2937</v>
      </c>
      <c r="R76" s="3" t="s">
        <v>93</v>
      </c>
      <c r="S76" s="16" t="s">
        <v>2938</v>
      </c>
      <c r="U76" s="3" t="s">
        <v>362</v>
      </c>
      <c r="V76" s="3" t="s">
        <v>93</v>
      </c>
      <c r="W76" s="57" t="s">
        <v>2909</v>
      </c>
      <c r="X76" t="str">
        <f>DataItems3[[#This Row],[Collection]]&amp;DataItems3[[#This Row],[Field]]&amp;DataItems3[[#This Row],[Options for supplying the Field]]&amp;DataItems3[[#This Row],[Fieldname]]&amp;DataItems3[[#This Row],[Parent]]</f>
        <v>Graduate OutcomesBusiness, self-employment or portfolio company funding(Loan) [BUSCOMPFUND3]BUSCOMPFUND3Provider &gt; Graduate &gt; Self Employment, Running Own Business, Portfolio:</v>
      </c>
      <c r="Y76" s="15">
        <v>43550</v>
      </c>
      <c r="Z76" t="s">
        <v>159</v>
      </c>
      <c r="AA76" s="28" t="str">
        <f t="shared" si="7"/>
        <v>CASE WHEN ISNULL(g.ZRESPSTATUS, '02')='02' OR ISNULL(g.XACTIVITY, '99')='99' THEN 'Not in GO publication population'  WHEN g.dw_fromdate=20200801 THEN 'Not applicable 2020/21 onwards' else IIF(isnull(g.BUSCOMPFUND3,'')='','N/A',g.BUSCOMPFUND3) end</v>
      </c>
      <c r="AB76" s="28" t="str">
        <f t="shared" si="10"/>
        <v>CASE WHEN ISNULL(g.ZRESPSTATUS, '02')='02' OR ISNULL(g.XACTIVITY, '99')='99' THEN 'Not in GO publication population' WHEN g.dw_fromdate=20200801 THEN 'Not applicable 2020/21 onwards' else IIF(isnull(g.BUSCOMPFUND3,'')='','N/A',BUSCOMPFUND3.label) end</v>
      </c>
      <c r="AC76" s="28" t="str">
        <f t="shared" si="8"/>
        <v/>
      </c>
      <c r="AD76" s="28" t="str">
        <f t="shared" si="11"/>
        <v/>
      </c>
      <c r="AE76" t="s">
        <v>2939</v>
      </c>
    </row>
    <row r="77" spans="1:31" ht="32" x14ac:dyDescent="0.2">
      <c r="A77">
        <v>100057</v>
      </c>
      <c r="B77" s="11" t="str">
        <f>DataItems3[[#This Row],[Field]]&amp;IF(DataItems3[[#This Row],[Options for supplying the Field]]="",""," "&amp;DataItems3[[#This Row],[Options for supplying the Field]])</f>
        <v>Business, self-employment or portfolio company funding (Venture Capital) [BUSCOMPFUND4]</v>
      </c>
      <c r="C77">
        <v>100057</v>
      </c>
      <c r="D77" s="3" t="s">
        <v>151</v>
      </c>
      <c r="F77" s="3" t="s">
        <v>352</v>
      </c>
      <c r="G77" s="13" t="s">
        <v>363</v>
      </c>
      <c r="H77" s="3" t="s">
        <v>364</v>
      </c>
      <c r="J77" s="3">
        <v>2</v>
      </c>
      <c r="K77" s="3">
        <v>1</v>
      </c>
      <c r="L77" s="3">
        <v>0</v>
      </c>
      <c r="M77" s="3">
        <v>0</v>
      </c>
      <c r="P77" s="3" t="s">
        <v>355</v>
      </c>
      <c r="Q77" s="16" t="s">
        <v>2940</v>
      </c>
      <c r="R77" s="3" t="s">
        <v>93</v>
      </c>
      <c r="S77" s="16" t="s">
        <v>2941</v>
      </c>
      <c r="U77" s="3" t="s">
        <v>365</v>
      </c>
      <c r="V77" s="3" t="s">
        <v>93</v>
      </c>
      <c r="W77" s="57" t="s">
        <v>2909</v>
      </c>
      <c r="X77" t="str">
        <f>DataItems3[[#This Row],[Collection]]&amp;DataItems3[[#This Row],[Field]]&amp;DataItems3[[#This Row],[Options for supplying the Field]]&amp;DataItems3[[#This Row],[Fieldname]]&amp;DataItems3[[#This Row],[Parent]]</f>
        <v>Graduate OutcomesBusiness, self-employment or portfolio company funding(Venture Capital) [BUSCOMPFUND4]BUSCOMPFUND4Provider &gt; Graduate &gt; Self Employment, Running Own Business, Portfolio:</v>
      </c>
      <c r="Y77" s="15">
        <v>43550</v>
      </c>
      <c r="Z77" t="s">
        <v>159</v>
      </c>
      <c r="AA77" s="28" t="str">
        <f t="shared" si="7"/>
        <v>CASE WHEN ISNULL(g.ZRESPSTATUS, '02')='02' OR ISNULL(g.XACTIVITY, '99')='99' THEN 'Not in GO publication population' WHEN g.dw_fromdate=20200801 THEN 'Not applicable 2020/21 onwards' else IIF(isnull(g.BUSCOMPFUND4,'')='','N/A',g.BUSCOMPFUND4) end</v>
      </c>
      <c r="AB77" s="28" t="str">
        <f t="shared" si="10"/>
        <v>CASE WHEN ISNULL(g.ZRESPSTATUS, '02')='02' OR ISNULL(g.XACTIVITY, '99')='99' THEN 'Not in GO publication population' WHEN g.dw_fromdate=20200801 THEN 'Not applicable 2020/21 onwards' else IIF(isnull(g.BUSCOMPFUND4,'')='','N/A',BUSCOMPFUND4.label) end</v>
      </c>
      <c r="AC77" s="28" t="str">
        <f t="shared" si="8"/>
        <v/>
      </c>
      <c r="AD77" s="28" t="str">
        <f t="shared" si="11"/>
        <v/>
      </c>
      <c r="AE77" t="s">
        <v>2942</v>
      </c>
    </row>
    <row r="78" spans="1:31" ht="48" x14ac:dyDescent="0.2">
      <c r="A78">
        <v>100058</v>
      </c>
      <c r="B78" s="11" t="str">
        <f>DataItems3[[#This Row],[Field]]&amp;IF(DataItems3[[#This Row],[Options for supplying the Field]]="",""," "&amp;DataItems3[[#This Row],[Options for supplying the Field]])</f>
        <v>Business, self-employment or portfolio company funding (University business incubation) [BUSCOMPFUND5]</v>
      </c>
      <c r="C78">
        <v>100058</v>
      </c>
      <c r="D78" s="3" t="s">
        <v>151</v>
      </c>
      <c r="F78" s="3" t="s">
        <v>352</v>
      </c>
      <c r="G78" s="13" t="s">
        <v>366</v>
      </c>
      <c r="H78" s="3" t="s">
        <v>367</v>
      </c>
      <c r="J78" s="3">
        <v>2</v>
      </c>
      <c r="K78" s="3">
        <v>1</v>
      </c>
      <c r="L78" s="3">
        <v>0</v>
      </c>
      <c r="M78" s="3">
        <v>0</v>
      </c>
      <c r="P78" s="3" t="s">
        <v>355</v>
      </c>
      <c r="Q78" s="16" t="s">
        <v>2943</v>
      </c>
      <c r="R78" s="3" t="s">
        <v>93</v>
      </c>
      <c r="S78" s="16" t="s">
        <v>2944</v>
      </c>
      <c r="U78" s="3" t="s">
        <v>368</v>
      </c>
      <c r="V78" s="3" t="s">
        <v>93</v>
      </c>
      <c r="W78" s="57" t="s">
        <v>2909</v>
      </c>
      <c r="X78" t="str">
        <f>DataItems3[[#This Row],[Collection]]&amp;DataItems3[[#This Row],[Field]]&amp;DataItems3[[#This Row],[Options for supplying the Field]]&amp;DataItems3[[#This Row],[Fieldname]]&amp;DataItems3[[#This Row],[Parent]]</f>
        <v>Graduate OutcomesBusiness, self-employment or portfolio company funding(University business incubation) [BUSCOMPFUND5]BUSCOMPFUND5Provider &gt; Graduate &gt; Self Employment, Running Own Business, Portfolio:</v>
      </c>
      <c r="Y78" s="15">
        <v>43550</v>
      </c>
      <c r="Z78" t="s">
        <v>159</v>
      </c>
      <c r="AA78" s="28" t="str">
        <f t="shared" si="7"/>
        <v>CASE WHEN ISNULL(g.ZRESPSTATUS, '02')='02' OR ISNULL(g.XACTIVITY, '99')='99' THEN 'Not in GO publication population' WHEN g.dw_fromdate=20200801 THEN 'Not applicable 2020/21 onwards' else IIF(isnull(g.BUSCOMPFUND5,'')='','N/A',g.BUSCOMPFUND5) end</v>
      </c>
      <c r="AB78" s="28" t="str">
        <f t="shared" si="10"/>
        <v>CASE WHEN ISNULL(g.ZRESPSTATUS, '02')='02' OR ISNULL(g.XACTIVITY, '99')='99' THEN 'Not in GO publication population' WHEN g.dw_fromdate=20200801 THEN 'Not applicable 2020/21 onwards' else IIF(isnull(g.BUSCOMPFUND5,'')='','N/A',BUSCOMPFUND5.label) end</v>
      </c>
      <c r="AC78" s="28" t="str">
        <f t="shared" si="8"/>
        <v/>
      </c>
      <c r="AD78" s="28" t="str">
        <f t="shared" si="11"/>
        <v/>
      </c>
      <c r="AE78" t="s">
        <v>2945</v>
      </c>
    </row>
    <row r="79" spans="1:31" ht="32" x14ac:dyDescent="0.2">
      <c r="A79">
        <v>100059</v>
      </c>
      <c r="B79" s="11" t="str">
        <f>DataItems3[[#This Row],[Field]]&amp;IF(DataItems3[[#This Row],[Options for supplying the Field]]="",""," "&amp;DataItems3[[#This Row],[Options for supplying the Field]])</f>
        <v>Business, self-employment or portfolio company funding (Other) [BUSCOMPFUND6]</v>
      </c>
      <c r="C79">
        <v>100059</v>
      </c>
      <c r="D79" s="3" t="s">
        <v>151</v>
      </c>
      <c r="F79" s="3" t="s">
        <v>352</v>
      </c>
      <c r="G79" s="13" t="s">
        <v>369</v>
      </c>
      <c r="H79" s="3" t="s">
        <v>370</v>
      </c>
      <c r="J79" s="3">
        <v>2</v>
      </c>
      <c r="K79" s="3">
        <v>1</v>
      </c>
      <c r="L79" s="3">
        <v>0</v>
      </c>
      <c r="M79" s="3">
        <v>0</v>
      </c>
      <c r="P79" s="3" t="s">
        <v>355</v>
      </c>
      <c r="Q79" s="16" t="s">
        <v>2946</v>
      </c>
      <c r="R79" s="3" t="s">
        <v>93</v>
      </c>
      <c r="S79" s="16" t="s">
        <v>2947</v>
      </c>
      <c r="U79" s="3" t="s">
        <v>371</v>
      </c>
      <c r="V79" s="3" t="s">
        <v>93</v>
      </c>
      <c r="W79" s="57" t="s">
        <v>2909</v>
      </c>
      <c r="X79" t="str">
        <f>DataItems3[[#This Row],[Collection]]&amp;DataItems3[[#This Row],[Field]]&amp;DataItems3[[#This Row],[Options for supplying the Field]]&amp;DataItems3[[#This Row],[Fieldname]]&amp;DataItems3[[#This Row],[Parent]]</f>
        <v>Graduate OutcomesBusiness, self-employment or portfolio company funding(Other) [BUSCOMPFUND6]BUSCOMPFUND6Provider &gt; Graduate &gt; Self Employment, Running Own Business, Portfolio:</v>
      </c>
      <c r="Y79" s="15">
        <v>43550</v>
      </c>
      <c r="Z79" t="s">
        <v>159</v>
      </c>
      <c r="AA79" s="28" t="str">
        <f t="shared" si="7"/>
        <v>CASE WHEN ISNULL(g.ZRESPSTATUS, '02')='02' OR ISNULL(g.XACTIVITY, '99')='99' THEN 'Not in GO publication population' WHEN g.dw_fromdate=20200801 THEN 'Not applicable 2020/21 onwards' else IIF(isnull(g.BUSCOMPFUND6,'')='','N/A',g.BUSCOMPFUND6) end</v>
      </c>
      <c r="AB79" s="28" t="str">
        <f t="shared" si="10"/>
        <v>CASE WHEN ISNULL(g.ZRESPSTATUS, '02')='02' OR ISNULL(g.XACTIVITY, '99')='99' THEN 'Not in GO publication population' WHEN g.dw_fromdate=20200801 THEN 'Not applicable 2020/21 onwards' else IIF(isnull(g.BUSCOMPFUND6,'')='','N/A',BUSCOMPFUND6.label) end</v>
      </c>
      <c r="AC79" s="28" t="str">
        <f t="shared" si="8"/>
        <v/>
      </c>
      <c r="AD79" s="28" t="str">
        <f t="shared" si="11"/>
        <v/>
      </c>
      <c r="AE79" t="s">
        <v>2948</v>
      </c>
    </row>
    <row r="80" spans="1:31" ht="16" x14ac:dyDescent="0.2">
      <c r="A80">
        <v>100060</v>
      </c>
      <c r="B80" s="11" t="str">
        <f>DataItems3[[#This Row],[Field]]&amp;IF(DataItems3[[#This Row],[Options for supplying the Field]]="",""," "&amp;DataItems3[[#This Row],[Options for supplying the Field]])</f>
        <v>Business, self-employment or portfolio employees [BUSOWNEMP]</v>
      </c>
      <c r="C80">
        <v>100060</v>
      </c>
      <c r="D80" s="3" t="s">
        <v>151</v>
      </c>
      <c r="F80" s="3" t="s">
        <v>372</v>
      </c>
      <c r="G80" s="13" t="s">
        <v>373</v>
      </c>
      <c r="H80" s="3" t="s">
        <v>374</v>
      </c>
      <c r="J80" s="3">
        <v>2</v>
      </c>
      <c r="K80" s="3">
        <v>2</v>
      </c>
      <c r="L80" s="3">
        <v>0</v>
      </c>
      <c r="M80" s="3">
        <v>0</v>
      </c>
      <c r="P80" s="3" t="s">
        <v>355</v>
      </c>
      <c r="Q80" s="16" t="s">
        <v>2949</v>
      </c>
      <c r="R80" s="3" t="s">
        <v>93</v>
      </c>
      <c r="S80" s="16" t="s">
        <v>2950</v>
      </c>
      <c r="U80" s="3" t="s">
        <v>375</v>
      </c>
      <c r="V80" s="3" t="s">
        <v>93</v>
      </c>
      <c r="W80" s="57" t="s">
        <v>2909</v>
      </c>
      <c r="X80" t="str">
        <f>DataItems3[[#This Row],[Collection]]&amp;DataItems3[[#This Row],[Field]]&amp;DataItems3[[#This Row],[Options for supplying the Field]]&amp;DataItems3[[#This Row],[Fieldname]]&amp;DataItems3[[#This Row],[Parent]]</f>
        <v>Graduate OutcomesBusiness, self-employment or portfolio employees[BUSOWNEMP]BUSOWNEMPProvider &gt; Graduate &gt; Self Employment, Running Own Business, Portfolio:</v>
      </c>
      <c r="Y80" s="15">
        <v>43550</v>
      </c>
      <c r="Z80" t="s">
        <v>159</v>
      </c>
      <c r="AA80" s="28" t="str">
        <f t="shared" si="7"/>
        <v>CASE WHEN ISNULL(g.ZRESPSTATUS, '02')='02' OR ISNULL(g.XACTIVITY, '99')='99' THEN 'Not in GO publication population' WHEN g.dw_fromdate=20200801 THEN 'Not applicable 2020/21 onwards' else IIF(isnull(g.BUSOWNEMP,'')='','N/A',g.BUSOWNEMP) end</v>
      </c>
      <c r="AB80" s="28" t="str">
        <f t="shared" si="10"/>
        <v>CASE WHEN ISNULL(g.ZRESPSTATUS, '02')='02' OR ISNULL(g.XACTIVITY, '99')='99' THEN 'Not in GO publication population' WHEN g.dw_fromdate=20200801 THEN 'Not applicable 2020/21 onwards' else IIF(isnull(g.BUSOWNEMP,'')='','N/A',BUSOWNEMP.label) end</v>
      </c>
      <c r="AC80" s="28" t="str">
        <f t="shared" si="8"/>
        <v/>
      </c>
      <c r="AD80" s="28" t="str">
        <f t="shared" si="11"/>
        <v/>
      </c>
      <c r="AE80" t="str">
        <f t="shared" ref="AE80:AE88" si="12">IF(F80="","","["&amp;SUBSTITUTE(SUBSTITUTE(SUBSTITUTE(F80,"[","{"),"]","}"),"⁽"&amp;CHAR(185)&amp;"⁾","")&amp;"]")</f>
        <v>[Business, self-employment or portfolio employees]</v>
      </c>
    </row>
    <row r="81" spans="1:31" ht="32" x14ac:dyDescent="0.2">
      <c r="A81">
        <v>100061</v>
      </c>
      <c r="B81" s="11" t="str">
        <f>DataItems3[[#This Row],[Field]]&amp;IF(DataItems3[[#This Row],[Options for supplying the Field]]="",""," "&amp;DataItems3[[#This Row],[Options for supplying the Field]])</f>
        <v>Business, self-employment or portfolio employer city [BUSEMPCITY] (2019 and prior)</v>
      </c>
      <c r="C81">
        <v>100061</v>
      </c>
      <c r="D81" s="3" t="s">
        <v>151</v>
      </c>
      <c r="F81" s="3" t="s">
        <v>376</v>
      </c>
      <c r="G81" s="13" t="s">
        <v>2951</v>
      </c>
      <c r="H81" s="3" t="s">
        <v>377</v>
      </c>
      <c r="I81" s="3" t="s">
        <v>378</v>
      </c>
      <c r="J81" s="3">
        <v>2</v>
      </c>
      <c r="K81" s="3">
        <v>3</v>
      </c>
      <c r="L81" s="3">
        <v>0</v>
      </c>
      <c r="M81" s="3">
        <v>0</v>
      </c>
      <c r="P81" s="3" t="s">
        <v>355</v>
      </c>
      <c r="Q81" s="16" t="s">
        <v>2952</v>
      </c>
      <c r="R81" s="3" t="s">
        <v>93</v>
      </c>
      <c r="S81" s="16" t="s">
        <v>2953</v>
      </c>
      <c r="V81" s="3" t="s">
        <v>93</v>
      </c>
      <c r="W81" s="57" t="s">
        <v>580</v>
      </c>
      <c r="X81" t="str">
        <f>DataItems3[[#This Row],[Collection]]&amp;DataItems3[[#This Row],[Field]]&amp;DataItems3[[#This Row],[Options for supplying the Field]]&amp;DataItems3[[#This Row],[Fieldname]]&amp;DataItems3[[#This Row],[Parent]]</f>
        <v>Graduate OutcomesBusiness, self-employment or portfolio employer city[BUSEMPCITY] (2019 and prior)BUSEMPCITYProvider &gt; Graduate &gt; Self Employment, Running Own Business, Portfolio:</v>
      </c>
      <c r="Y81" s="15">
        <v>43550</v>
      </c>
      <c r="Z81" t="s">
        <v>159</v>
      </c>
      <c r="AA81" s="28" t="str">
        <f t="shared" si="7"/>
        <v>CASE when g.dw_fromdate &gt;=20200801 then 'N/A 2020/21 onwards' WHEN ISNULL(g.ZRESPSTATUS, '02') = '02' OR ISNULL(g.XACTIVITY, '99') = '99' THEN 'Not in GO publication population' WHEN ISNULL(g.BUSEMPCITY, 'UNK') IN ('UNK', '', ' ','???') THEN 'Unknown/ not applicable' ELSE replace(replace(g.BUSEMPCITY,'"',''),'.','') END</v>
      </c>
      <c r="AB81" s="28" t="str">
        <f t="shared" ref="AB81:AB107" si="13">IF(S81="","",IF(IFERROR(SEARCH("select",S81)&gt;0,0),IF(U81="",IF(MID(S81,SEARCH(H81,S81)-4,1)=" ",MID(S81,SEARCH(H81,S81)-2,LEN(O90)+2),MID(S81,SEARCH(H81,S81)-3,LEN(H81)+3)),U81&amp;"."&amp;H81),S81))</f>
        <v>CASE when g.dw_fromdate &gt;=20200801 then 'N/A 2020/21 onwards'  WHEN ISNULL(g.ZRESPSTATUS, '02') = '02' OR ISNULL(g.XACTIVITY, '99') = '99' THEN 'Not in GO publication population' WHEN ISNULL(g.BUSEMPCITY, 'UNK') IN ('UNK', '', ' ','???') THEN 'Unknown/ not applicable' ELSE replace(replace(g.BUSEMPCITY,'"',''),'.','') END</v>
      </c>
      <c r="AC81" s="28" t="str">
        <f t="shared" si="8"/>
        <v/>
      </c>
      <c r="AD81" s="28" t="str">
        <f t="shared" ref="AD81:AD107" si="14">IF(T81="","",IF(IFERROR(SEARCH("select",T81)&gt;0,0),IF(U81="",IF(MID(T81,SEARCH(H81,T81)-4,1)=" ",MID(T81,SEARCH(H81,T81)-2,LEN(O90)+2),MID(T81,SEARCH(H81,T81)-3,LEN(H81)+3)),U81&amp;"."&amp;H81),T81))</f>
        <v/>
      </c>
      <c r="AE81" t="str">
        <f t="shared" si="12"/>
        <v>[Business, self-employment or portfolio employer city]</v>
      </c>
    </row>
    <row r="82" spans="1:31" ht="32" x14ac:dyDescent="0.2">
      <c r="A82">
        <v>100994</v>
      </c>
      <c r="B82" s="11" t="str">
        <f>DataItems3[[#This Row],[Field]]&amp;IF(DataItems3[[#This Row],[Options for supplying the Field]]="",""," "&amp;DataItems3[[#This Row],[Options for supplying the Field]])</f>
        <v>Business, self-employment or portfolio employer city [BUSEMPCITY] (2020 and onwards)</v>
      </c>
      <c r="C82">
        <v>100994</v>
      </c>
      <c r="D82" s="3" t="s">
        <v>151</v>
      </c>
      <c r="F82" s="3" t="s">
        <v>376</v>
      </c>
      <c r="G82" s="13" t="s">
        <v>2954</v>
      </c>
      <c r="H82" s="3" t="s">
        <v>377</v>
      </c>
      <c r="J82" s="3">
        <v>2</v>
      </c>
      <c r="K82" s="3">
        <v>3</v>
      </c>
      <c r="L82" s="3">
        <v>0</v>
      </c>
      <c r="M82" s="3">
        <v>0</v>
      </c>
      <c r="P82" s="3" t="s">
        <v>355</v>
      </c>
      <c r="Q82" s="16" t="s">
        <v>2955</v>
      </c>
      <c r="S82" s="16" t="s">
        <v>2956</v>
      </c>
      <c r="U82" s="3" t="s">
        <v>2957</v>
      </c>
      <c r="W82" s="57" t="s">
        <v>580</v>
      </c>
      <c r="X82" t="str">
        <f>DataItems3[[#This Row],[Collection]]&amp;DataItems3[[#This Row],[Field]]&amp;DataItems3[[#This Row],[Options for supplying the Field]]&amp;DataItems3[[#This Row],[Fieldname]]&amp;DataItems3[[#This Row],[Parent]]</f>
        <v>Graduate OutcomesBusiness, self-employment or portfolio employer city[BUSEMPCITY] (2020 and onwards)BUSEMPCITYProvider &gt; Graduate &gt; Self Employment, Running Own Business, Portfolio:</v>
      </c>
      <c r="Y82" s="4">
        <v>45057</v>
      </c>
      <c r="Z82" t="s">
        <v>99</v>
      </c>
      <c r="AA82" s="28" t="str">
        <f t="shared" si="7"/>
        <v>CASE when g.dw_fromdate &lt; 20200801 then 'N/A before 2020/21' WHEN ISNULL(g.ZRESPSTATUS, '02') = '02' OR ISNULL(g.XACTIVITY, '99') = '99' THEN 'Not in GO publication population' WHEN ISNULL(g.BUSEMPCITY, 'UNK') IN ('UNK', '', ' ','???') THEN 'Unknown/ not applicable' ELSE replace(replace(g.BUSEMPCITY,'"',''),'.','') END</v>
      </c>
      <c r="AB82" s="28" t="str">
        <f t="shared" si="13"/>
        <v>CASE when g.dw_fromdate &lt; 20200801 then 'N/A before 2020/21' WHEN ISNULL(g.ZRESPSTATUS, '02') = '02' OR ISNULL(g.XACTIVITY, '99') = '99' THEN 'Not in GO publication population' WHEN ISNULL(g.BUSEMPCITY, 'UNK') IN ('UNK', '', ' ','???') THEN 'Unknown/ not applicable' ELSE isnull(BUSEMPCITY.label,g.busempcity) END</v>
      </c>
      <c r="AC82" s="28" t="str">
        <f>IF(T82="","",T82)</f>
        <v/>
      </c>
      <c r="AD82" s="28" t="str">
        <f t="shared" si="14"/>
        <v/>
      </c>
      <c r="AE82" t="str">
        <f t="shared" si="12"/>
        <v>[Business, self-employment or portfolio employer city]</v>
      </c>
    </row>
    <row r="83" spans="1:31" ht="16" x14ac:dyDescent="0.2">
      <c r="A83">
        <v>100062</v>
      </c>
      <c r="B83" s="11" t="str">
        <f>DataItems3[[#This Row],[Field]]&amp;IF(DataItems3[[#This Row],[Options for supplying the Field]]="",""," "&amp;DataItems3[[#This Row],[Options for supplying the Field]])</f>
        <v>Business, self-employment or portfolio employer country [BUSEMPCOUNTRY]</v>
      </c>
      <c r="C83">
        <v>100062</v>
      </c>
      <c r="D83" s="3" t="s">
        <v>151</v>
      </c>
      <c r="F83" s="3" t="s">
        <v>379</v>
      </c>
      <c r="G83" s="13" t="s">
        <v>380</v>
      </c>
      <c r="H83" s="3" t="s">
        <v>381</v>
      </c>
      <c r="J83" s="3">
        <v>2</v>
      </c>
      <c r="K83" s="3">
        <v>3</v>
      </c>
      <c r="L83" s="3">
        <v>0</v>
      </c>
      <c r="M83" s="3">
        <v>0</v>
      </c>
      <c r="P83" s="3" t="s">
        <v>355</v>
      </c>
      <c r="Q83" s="16" t="s">
        <v>382</v>
      </c>
      <c r="R83" s="3" t="s">
        <v>93</v>
      </c>
      <c r="S83" s="16" t="s">
        <v>383</v>
      </c>
      <c r="U83" s="3" t="s">
        <v>384</v>
      </c>
      <c r="V83" s="3" t="s">
        <v>93</v>
      </c>
      <c r="W83" s="57" t="s">
        <v>2909</v>
      </c>
      <c r="X83" t="str">
        <f>DataItems3[[#This Row],[Collection]]&amp;DataItems3[[#This Row],[Field]]&amp;DataItems3[[#This Row],[Options for supplying the Field]]&amp;DataItems3[[#This Row],[Fieldname]]&amp;DataItems3[[#This Row],[Parent]]</f>
        <v>Graduate OutcomesBusiness, self-employment or portfolio employer country[BUSEMPCOUNTRY]BUSEMPCOUNTRYProvider &gt; Graduate &gt; Self Employment, Running Own Business, Portfolio:</v>
      </c>
      <c r="Y83" s="15">
        <v>43550</v>
      </c>
      <c r="Z83" t="s">
        <v>159</v>
      </c>
      <c r="AA83" s="28" t="str">
        <f t="shared" si="7"/>
        <v>CASE WHEN ISNULL(g.ZRESPSTATUS, '02')='02' OR ISNULL(g.XACTIVITY, '99')='99' THEN 'Not in GO publication population' else IIF(g.BUSEMPCOUNTRY='' OR g.BUSEMPCOUNTRY IS NULL,'N/A',g.BUSEMPCOUNTRY) end</v>
      </c>
      <c r="AB83" s="28" t="str">
        <f t="shared" si="13"/>
        <v>CASE WHEN ISNULL(g.ZRESPSTATUS, '02')='02' OR ISNULL(g.XACTIVITY, '99')='99' THEN 'Not in GO publication population' else IIF(g.BUSEMPCOUNTRY='' OR g.BUSEMPCOUNTRY IS NULL,'N/A',BUSEMPCOUNTRY.label) end</v>
      </c>
      <c r="AC83" s="28" t="str">
        <f t="shared" ref="AC83:AC107" si="15">IF(R83="","",R83)</f>
        <v/>
      </c>
      <c r="AD83" s="28" t="str">
        <f t="shared" si="14"/>
        <v/>
      </c>
      <c r="AE83" t="str">
        <f t="shared" si="12"/>
        <v>[Business, self-employment or portfolio employer country]</v>
      </c>
    </row>
    <row r="84" spans="1:31" ht="16" x14ac:dyDescent="0.2">
      <c r="A84">
        <v>100065</v>
      </c>
      <c r="B84" s="11" t="str">
        <f>DataItems3[[#This Row],[Field]]&amp;IF(DataItems3[[#This Row],[Options for supplying the Field]]="",""," "&amp;DataItems3[[#This Row],[Options for supplying the Field]])</f>
        <v>Business, self-employment or portfolio employer location [BUSEMPPLOC]</v>
      </c>
      <c r="C84">
        <v>100065</v>
      </c>
      <c r="D84" s="3" t="s">
        <v>151</v>
      </c>
      <c r="F84" s="3" t="s">
        <v>385</v>
      </c>
      <c r="G84" s="13" t="s">
        <v>386</v>
      </c>
      <c r="H84" s="3" t="s">
        <v>387</v>
      </c>
      <c r="J84" s="3">
        <v>2</v>
      </c>
      <c r="K84" s="3">
        <v>2</v>
      </c>
      <c r="L84" s="3">
        <v>0</v>
      </c>
      <c r="M84" s="3">
        <v>0</v>
      </c>
      <c r="P84" s="3" t="s">
        <v>355</v>
      </c>
      <c r="Q84" s="16" t="s">
        <v>388</v>
      </c>
      <c r="R84" s="3" t="s">
        <v>93</v>
      </c>
      <c r="S84" s="16" t="s">
        <v>389</v>
      </c>
      <c r="U84" s="3" t="s">
        <v>390</v>
      </c>
      <c r="V84" s="3" t="s">
        <v>93</v>
      </c>
      <c r="W84" s="57" t="s">
        <v>2909</v>
      </c>
      <c r="X84" t="str">
        <f>DataItems3[[#This Row],[Collection]]&amp;DataItems3[[#This Row],[Field]]&amp;DataItems3[[#This Row],[Options for supplying the Field]]&amp;DataItems3[[#This Row],[Fieldname]]&amp;DataItems3[[#This Row],[Parent]]</f>
        <v>Graduate OutcomesBusiness, self-employment or portfolio employer location[BUSEMPPLOC]BUSEMPPLOCProvider &gt; Graduate &gt; Self Employment, Running Own Business, Portfolio:</v>
      </c>
      <c r="Y84" s="15">
        <v>43550</v>
      </c>
      <c r="Z84" t="s">
        <v>159</v>
      </c>
      <c r="AA84" s="28" t="str">
        <f t="shared" si="7"/>
        <v>CASE WHEN ISNULL(g.ZRESPSTATUS, '02')='02' OR ISNULL(g.XACTIVITY, '99')='99' THEN 'Not in GO publication population' else IIF(isnull(g.BUSEMPPLOC,'')='','N/A',g.BUSEMPPLOC) end</v>
      </c>
      <c r="AB84" s="28" t="str">
        <f t="shared" si="13"/>
        <v>CASE WHEN ISNULL(g.ZRESPSTATUS, '02')='02' OR ISNULL(g.XACTIVITY, '99')='99' THEN 'Not in GO publication population' else IIF(isnull(g.BUSEMPPLOC,'')='','N/A',BUSEMPPLOC.label) end</v>
      </c>
      <c r="AC84" s="28" t="str">
        <f t="shared" si="15"/>
        <v/>
      </c>
      <c r="AD84" s="28" t="str">
        <f t="shared" si="14"/>
        <v/>
      </c>
      <c r="AE84" t="str">
        <f t="shared" si="12"/>
        <v>[Business, self-employment or portfolio employer location]</v>
      </c>
    </row>
    <row r="85" spans="1:31" ht="16" x14ac:dyDescent="0.2">
      <c r="A85">
        <v>100067</v>
      </c>
      <c r="B85" s="11" t="str">
        <f>DataItems3[[#This Row],[Field]]&amp;IF(DataItems3[[#This Row],[Options for supplying the Field]]="",""," "&amp;DataItems3[[#This Row],[Options for supplying the Field]])</f>
        <v>Business, self-employment or portfolio employer postcode [BUSEMPPCODE]</v>
      </c>
      <c r="C85">
        <v>100067</v>
      </c>
      <c r="D85" s="3" t="s">
        <v>151</v>
      </c>
      <c r="F85" s="3" t="s">
        <v>391</v>
      </c>
      <c r="G85" s="13" t="s">
        <v>392</v>
      </c>
      <c r="H85" s="3" t="s">
        <v>393</v>
      </c>
      <c r="I85" s="3" t="s">
        <v>378</v>
      </c>
      <c r="J85" s="3">
        <v>2</v>
      </c>
      <c r="K85" s="3">
        <v>4</v>
      </c>
      <c r="L85" s="3">
        <v>4</v>
      </c>
      <c r="M85" s="3">
        <v>0</v>
      </c>
      <c r="P85" s="3" t="s">
        <v>355</v>
      </c>
      <c r="Q85" s="16" t="s">
        <v>394</v>
      </c>
      <c r="R85" s="3" t="s">
        <v>93</v>
      </c>
      <c r="S85" s="16" t="s">
        <v>394</v>
      </c>
      <c r="U85" s="3" t="s">
        <v>93</v>
      </c>
      <c r="V85" s="3" t="s">
        <v>93</v>
      </c>
      <c r="W85" s="57" t="s">
        <v>2958</v>
      </c>
      <c r="X85" t="str">
        <f>DataItems3[[#This Row],[Collection]]&amp;DataItems3[[#This Row],[Field]]&amp;DataItems3[[#This Row],[Options for supplying the Field]]&amp;DataItems3[[#This Row],[Fieldname]]&amp;DataItems3[[#This Row],[Parent]]</f>
        <v>Graduate OutcomesBusiness, self-employment or portfolio employer postcode[BUSEMPPCODE]BUSEMPPCODEProvider &gt; Graduate &gt; Self Employment, Running Own Business, Portfolio:</v>
      </c>
      <c r="Y85" s="15">
        <v>43550</v>
      </c>
      <c r="Z85" t="s">
        <v>159</v>
      </c>
      <c r="AA85" s="28" t="str">
        <f t="shared" si="7"/>
        <v>CASE WHEN ISNULL(g.ZRESPSTATUS, '02') = '02' OR ISNULL(g.XACTIVITY, '99') = '99' THEN 'Not in GO publication population' WHEN ISNULL(g.BUSEMPPCODE,'99999999') IN ('99999999', '', ' ', '.', '8') THEN '99999999' ELSE UPPER(g.BUSEMPPCODE) END</v>
      </c>
      <c r="AB85" s="28" t="str">
        <f t="shared" si="13"/>
        <v>CASE WHEN ISNULL(g.ZRESPSTATUS, '02') = '02' OR ISNULL(g.XACTIVITY, '99') = '99' THEN 'Not in GO publication population' WHEN ISNULL(g.BUSEMPPCODE,'99999999') IN ('99999999', '', ' ', '.', '8') THEN '99999999' ELSE UPPER(g.BUSEMPPCODE) END</v>
      </c>
      <c r="AC85" s="28" t="str">
        <f t="shared" si="15"/>
        <v/>
      </c>
      <c r="AD85" s="28" t="str">
        <f t="shared" si="14"/>
        <v/>
      </c>
      <c r="AE85" t="str">
        <f t="shared" si="12"/>
        <v>[Business, self-employment or portfolio employer postcode]</v>
      </c>
    </row>
    <row r="86" spans="1:31" ht="32" x14ac:dyDescent="0.2">
      <c r="A86">
        <v>100068</v>
      </c>
      <c r="B86" s="11" t="str">
        <f>DataItems3[[#This Row],[Field]]&amp;IF(DataItems3[[#This Row],[Options for supplying the Field]]="",""," "&amp;DataItems3[[#This Row],[Options for supplying the Field]])</f>
        <v>Business, self-employment or portfolio employer postcode unknown [BUSEMPPCODE_UNKNOWN]</v>
      </c>
      <c r="C86">
        <v>100068</v>
      </c>
      <c r="D86" s="3" t="s">
        <v>151</v>
      </c>
      <c r="F86" s="3" t="s">
        <v>395</v>
      </c>
      <c r="G86" s="13" t="s">
        <v>396</v>
      </c>
      <c r="H86" s="3" t="s">
        <v>397</v>
      </c>
      <c r="J86" s="3">
        <v>2</v>
      </c>
      <c r="K86" s="3">
        <v>1</v>
      </c>
      <c r="L86" s="3">
        <v>0</v>
      </c>
      <c r="M86" s="3">
        <v>0</v>
      </c>
      <c r="P86" s="3" t="s">
        <v>355</v>
      </c>
      <c r="Q86" s="16" t="s">
        <v>398</v>
      </c>
      <c r="R86" s="3" t="s">
        <v>93</v>
      </c>
      <c r="S86" s="16" t="s">
        <v>399</v>
      </c>
      <c r="U86" s="3" t="s">
        <v>400</v>
      </c>
      <c r="V86" s="3" t="s">
        <v>93</v>
      </c>
      <c r="W86" s="57" t="s">
        <v>2909</v>
      </c>
      <c r="X86" t="str">
        <f>DataItems3[[#This Row],[Collection]]&amp;DataItems3[[#This Row],[Field]]&amp;DataItems3[[#This Row],[Options for supplying the Field]]&amp;DataItems3[[#This Row],[Fieldname]]&amp;DataItems3[[#This Row],[Parent]]</f>
        <v>Graduate OutcomesBusiness, self-employment or portfolio employer postcode unknown[BUSEMPPCODE_UNKNOWN]BUSEMPPCODE_UNKNOWNProvider &gt; Graduate &gt; Self Employment, Running Own Business, Portfolio:</v>
      </c>
      <c r="Y86" s="15">
        <v>43550</v>
      </c>
      <c r="Z86" t="s">
        <v>159</v>
      </c>
      <c r="AA86" s="28" t="str">
        <f t="shared" si="7"/>
        <v>CASE WHEN ISNULL(g.ZRESPSTATUS, '02')='02' OR ISNULL(g.XACTIVITY, '99')='99' THEN 'Not in GO publication population' else IIF(isnull(g.BUSEMPPCODE_UNKNOWN,'')='','N/A',g.BUSEMPPCODE_UNKNOWN) end</v>
      </c>
      <c r="AB86" s="28" t="str">
        <f t="shared" si="13"/>
        <v>CASE WHEN ISNULL(g.ZRESPSTATUS, '02')='02' OR ISNULL(g.XACTIVITY, '99')='99' THEN 'Not in GO publication population' else IIF(isnull(g.BUSEMPPCODE_UNKNOWN,'')='','N/A',BUSEMPPCODE.label) end</v>
      </c>
      <c r="AC86" s="28" t="str">
        <f t="shared" si="15"/>
        <v/>
      </c>
      <c r="AD86" s="28" t="str">
        <f t="shared" si="14"/>
        <v/>
      </c>
      <c r="AE86" t="str">
        <f t="shared" si="12"/>
        <v>[Business, self-employment or portfolio employer postcode unknown]</v>
      </c>
    </row>
    <row r="87" spans="1:31" ht="16" x14ac:dyDescent="0.2">
      <c r="A87">
        <v>100069</v>
      </c>
      <c r="B87" s="11" t="str">
        <f>DataItems3[[#This Row],[Field]]&amp;IF(DataItems3[[#This Row],[Options for supplying the Field]]="",""," "&amp;DataItems3[[#This Row],[Options for supplying the Field]])</f>
        <v>Business, self-employment or portfolio intensity [BUSEMPINTENSITY]</v>
      </c>
      <c r="C87">
        <v>100069</v>
      </c>
      <c r="D87" s="3" t="s">
        <v>151</v>
      </c>
      <c r="F87" s="3" t="s">
        <v>401</v>
      </c>
      <c r="G87" s="13" t="s">
        <v>402</v>
      </c>
      <c r="H87" s="3" t="s">
        <v>403</v>
      </c>
      <c r="J87" s="3">
        <v>2</v>
      </c>
      <c r="K87" s="3">
        <v>2</v>
      </c>
      <c r="L87" s="3">
        <v>0</v>
      </c>
      <c r="M87" s="3">
        <v>0</v>
      </c>
      <c r="P87" s="3" t="s">
        <v>355</v>
      </c>
      <c r="Q87" s="16" t="s">
        <v>404</v>
      </c>
      <c r="R87" s="3" t="s">
        <v>93</v>
      </c>
      <c r="S87" s="16" t="s">
        <v>405</v>
      </c>
      <c r="U87" s="3" t="s">
        <v>406</v>
      </c>
      <c r="V87" s="3" t="s">
        <v>93</v>
      </c>
      <c r="W87" s="57" t="s">
        <v>2909</v>
      </c>
      <c r="X87" t="str">
        <f>DataItems3[[#This Row],[Collection]]&amp;DataItems3[[#This Row],[Field]]&amp;DataItems3[[#This Row],[Options for supplying the Field]]&amp;DataItems3[[#This Row],[Fieldname]]&amp;DataItems3[[#This Row],[Parent]]</f>
        <v>Graduate OutcomesBusiness, self-employment or portfolio intensity[BUSEMPINTENSITY]BUSEMPINTENSITYProvider &gt; Graduate &gt; Self Employment, Running Own Business, Portfolio:</v>
      </c>
      <c r="Y87" s="15">
        <v>43550</v>
      </c>
      <c r="Z87" t="s">
        <v>159</v>
      </c>
      <c r="AA87" s="28" t="str">
        <f t="shared" si="7"/>
        <v>CASE WHEN ISNULL(g.ZRESPSTATUS, '02')='02' OR ISNULL(g.XACTIVITY, '99')='99' THEN 'Not in GO publication population' else IIF(isnull(g.BUSEMPINTENSITY,'')  IN ('','03'),'N/A',g.BUSEMPINTENSITY) end</v>
      </c>
      <c r="AB87" s="28" t="str">
        <f t="shared" si="13"/>
        <v>CASE WHEN ISNULL(g.ZRESPSTATUS, '02')='02' OR ISNULL(g.XACTIVITY, '99')='99' THEN 'Not in GO publication population' else IIF(isnull(g.BUSEMPINTENSITY,'')  IN ('','03'),'N/A',BUSEMPINTENSITY.label) end</v>
      </c>
      <c r="AC87" s="28" t="str">
        <f t="shared" si="15"/>
        <v/>
      </c>
      <c r="AD87" s="28" t="str">
        <f t="shared" si="14"/>
        <v/>
      </c>
      <c r="AE87" t="str">
        <f t="shared" si="12"/>
        <v>[Business, self-employment or portfolio intensity]</v>
      </c>
    </row>
    <row r="88" spans="1:31" ht="32" x14ac:dyDescent="0.2">
      <c r="A88">
        <v>100072</v>
      </c>
      <c r="B88" s="11" t="str">
        <f>DataItems3[[#This Row],[Field]]&amp;IF(DataItems3[[#This Row],[Options for supplying the Field]]="",""," "&amp;DataItems3[[#This Row],[Options for supplying the Field]])</f>
        <v>Business, self-employment or portfolio main reason for taking the job [BUSJOBRSNMAIN]</v>
      </c>
      <c r="C88">
        <v>100072</v>
      </c>
      <c r="D88" s="3" t="s">
        <v>151</v>
      </c>
      <c r="F88" s="3" t="s">
        <v>407</v>
      </c>
      <c r="G88" s="13" t="s">
        <v>408</v>
      </c>
      <c r="H88" s="3" t="s">
        <v>409</v>
      </c>
      <c r="J88" s="3">
        <v>2</v>
      </c>
      <c r="K88" s="3">
        <v>2</v>
      </c>
      <c r="L88" s="3">
        <v>0</v>
      </c>
      <c r="M88" s="3">
        <v>0</v>
      </c>
      <c r="P88" s="3" t="s">
        <v>355</v>
      </c>
      <c r="Q88" s="16" t="s">
        <v>410</v>
      </c>
      <c r="R88" s="3" t="s">
        <v>93</v>
      </c>
      <c r="S88" s="16" t="s">
        <v>411</v>
      </c>
      <c r="U88" s="3" t="s">
        <v>409</v>
      </c>
      <c r="V88" s="3" t="s">
        <v>93</v>
      </c>
      <c r="W88" s="57" t="s">
        <v>2909</v>
      </c>
      <c r="X88" t="str">
        <f>DataItems3[[#This Row],[Collection]]&amp;DataItems3[[#This Row],[Field]]&amp;DataItems3[[#This Row],[Options for supplying the Field]]&amp;DataItems3[[#This Row],[Fieldname]]&amp;DataItems3[[#This Row],[Parent]]</f>
        <v>Graduate OutcomesBusiness, self-employment or portfolio main reason for taking the job[BUSJOBRSNMAIN]BUSJOBRSNMAINProvider &gt; Graduate &gt; Self Employment, Running Own Business, Portfolio:</v>
      </c>
      <c r="Y88" s="15">
        <v>43550</v>
      </c>
      <c r="Z88" t="s">
        <v>159</v>
      </c>
      <c r="AA88" s="28" t="str">
        <f t="shared" si="7"/>
        <v>CASE WHEN ISNULL(g.ZRESPSTATUS, '02')='02' OR ISNULL(g.XACTIVITY, '99')='99' THEN 'Not in GO publication population' else IIF(isnull(g.BUSJOBRSNMAIN,'')='','N/A',g.BUSJOBRSNMAIN) end</v>
      </c>
      <c r="AB88" s="28" t="str">
        <f t="shared" si="13"/>
        <v>CASE WHEN ISNULL(g.ZRESPSTATUS, '02')='02' OR ISNULL(g.XACTIVITY, '99')='99' THEN 'Not in GO publication population' else IIF(isnull(g.BUSJOBRSNMAIN,'')='','N/A',BUSJOBRSNMAIN.label) end</v>
      </c>
      <c r="AC88" s="28" t="str">
        <f t="shared" si="15"/>
        <v/>
      </c>
      <c r="AD88" s="28" t="str">
        <f t="shared" si="14"/>
        <v/>
      </c>
      <c r="AE88" t="str">
        <f t="shared" si="12"/>
        <v>[Business, self-employment or portfolio main reason for taking the job]</v>
      </c>
    </row>
    <row r="89" spans="1:31" ht="64" x14ac:dyDescent="0.2">
      <c r="A89">
        <v>100073</v>
      </c>
      <c r="B89" s="11" t="str">
        <f>DataItems3[[#This Row],[Field]]&amp;IF(DataItems3[[#This Row],[Options for supplying the Field]]="",""," "&amp;DataItems3[[#This Row],[Options for supplying the Field]])</f>
        <v>Business, self-employment or portfolio reason for taking the job (It fitted into my career plan/it was exactly the type of work I wanted) [BUSJOBRSNALL1]</v>
      </c>
      <c r="C89">
        <v>100073</v>
      </c>
      <c r="D89" s="3" t="s">
        <v>151</v>
      </c>
      <c r="F89" s="3" t="s">
        <v>412</v>
      </c>
      <c r="G89" s="13" t="s">
        <v>413</v>
      </c>
      <c r="H89" s="3" t="s">
        <v>414</v>
      </c>
      <c r="J89" s="3">
        <v>2</v>
      </c>
      <c r="K89" s="3">
        <v>1</v>
      </c>
      <c r="L89" s="3">
        <v>0</v>
      </c>
      <c r="M89" s="3">
        <v>0</v>
      </c>
      <c r="P89" s="3" t="s">
        <v>355</v>
      </c>
      <c r="Q89" s="16" t="s">
        <v>2959</v>
      </c>
      <c r="R89" s="3" t="s">
        <v>93</v>
      </c>
      <c r="S89" s="16" t="s">
        <v>2960</v>
      </c>
      <c r="U89" s="3" t="s">
        <v>414</v>
      </c>
      <c r="V89" s="3" t="s">
        <v>93</v>
      </c>
      <c r="W89" s="57" t="s">
        <v>2909</v>
      </c>
      <c r="X89" t="str">
        <f>DataItems3[[#This Row],[Collection]]&amp;DataItems3[[#This Row],[Field]]&amp;DataItems3[[#This Row],[Options for supplying the Field]]&amp;DataItems3[[#This Row],[Fieldname]]&amp;DataItems3[[#This Row],[Parent]]</f>
        <v>Graduate OutcomesBusiness, self-employment or portfolio reason for taking the job(It fitted into my career plan/it was exactly the type of work I wanted) [BUSJOBRSNALL1]BUSJOBRSNALL1Provider &gt; Graduate &gt; Self Employment, Running Own Business, Portfolio:</v>
      </c>
      <c r="Y89" s="15">
        <v>43550</v>
      </c>
      <c r="Z89" t="s">
        <v>159</v>
      </c>
      <c r="AA89" s="28" t="str">
        <f t="shared" si="7"/>
        <v>CASE WHEN g.dw_fromdate &gt;= 20200801 then 'N/A after 2020/21' when ISNULL(g.ZRESPSTATUS, '02')='02' OR ISNULL(g.XACTIVITY, '99')='99' THEN 'Not in GO publication population' else IIF(isnull(g.BUSJOBRSNALL1,'')='','N/A',g.BUSJOBRSNALL1) end</v>
      </c>
      <c r="AB89" s="28" t="str">
        <f t="shared" si="13"/>
        <v>CASE WHEN g.dw_fromdate &gt;= 20200801 then 'N/A after 2020/21' WHEN ISNULL(g.ZRESPSTATUS, '02')='02' OR ISNULL(g.XACTIVITY, '99')='99' THEN 'Not in GO publication population' else IIF(isnull(g.BUSJOBRSNALL1,'')='','N/A',BUSJOBRSNALL1.label) end</v>
      </c>
      <c r="AC89" s="28" t="str">
        <f t="shared" si="15"/>
        <v/>
      </c>
      <c r="AD89" s="28" t="str">
        <f t="shared" si="14"/>
        <v/>
      </c>
      <c r="AE89" t="s">
        <v>2961</v>
      </c>
    </row>
    <row r="90" spans="1:31" ht="48" x14ac:dyDescent="0.2">
      <c r="A90">
        <v>100074</v>
      </c>
      <c r="B90" s="11" t="str">
        <f>DataItems3[[#This Row],[Field]]&amp;IF(DataItems3[[#This Row],[Options for supplying the Field]]="",""," "&amp;DataItems3[[#This Row],[Options for supplying the Field]])</f>
        <v>Business, self-employment or portfolio reason for taking the job (To work in my family business) [BUSJOBRSNALL10]</v>
      </c>
      <c r="C90">
        <v>100074</v>
      </c>
      <c r="D90" s="3" t="s">
        <v>151</v>
      </c>
      <c r="F90" s="3" t="s">
        <v>412</v>
      </c>
      <c r="G90" s="13" t="s">
        <v>415</v>
      </c>
      <c r="H90" s="3" t="s">
        <v>416</v>
      </c>
      <c r="J90" s="3">
        <v>2</v>
      </c>
      <c r="K90" s="3">
        <v>1</v>
      </c>
      <c r="L90" s="3">
        <v>0</v>
      </c>
      <c r="M90" s="3">
        <v>0</v>
      </c>
      <c r="P90" s="3" t="s">
        <v>355</v>
      </c>
      <c r="Q90" s="16" t="s">
        <v>2962</v>
      </c>
      <c r="R90" s="3" t="s">
        <v>93</v>
      </c>
      <c r="S90" s="16" t="s">
        <v>2963</v>
      </c>
      <c r="U90" s="3" t="s">
        <v>416</v>
      </c>
      <c r="V90" s="3" t="s">
        <v>93</v>
      </c>
      <c r="W90" s="57" t="s">
        <v>2909</v>
      </c>
      <c r="X90" t="str">
        <f>DataItems3[[#This Row],[Collection]]&amp;DataItems3[[#This Row],[Field]]&amp;DataItems3[[#This Row],[Options for supplying the Field]]&amp;DataItems3[[#This Row],[Fieldname]]&amp;DataItems3[[#This Row],[Parent]]</f>
        <v>Graduate OutcomesBusiness, self-employment or portfolio reason for taking the job(To work in my family business) [BUSJOBRSNALL10]BUSJOBRSNALL10Provider &gt; Graduate &gt; Self Employment, Running Own Business, Portfolio:</v>
      </c>
      <c r="Y90" s="15">
        <v>43550</v>
      </c>
      <c r="Z90" t="s">
        <v>159</v>
      </c>
      <c r="AA90" s="28" t="str">
        <f t="shared" si="7"/>
        <v>CASE WHEN g.dw_fromdate &gt;= 20200801 then 'N/A after 2020/21' WHEN ISNULL(g.ZRESPSTATUS, '02')='02' OR ISNULL(g.XACTIVITY, '99')='99' THEN 'Not in GO publication population' else IIF(isnull(g.BUSJOBRSNALL10,'')='','N/A',g.BUSJOBRSNALL10) end</v>
      </c>
      <c r="AB90" s="28" t="str">
        <f t="shared" si="13"/>
        <v>CASE WHEN g.dw_fromdate &gt;= 20200801 then 'N/A after 2020/21' WHEN ISNULL(g.ZRESPSTATUS, '02')='02' OR ISNULL(g.XACTIVITY, '99')='99' THEN 'Not in GO publication population' else IIF(isnull(g.BUSJOBRSNALL10,'')='','N/A',BUSJOBRSNALL10.label) end</v>
      </c>
      <c r="AC90" s="28" t="str">
        <f t="shared" si="15"/>
        <v/>
      </c>
      <c r="AD90" s="28" t="str">
        <f t="shared" si="14"/>
        <v/>
      </c>
      <c r="AE90" t="s">
        <v>2964</v>
      </c>
    </row>
    <row r="91" spans="1:31" ht="48" x14ac:dyDescent="0.2">
      <c r="A91">
        <v>100075</v>
      </c>
      <c r="B91" s="11" t="str">
        <f>DataItems3[[#This Row],[Field]]&amp;IF(DataItems3[[#This Row],[Options for supplying the Field]]="",""," "&amp;DataItems3[[#This Row],[Options for supplying the Field]])</f>
        <v>Business, self-employment or portfolio reason for taking the job (It was the best job offer I received) [BUSJOBRSNALL2]</v>
      </c>
      <c r="C91">
        <v>100075</v>
      </c>
      <c r="D91" s="3" t="s">
        <v>151</v>
      </c>
      <c r="F91" s="3" t="s">
        <v>412</v>
      </c>
      <c r="G91" s="13" t="s">
        <v>417</v>
      </c>
      <c r="H91" s="3" t="s">
        <v>418</v>
      </c>
      <c r="J91" s="3">
        <v>2</v>
      </c>
      <c r="K91" s="3">
        <v>1</v>
      </c>
      <c r="L91" s="3">
        <v>0</v>
      </c>
      <c r="M91" s="3">
        <v>0</v>
      </c>
      <c r="P91" s="3" t="s">
        <v>355</v>
      </c>
      <c r="Q91" s="16" t="s">
        <v>2965</v>
      </c>
      <c r="R91" s="3" t="s">
        <v>93</v>
      </c>
      <c r="S91" s="16" t="s">
        <v>2966</v>
      </c>
      <c r="U91" s="3" t="s">
        <v>418</v>
      </c>
      <c r="V91" s="3" t="s">
        <v>93</v>
      </c>
      <c r="W91" s="57" t="s">
        <v>2909</v>
      </c>
      <c r="X91" t="str">
        <f>DataItems3[[#This Row],[Collection]]&amp;DataItems3[[#This Row],[Field]]&amp;DataItems3[[#This Row],[Options for supplying the Field]]&amp;DataItems3[[#This Row],[Fieldname]]&amp;DataItems3[[#This Row],[Parent]]</f>
        <v>Graduate OutcomesBusiness, self-employment or portfolio reason for taking the job(It was the best job offer I received) [BUSJOBRSNALL2]BUSJOBRSNALL2Provider &gt; Graduate &gt; Self Employment, Running Own Business, Portfolio:</v>
      </c>
      <c r="Y91" s="15">
        <v>43550</v>
      </c>
      <c r="Z91" t="s">
        <v>159</v>
      </c>
      <c r="AA91" s="28" t="str">
        <f t="shared" si="7"/>
        <v>CASE WHEN g.dw_fromdate &gt;= 20200801 then 'N/A after 2020/21' WHEN ISNULL(g.ZRESPSTATUS, '02')='02' OR ISNULL(g.XACTIVITY, '99')='99' THEN 'Not in GO publication population' else IIF(isnull(g.BUSJOBRSNALL2,'')='','N/A',g.BUSJOBRSNALL2) end</v>
      </c>
      <c r="AB91" s="28" t="str">
        <f t="shared" si="13"/>
        <v>CASE WHEN g.dw_fromdate &gt;= 20200801 then 'N/A after 2020/21' WHEN ISNULL(g.ZRESPSTATUS, '02')='02' OR ISNULL(g.XACTIVITY, '99')='99' THEN 'Not in GO publication population' else IIF(isnull(g.BUSJOBRSNALL2,'')='','N/A',BUSJOBRSNALL2.label) end</v>
      </c>
      <c r="AC91" s="28" t="str">
        <f t="shared" si="15"/>
        <v/>
      </c>
      <c r="AD91" s="28" t="str">
        <f t="shared" si="14"/>
        <v/>
      </c>
      <c r="AE91" t="s">
        <v>2967</v>
      </c>
    </row>
    <row r="92" spans="1:31" ht="64" x14ac:dyDescent="0.2">
      <c r="A92">
        <v>100076</v>
      </c>
      <c r="B92" s="11" t="str">
        <f>DataItems3[[#This Row],[Field]]&amp;IF(DataItems3[[#This Row],[Options for supplying the Field]]="",""," "&amp;DataItems3[[#This Row],[Options for supplying the Field]])</f>
        <v>Business, self-employment or portfolio reason for taking the job (It was an opportunity to progress in the organisation) [BUSJOBRSNALL3]</v>
      </c>
      <c r="C92">
        <v>100076</v>
      </c>
      <c r="D92" s="3" t="s">
        <v>151</v>
      </c>
      <c r="F92" s="3" t="s">
        <v>412</v>
      </c>
      <c r="G92" s="13" t="s">
        <v>419</v>
      </c>
      <c r="H92" s="3" t="s">
        <v>420</v>
      </c>
      <c r="J92" s="3">
        <v>2</v>
      </c>
      <c r="K92" s="3">
        <v>1</v>
      </c>
      <c r="L92" s="3">
        <v>0</v>
      </c>
      <c r="M92" s="3">
        <v>0</v>
      </c>
      <c r="P92" s="3" t="s">
        <v>355</v>
      </c>
      <c r="Q92" s="16" t="s">
        <v>2968</v>
      </c>
      <c r="R92" s="3" t="s">
        <v>93</v>
      </c>
      <c r="S92" s="16" t="s">
        <v>2969</v>
      </c>
      <c r="U92" s="3" t="s">
        <v>420</v>
      </c>
      <c r="V92" s="3" t="s">
        <v>93</v>
      </c>
      <c r="W92" s="57" t="s">
        <v>2909</v>
      </c>
      <c r="X92" t="str">
        <f>DataItems3[[#This Row],[Collection]]&amp;DataItems3[[#This Row],[Field]]&amp;DataItems3[[#This Row],[Options for supplying the Field]]&amp;DataItems3[[#This Row],[Fieldname]]&amp;DataItems3[[#This Row],[Parent]]</f>
        <v>Graduate OutcomesBusiness, self-employment or portfolio reason for taking the job(It was an opportunity to progress in the organisation) [BUSJOBRSNALL3]BUSJOBRSNALL3Provider &gt; Graduate &gt; Self Employment, Running Own Business, Portfolio:</v>
      </c>
      <c r="Y92" s="15">
        <v>43550</v>
      </c>
      <c r="Z92" t="s">
        <v>159</v>
      </c>
      <c r="AA92" s="28" t="str">
        <f t="shared" si="7"/>
        <v>CASE WHEN g.dw_fromdate &gt;= 20200801 then 'N/A after 2020/21' WHEN ISNULL(g.ZRESPSTATUS, '02')='02' OR ISNULL(g.XACTIVITY, '99')='99' THEN 'Not in GO publication population' else IIF(isnull(g.BUSJOBRSNALL3,'')='','N/A',g.BUSJOBRSNALL3) end</v>
      </c>
      <c r="AB92" s="28" t="str">
        <f t="shared" si="13"/>
        <v>CASE WHEN g.dw_fromdate &gt;= 20200801 then 'N/A after 2020/21' WHEN ISNULL(g.ZRESPSTATUS, '02')='02' OR ISNULL(g.XACTIVITY, '99')='99' THEN 'Not in GO publication population' else IIF(isnull(g.BUSJOBRSNALL3,'')='','N/A',BUSJOBRSNALL3.label) end</v>
      </c>
      <c r="AC92" s="28" t="str">
        <f t="shared" si="15"/>
        <v/>
      </c>
      <c r="AD92" s="28" t="str">
        <f t="shared" si="14"/>
        <v/>
      </c>
      <c r="AE92" t="s">
        <v>2970</v>
      </c>
    </row>
    <row r="93" spans="1:31" ht="48" x14ac:dyDescent="0.2">
      <c r="A93">
        <v>100077</v>
      </c>
      <c r="B93" s="11" t="str">
        <f>DataItems3[[#This Row],[Field]]&amp;IF(DataItems3[[#This Row],[Options for supplying the Field]]="",""," "&amp;DataItems3[[#This Row],[Options for supplying the Field]])</f>
        <v>Business, self-employment or portfolio reason for taking the job (To see if I would like the type of work it involved) [BUSJOBRSNALL4]</v>
      </c>
      <c r="C93">
        <v>100077</v>
      </c>
      <c r="D93" s="3" t="s">
        <v>151</v>
      </c>
      <c r="F93" s="3" t="s">
        <v>412</v>
      </c>
      <c r="G93" s="13" t="s">
        <v>421</v>
      </c>
      <c r="H93" s="3" t="s">
        <v>422</v>
      </c>
      <c r="J93" s="3">
        <v>2</v>
      </c>
      <c r="K93" s="3">
        <v>1</v>
      </c>
      <c r="L93" s="3">
        <v>0</v>
      </c>
      <c r="M93" s="3">
        <v>0</v>
      </c>
      <c r="P93" s="3" t="s">
        <v>355</v>
      </c>
      <c r="Q93" s="16" t="s">
        <v>2971</v>
      </c>
      <c r="R93" s="3" t="s">
        <v>93</v>
      </c>
      <c r="S93" s="16" t="s">
        <v>2972</v>
      </c>
      <c r="U93" s="3" t="s">
        <v>422</v>
      </c>
      <c r="V93" s="3" t="s">
        <v>93</v>
      </c>
      <c r="W93" s="57" t="s">
        <v>2909</v>
      </c>
      <c r="X93" t="str">
        <f>DataItems3[[#This Row],[Collection]]&amp;DataItems3[[#This Row],[Field]]&amp;DataItems3[[#This Row],[Options for supplying the Field]]&amp;DataItems3[[#This Row],[Fieldname]]&amp;DataItems3[[#This Row],[Parent]]</f>
        <v>Graduate OutcomesBusiness, self-employment or portfolio reason for taking the job(To see if I would like the type of work it involved) [BUSJOBRSNALL4]BUSJOBRSNALL4Provider &gt; Graduate &gt; Self Employment, Running Own Business, Portfolio:</v>
      </c>
      <c r="Y93" s="15">
        <v>43550</v>
      </c>
      <c r="Z93" t="s">
        <v>159</v>
      </c>
      <c r="AA93" s="28" t="str">
        <f t="shared" si="7"/>
        <v>CASE WHEN g.dw_fromdate &gt;= 20200801 then 'N/A after 2020/21' WHEN ISNULL(g.ZRESPSTATUS, '02')='02' OR ISNULL(g.XACTIVITY, '99')='99' THEN 'Not in GO publication population' else IIF(isnull(g.BUSJOBRSNALL4,'')='','N/A',g.BUSJOBRSNALL4) end</v>
      </c>
      <c r="AB93" s="28" t="str">
        <f t="shared" si="13"/>
        <v>CASE WHEN g.dw_fromdate &gt;= 20200801 then 'N/A after 2020/21' WHEN ISNULL(g.ZRESPSTATUS, '02')='02' OR ISNULL(g.XACTIVITY, '99')='99' THEN 'Not in GO publication population' else IIF(isnull(g.BUSJOBRSNALL4,'')='','N/A',BUSJOBRSNALL4.label) end</v>
      </c>
      <c r="AC93" s="28" t="str">
        <f t="shared" si="15"/>
        <v/>
      </c>
      <c r="AD93" s="28" t="str">
        <f t="shared" si="14"/>
        <v/>
      </c>
      <c r="AE93" t="s">
        <v>2973</v>
      </c>
    </row>
    <row r="94" spans="1:31" ht="80" x14ac:dyDescent="0.2">
      <c r="A94">
        <v>100078</v>
      </c>
      <c r="B94" s="11" t="str">
        <f>DataItems3[[#This Row],[Field]]&amp;IF(DataItems3[[#This Row],[Options for supplying the Field]]="",""," "&amp;DataItems3[[#This Row],[Options for supplying the Field]])</f>
        <v>Business, self-employment or portfolio reason for taking the job (To gain and broaden my experience in order to get the type of job I really want) [BUSJOBRSNALL5]</v>
      </c>
      <c r="C94">
        <v>100078</v>
      </c>
      <c r="D94" s="3" t="s">
        <v>151</v>
      </c>
      <c r="F94" s="3" t="s">
        <v>412</v>
      </c>
      <c r="G94" s="13" t="s">
        <v>423</v>
      </c>
      <c r="H94" s="3" t="s">
        <v>424</v>
      </c>
      <c r="J94" s="3">
        <v>2</v>
      </c>
      <c r="K94" s="3">
        <v>1</v>
      </c>
      <c r="L94" s="3">
        <v>0</v>
      </c>
      <c r="M94" s="3">
        <v>0</v>
      </c>
      <c r="P94" s="3" t="s">
        <v>355</v>
      </c>
      <c r="Q94" s="16" t="s">
        <v>2974</v>
      </c>
      <c r="R94" s="3" t="s">
        <v>93</v>
      </c>
      <c r="S94" s="16" t="s">
        <v>2975</v>
      </c>
      <c r="U94" s="3" t="s">
        <v>424</v>
      </c>
      <c r="V94" s="3" t="s">
        <v>93</v>
      </c>
      <c r="W94" s="57" t="s">
        <v>2909</v>
      </c>
      <c r="X94" t="str">
        <f>DataItems3[[#This Row],[Collection]]&amp;DataItems3[[#This Row],[Field]]&amp;DataItems3[[#This Row],[Options for supplying the Field]]&amp;DataItems3[[#This Row],[Fieldname]]&amp;DataItems3[[#This Row],[Parent]]</f>
        <v>Graduate OutcomesBusiness, self-employment or portfolio reason for taking the job(To gain and broaden my experience in order to get the type of job I really want) [BUSJOBRSNALL5]BUSJOBRSNALL5Provider &gt; Graduate &gt; Self Employment, Running Own Business, Portfolio:</v>
      </c>
      <c r="Y94" s="15">
        <v>43550</v>
      </c>
      <c r="Z94" t="s">
        <v>159</v>
      </c>
      <c r="AA94" s="28" t="str">
        <f t="shared" si="7"/>
        <v>CASE WHEN g.dw_fromdate &gt;= 20200801 then 'N/A after 2020/21' WHEN ISNULL(g.ZRESPSTATUS, '02')='02' OR ISNULL(g.XACTIVITY, '99')='99' THEN 'Not in GO publication population' else IIF(isnull(g.BUSJOBRSNALL5,'')='','N/A',g.BUSJOBRSNALL5) end</v>
      </c>
      <c r="AB94" s="28" t="str">
        <f t="shared" si="13"/>
        <v>CASE WHEN g.dw_fromdate &gt;= 20200801 then 'N/A after 2020/21' WHEN ISNULL(g.ZRESPSTATUS, '02')='02' OR ISNULL(g.XACTIVITY, '99')='99' THEN 'Not in GO publication population' else IIF(isnull(g.BUSJOBRSNALL5,'')='','N/A',BUSJOBRSNALL5.label) end</v>
      </c>
      <c r="AC94" s="28" t="str">
        <f t="shared" si="15"/>
        <v/>
      </c>
      <c r="AD94" s="28" t="str">
        <f t="shared" si="14"/>
        <v/>
      </c>
      <c r="AE94" t="s">
        <v>2976</v>
      </c>
    </row>
    <row r="95" spans="1:31" ht="48" x14ac:dyDescent="0.2">
      <c r="A95">
        <v>100079</v>
      </c>
      <c r="B95" s="11" t="str">
        <f>DataItems3[[#This Row],[Field]]&amp;IF(DataItems3[[#This Row],[Options for supplying the Field]]="",""," "&amp;DataItems3[[#This Row],[Options for supplying the Field]])</f>
        <v>Business, self-employment or portfolio reason for taking the job (It was the right location) [BUSJOBRSNALL6]</v>
      </c>
      <c r="C95">
        <v>100079</v>
      </c>
      <c r="D95" s="3" t="s">
        <v>151</v>
      </c>
      <c r="F95" s="3" t="s">
        <v>412</v>
      </c>
      <c r="G95" s="13" t="s">
        <v>425</v>
      </c>
      <c r="H95" s="3" t="s">
        <v>426</v>
      </c>
      <c r="J95" s="3">
        <v>2</v>
      </c>
      <c r="K95" s="3">
        <v>1</v>
      </c>
      <c r="L95" s="3">
        <v>0</v>
      </c>
      <c r="M95" s="3">
        <v>0</v>
      </c>
      <c r="P95" s="3" t="s">
        <v>355</v>
      </c>
      <c r="Q95" s="16" t="s">
        <v>2977</v>
      </c>
      <c r="R95" s="3" t="s">
        <v>93</v>
      </c>
      <c r="S95" s="16" t="s">
        <v>2978</v>
      </c>
      <c r="U95" s="3" t="s">
        <v>426</v>
      </c>
      <c r="V95" s="3" t="s">
        <v>93</v>
      </c>
      <c r="W95" s="57" t="s">
        <v>2909</v>
      </c>
      <c r="X95" t="str">
        <f>DataItems3[[#This Row],[Collection]]&amp;DataItems3[[#This Row],[Field]]&amp;DataItems3[[#This Row],[Options for supplying the Field]]&amp;DataItems3[[#This Row],[Fieldname]]&amp;DataItems3[[#This Row],[Parent]]</f>
        <v>Graduate OutcomesBusiness, self-employment or portfolio reason for taking the job(It was the right location) [BUSJOBRSNALL6]BUSJOBRSNALL6Provider &gt; Graduate &gt; Self Employment, Running Own Business, Portfolio:</v>
      </c>
      <c r="Y95" s="15">
        <v>43550</v>
      </c>
      <c r="Z95" t="s">
        <v>159</v>
      </c>
      <c r="AA95" s="28" t="str">
        <f t="shared" si="7"/>
        <v>CASE WHEN g.dw_fromdate &gt;= 20200801 then 'N/A after 2020/21' WHEN ISNULL(g.ZRESPSTATUS, '02')='02' OR ISNULL(g.XACTIVITY, '99')='99' THEN 'Not in GO publication population' else IIF(isnull(g.BUSJOBRSNALL6,'')='','N/A',g.BUSJOBRSNALL6) end</v>
      </c>
      <c r="AB95" s="28" t="str">
        <f t="shared" si="13"/>
        <v>CASE WHEN g.dw_fromdate &gt;= 20200801 then 'N/A after 2020/21' WHEN ISNULL(g.ZRESPSTATUS, '02')='02' OR ISNULL(g.XACTIVITY, '99')='99' THEN 'Not in GO publication population' else IIF(isnull(g.BUSJOBRSNALL6,'')='','N/A',BUSJOBRSNALL6.label) end</v>
      </c>
      <c r="AC95" s="28" t="str">
        <f t="shared" si="15"/>
        <v/>
      </c>
      <c r="AD95" s="28" t="str">
        <f t="shared" si="14"/>
        <v/>
      </c>
      <c r="AE95" t="s">
        <v>2979</v>
      </c>
    </row>
    <row r="96" spans="1:31" ht="32" x14ac:dyDescent="0.2">
      <c r="A96">
        <v>100080</v>
      </c>
      <c r="B96" s="11" t="str">
        <f>DataItems3[[#This Row],[Field]]&amp;IF(DataItems3[[#This Row],[Options for supplying the Field]]="",""," "&amp;DataItems3[[#This Row],[Options for supplying the Field]])</f>
        <v>Business, self-employment or portfolio reason for taking the job (The job was well paid) [BUSJOBRSNALL7]</v>
      </c>
      <c r="C96">
        <v>100080</v>
      </c>
      <c r="D96" s="3" t="s">
        <v>151</v>
      </c>
      <c r="F96" s="3" t="s">
        <v>412</v>
      </c>
      <c r="G96" s="13" t="s">
        <v>427</v>
      </c>
      <c r="H96" s="3" t="s">
        <v>428</v>
      </c>
      <c r="J96" s="3">
        <v>2</v>
      </c>
      <c r="K96" s="3">
        <v>1</v>
      </c>
      <c r="L96" s="3">
        <v>0</v>
      </c>
      <c r="M96" s="3">
        <v>0</v>
      </c>
      <c r="P96" s="3" t="s">
        <v>355</v>
      </c>
      <c r="Q96" s="16" t="s">
        <v>2980</v>
      </c>
      <c r="R96" s="3" t="s">
        <v>93</v>
      </c>
      <c r="S96" s="16" t="s">
        <v>2981</v>
      </c>
      <c r="U96" s="3" t="s">
        <v>428</v>
      </c>
      <c r="V96" s="3" t="s">
        <v>93</v>
      </c>
      <c r="W96" s="57" t="s">
        <v>2909</v>
      </c>
      <c r="X96" t="str">
        <f>DataItems3[[#This Row],[Collection]]&amp;DataItems3[[#This Row],[Field]]&amp;DataItems3[[#This Row],[Options for supplying the Field]]&amp;DataItems3[[#This Row],[Fieldname]]&amp;DataItems3[[#This Row],[Parent]]</f>
        <v>Graduate OutcomesBusiness, self-employment or portfolio reason for taking the job(The job was well paid) [BUSJOBRSNALL7]BUSJOBRSNALL7Provider &gt; Graduate &gt; Self Employment, Running Own Business, Portfolio:</v>
      </c>
      <c r="Y96" s="15">
        <v>43550</v>
      </c>
      <c r="Z96" t="s">
        <v>159</v>
      </c>
      <c r="AA96" s="28" t="str">
        <f t="shared" si="7"/>
        <v>CASE WHEN g.dw_fromdate &gt;= 20200801 then 'N/A after 2020/21' WHEN ISNULL(g.ZRESPSTATUS, '02')='02' OR ISNULL(g.XACTIVITY, '99')='99' THEN 'Not in GO publication population' else IIF(isnull(g.BUSJOBRSNALL7,'')='','N/A',g.BUSJOBRSNALL7) end</v>
      </c>
      <c r="AB96" s="28" t="str">
        <f t="shared" si="13"/>
        <v>CASE WHEN g.dw_fromdate &gt;= 20200801 then 'N/A after 2020/21' WHEN ISNULL(g.ZRESPSTATUS, '02')='02' OR ISNULL(g.XACTIVITY, '99')='99' THEN 'Not in GO publication population' else IIF(isnull(g.BUSJOBRSNALL7,'')='','N/A',BUSJOBRSNALL7.label) end</v>
      </c>
      <c r="AC96" s="28" t="str">
        <f t="shared" si="15"/>
        <v/>
      </c>
      <c r="AD96" s="28" t="str">
        <f t="shared" si="14"/>
        <v/>
      </c>
      <c r="AE96" t="s">
        <v>2982</v>
      </c>
    </row>
    <row r="97" spans="1:32" ht="32" x14ac:dyDescent="0.2">
      <c r="A97">
        <v>100081</v>
      </c>
      <c r="B97" s="11" t="str">
        <f>DataItems3[[#This Row],[Field]]&amp;IF(DataItems3[[#This Row],[Options for supplying the Field]]="",""," "&amp;DataItems3[[#This Row],[Options for supplying the Field]])</f>
        <v>Business, self-employment or portfolio reason for taking the job (In order to earn a living) [BUSJOBRSNALL8]</v>
      </c>
      <c r="C97">
        <v>100081</v>
      </c>
      <c r="D97" s="3" t="s">
        <v>151</v>
      </c>
      <c r="F97" s="3" t="s">
        <v>412</v>
      </c>
      <c r="G97" s="13" t="s">
        <v>429</v>
      </c>
      <c r="H97" s="3" t="s">
        <v>430</v>
      </c>
      <c r="J97" s="3">
        <v>2</v>
      </c>
      <c r="K97" s="3">
        <v>1</v>
      </c>
      <c r="L97" s="3">
        <v>0</v>
      </c>
      <c r="M97" s="3">
        <v>0</v>
      </c>
      <c r="P97" s="3" t="s">
        <v>355</v>
      </c>
      <c r="Q97" s="16" t="s">
        <v>2983</v>
      </c>
      <c r="R97" s="3" t="s">
        <v>93</v>
      </c>
      <c r="S97" s="16" t="s">
        <v>2984</v>
      </c>
      <c r="U97" s="3" t="s">
        <v>430</v>
      </c>
      <c r="V97" s="3" t="s">
        <v>93</v>
      </c>
      <c r="W97" s="57" t="s">
        <v>2909</v>
      </c>
      <c r="X97" t="str">
        <f>DataItems3[[#This Row],[Collection]]&amp;DataItems3[[#This Row],[Field]]&amp;DataItems3[[#This Row],[Options for supplying the Field]]&amp;DataItems3[[#This Row],[Fieldname]]&amp;DataItems3[[#This Row],[Parent]]</f>
        <v>Graduate OutcomesBusiness, self-employment or portfolio reason for taking the job(In order to earn a living) [BUSJOBRSNALL8]BUSJOBRSNALL8Provider &gt; Graduate &gt; Self Employment, Running Own Business, Portfolio:</v>
      </c>
      <c r="Y97" s="15">
        <v>43550</v>
      </c>
      <c r="Z97" t="s">
        <v>159</v>
      </c>
      <c r="AA97" s="28" t="str">
        <f t="shared" si="7"/>
        <v>CASE WHEN g.dw_fromdate &gt;= 20200801 then 'N/A after 2020/21' WHEN ISNULL(g.ZRESPSTATUS, '02')='02' OR ISNULL(g.XACTIVITY, '99')='99' THEN 'Not in GO publication population' else IIF(isnull(g.BUSJOBRSNALL8,'')='','N/A',g.BUSJOBRSNALL8) end</v>
      </c>
      <c r="AB97" s="28" t="str">
        <f t="shared" si="13"/>
        <v>CASE WHEN g.dw_fromdate &gt;= 20200801 then 'N/A after 2020/21' WHEN ISNULL(g.ZRESPSTATUS, '02')='02' OR ISNULL(g.XACTIVITY, '99')='99' THEN 'Not in GO publication population' else IIF(isnull(g.BUSJOBRSNALL8,'')='','N/A',BUSJOBRSNALL8.label) end</v>
      </c>
      <c r="AC97" s="28" t="str">
        <f t="shared" si="15"/>
        <v/>
      </c>
      <c r="AD97" s="28" t="str">
        <f t="shared" si="14"/>
        <v/>
      </c>
      <c r="AE97" t="s">
        <v>2985</v>
      </c>
    </row>
    <row r="98" spans="1:32" ht="32" x14ac:dyDescent="0.2">
      <c r="A98">
        <v>100082</v>
      </c>
      <c r="B98" s="11" t="str">
        <f>DataItems3[[#This Row],[Field]]&amp;IF(DataItems3[[#This Row],[Options for supplying the Field]]="",""," "&amp;DataItems3[[#This Row],[Options for supplying the Field]])</f>
        <v>Business, self-employment or portfolio reason for taking the job (In order to pay off debts) [BUSJOBRSNALL9]</v>
      </c>
      <c r="C98">
        <v>100082</v>
      </c>
      <c r="D98" s="3" t="s">
        <v>151</v>
      </c>
      <c r="F98" s="3" t="s">
        <v>412</v>
      </c>
      <c r="G98" s="13" t="s">
        <v>431</v>
      </c>
      <c r="H98" s="3" t="s">
        <v>432</v>
      </c>
      <c r="J98" s="3">
        <v>2</v>
      </c>
      <c r="K98" s="3">
        <v>1</v>
      </c>
      <c r="L98" s="3">
        <v>0</v>
      </c>
      <c r="M98" s="3">
        <v>4</v>
      </c>
      <c r="P98" s="3" t="s">
        <v>355</v>
      </c>
      <c r="Q98" s="16" t="s">
        <v>2986</v>
      </c>
      <c r="R98" s="3" t="s">
        <v>93</v>
      </c>
      <c r="S98" s="16" t="s">
        <v>2987</v>
      </c>
      <c r="U98" s="3" t="s">
        <v>432</v>
      </c>
      <c r="V98" s="3" t="s">
        <v>93</v>
      </c>
      <c r="W98" s="57" t="s">
        <v>2909</v>
      </c>
      <c r="X98" t="str">
        <f>DataItems3[[#This Row],[Collection]]&amp;DataItems3[[#This Row],[Field]]&amp;DataItems3[[#This Row],[Options for supplying the Field]]&amp;DataItems3[[#This Row],[Fieldname]]&amp;DataItems3[[#This Row],[Parent]]</f>
        <v>Graduate OutcomesBusiness, self-employment or portfolio reason for taking the job(In order to pay off debts) [BUSJOBRSNALL9]BUSJOBRSNALL9Provider &gt; Graduate &gt; Self Employment, Running Own Business, Portfolio:</v>
      </c>
      <c r="Y98" s="15">
        <v>43550</v>
      </c>
      <c r="Z98" t="s">
        <v>159</v>
      </c>
      <c r="AA98" s="28" t="str">
        <f t="shared" si="7"/>
        <v>CASE WHEN g.dw_fromdate &gt;= 20200801 then 'N/A after 2020/21' WHEN ISNULL(g.ZRESPSTATUS, '02')='02' OR ISNULL(g.XACTIVITY, '99')='99' THEN 'Not in GO publication population' else IIF(isnull(g.BUSJOBRSNALL9,'')='','N/A',g.BUSJOBRSNALL9) end</v>
      </c>
      <c r="AB98" s="28" t="str">
        <f t="shared" si="13"/>
        <v>CASE WHEN g.dw_fromdate &gt;= 20200801 then 'N/A after 2020/21' WHEN g.dw_fromdate &gt;= 20200801 then 'N/A after 2020/21' WHEN ISNULL(g.ZRESPSTATUS, '02')='02' OR ISNULL(g.XACTIVITY, '99')='99' THEN 'Not in GO publication population' else IIF(isnull(g.BUSJOBRSNALL9,'')='','N/A',BUSJOBRSNALL9.label) end</v>
      </c>
      <c r="AC98" s="28" t="str">
        <f t="shared" si="15"/>
        <v/>
      </c>
      <c r="AD98" s="28" t="str">
        <f t="shared" si="14"/>
        <v/>
      </c>
      <c r="AE98" t="s">
        <v>2988</v>
      </c>
    </row>
    <row r="99" spans="1:32" ht="16" x14ac:dyDescent="0.2">
      <c r="A99">
        <v>100083</v>
      </c>
      <c r="B99" s="11" t="str">
        <f>DataItems3[[#This Row],[Field]]&amp;IF(DataItems3[[#This Row],[Options for supplying the Field]]="",""," "&amp;DataItems3[[#This Row],[Options for supplying the Field]])</f>
        <v>Business, self-employment or portfolio supervising responsibility [BUSSUPERVISE]</v>
      </c>
      <c r="C99">
        <v>100083</v>
      </c>
      <c r="D99" s="3" t="s">
        <v>151</v>
      </c>
      <c r="F99" s="3" t="s">
        <v>433</v>
      </c>
      <c r="G99" s="13" t="s">
        <v>434</v>
      </c>
      <c r="H99" s="3" t="s">
        <v>435</v>
      </c>
      <c r="J99" s="3">
        <v>2</v>
      </c>
      <c r="K99" s="3">
        <v>2</v>
      </c>
      <c r="L99" s="3">
        <v>0</v>
      </c>
      <c r="M99" s="3">
        <v>0</v>
      </c>
      <c r="P99" s="3" t="s">
        <v>355</v>
      </c>
      <c r="Q99" s="16" t="s">
        <v>2989</v>
      </c>
      <c r="R99" s="3" t="s">
        <v>93</v>
      </c>
      <c r="S99" s="16" t="s">
        <v>2990</v>
      </c>
      <c r="U99" s="3" t="s">
        <v>435</v>
      </c>
      <c r="V99" s="3" t="s">
        <v>93</v>
      </c>
      <c r="W99" s="57" t="s">
        <v>2909</v>
      </c>
      <c r="X99" t="str">
        <f>DataItems3[[#This Row],[Collection]]&amp;DataItems3[[#This Row],[Field]]&amp;DataItems3[[#This Row],[Options for supplying the Field]]&amp;DataItems3[[#This Row],[Fieldname]]&amp;DataItems3[[#This Row],[Parent]]</f>
        <v>Graduate OutcomesBusiness, self-employment or portfolio supervising responsibility[BUSSUPERVISE]BUSSUPERVISEProvider &gt; Graduate &gt; Self Employment, Running Own Business, Portfolio:</v>
      </c>
      <c r="Y99" s="15">
        <v>43550</v>
      </c>
      <c r="Z99" t="s">
        <v>159</v>
      </c>
      <c r="AA99" s="28" t="str">
        <f t="shared" si="7"/>
        <v>CASE WHEN ISNULL(g.ZRESPSTATUS, '02')='02' OR ISNULL(g.XACTIVITY, '99')='99' THEN 'Not in GO publication population' WHEN g.dw_fromdate=20200801 THEN 'Not applicable 2020/21 onwards' else IIF(isnull(g.BUSSUPERVISE,'')='','N/A',g.BUSSUPERVISE) end</v>
      </c>
      <c r="AB99" s="28" t="str">
        <f t="shared" si="13"/>
        <v>CASE WHEN ISNULL(g.ZRESPSTATUS, '02')='02' OR ISNULL(g.XACTIVITY, '99')='99' THEN 'Not in GO publication population' WHEN g.dw_fromdate=20200801 THEN 'Not applicable 2020/21 onwards' else IIF(isnull(g.BUSSUPERVISE,'')='','N/A',BUSSUPERVISE.label) end</v>
      </c>
      <c r="AC99" s="28" t="str">
        <f t="shared" si="15"/>
        <v/>
      </c>
      <c r="AD99" s="28" t="str">
        <f t="shared" si="14"/>
        <v/>
      </c>
      <c r="AE99" t="str">
        <f t="shared" ref="AE99:AE122" si="16">IF(F99="","","["&amp;SUBSTITUTE(SUBSTITUTE(SUBSTITUTE(F99,"[","{"),"]","}"),"⁽"&amp;CHAR(185)&amp;"⁾","")&amp;"]")</f>
        <v>[Business, self-employment or portfolio supervising responsibility]</v>
      </c>
    </row>
    <row r="100" spans="1:32" ht="32" x14ac:dyDescent="0.2">
      <c r="A100">
        <v>100084</v>
      </c>
      <c r="B100" s="11" t="str">
        <f>DataItems3[[#This Row],[Field]]&amp;IF(DataItems3[[#This Row],[Options for supplying the Field]]="",""," "&amp;DataItems3[[#This Row],[Options for supplying the Field]])</f>
        <v>Care leaver (Care leaver/ Not a care leaver)</v>
      </c>
      <c r="C100">
        <v>100084</v>
      </c>
      <c r="D100" s="3" t="s">
        <v>86</v>
      </c>
      <c r="F100" s="3" t="s">
        <v>436</v>
      </c>
      <c r="G100" s="13" t="s">
        <v>437</v>
      </c>
      <c r="H100" s="14" t="s">
        <v>438</v>
      </c>
      <c r="I100" s="3" t="s">
        <v>439</v>
      </c>
      <c r="J100" s="3">
        <v>2</v>
      </c>
      <c r="K100" s="3">
        <v>3</v>
      </c>
      <c r="L100" s="3">
        <v>0</v>
      </c>
      <c r="M100" s="3">
        <v>4</v>
      </c>
      <c r="N100" s="3" t="s">
        <v>89</v>
      </c>
      <c r="Q100" s="16" t="s">
        <v>440</v>
      </c>
      <c r="R100" s="3" t="s">
        <v>91</v>
      </c>
      <c r="S100" s="16" t="s">
        <v>440</v>
      </c>
      <c r="U100" s="3" t="s">
        <v>93</v>
      </c>
      <c r="V100" s="3">
        <v>1</v>
      </c>
      <c r="W100" s="57" t="s">
        <v>441</v>
      </c>
      <c r="X100" t="str">
        <f>DataItems3[[#This Row],[Collection]]&amp;DataItems3[[#This Row],[Field]]&amp;DataItems3[[#This Row],[Options for supplying the Field]]&amp;DataItems3[[#This Row],[Fieldname]]&amp;DataItems3[[#This Row],[Parent]]</f>
        <v>StudentCare leaver(Care leaver/ Not a care leaver)F_CARELEAVER</v>
      </c>
      <c r="Y100" s="15">
        <v>43434</v>
      </c>
      <c r="Z100" t="s">
        <v>95</v>
      </c>
      <c r="AA100" s="28" t="str">
        <f t="shared" si="7"/>
        <v>case when s.f_careleaver in ('01','02','03','04') then 'Care leaver' WHEN s.F_CARELEAVER IN ('98','99') THEN 'Unknown' else 'Not a care leaver' end</v>
      </c>
      <c r="AB100" s="28" t="str">
        <f t="shared" si="13"/>
        <v>case when s.f_careleaver in ('01','02','03','04') then 'Care leaver' WHEN s.F_CARELEAVER IN ('98','99') THEN 'Unknown' else 'Not a care leaver' end</v>
      </c>
      <c r="AC100" s="28" t="str">
        <f t="shared" si="15"/>
        <v xml:space="preserve"> </v>
      </c>
      <c r="AD100" s="28" t="str">
        <f t="shared" si="14"/>
        <v/>
      </c>
      <c r="AE100" t="str">
        <f t="shared" si="16"/>
        <v>[Care leaver]</v>
      </c>
    </row>
    <row r="101" spans="1:32" ht="16" x14ac:dyDescent="0.2">
      <c r="A101">
        <v>100085</v>
      </c>
      <c r="B101" s="11" t="str">
        <f>DataItems3[[#This Row],[Field]]&amp;IF(DataItems3[[#This Row],[Options for supplying the Field]]="",""," "&amp;DataItems3[[#This Row],[Options for supplying the Field]])</f>
        <v>Care leaver (Full)</v>
      </c>
      <c r="C101">
        <v>100085</v>
      </c>
      <c r="D101" s="3" t="s">
        <v>86</v>
      </c>
      <c r="F101" s="3" t="s">
        <v>436</v>
      </c>
      <c r="G101" s="13" t="s">
        <v>277</v>
      </c>
      <c r="H101" s="14" t="s">
        <v>438</v>
      </c>
      <c r="I101" s="3" t="s">
        <v>439</v>
      </c>
      <c r="J101" s="3">
        <v>1</v>
      </c>
      <c r="K101" s="3">
        <v>3</v>
      </c>
      <c r="L101" s="3">
        <v>0</v>
      </c>
      <c r="M101" s="3">
        <v>4</v>
      </c>
      <c r="N101" s="3" t="s">
        <v>89</v>
      </c>
      <c r="Q101" s="16" t="s">
        <v>442</v>
      </c>
      <c r="R101" s="3" t="s">
        <v>91</v>
      </c>
      <c r="S101" s="16" t="s">
        <v>443</v>
      </c>
      <c r="U101" s="3" t="s">
        <v>444</v>
      </c>
      <c r="V101" s="3" t="s">
        <v>93</v>
      </c>
      <c r="W101" s="57" t="s">
        <v>94</v>
      </c>
      <c r="X101" t="str">
        <f>DataItems3[[#This Row],[Collection]]&amp;DataItems3[[#This Row],[Field]]&amp;DataItems3[[#This Row],[Options for supplying the Field]]&amp;DataItems3[[#This Row],[Fieldname]]&amp;DataItems3[[#This Row],[Parent]]</f>
        <v>StudentCare leaver(Full)F_CARELEAVER</v>
      </c>
      <c r="Y101" s="15">
        <v>43434</v>
      </c>
      <c r="Z101" t="s">
        <v>95</v>
      </c>
      <c r="AA101" s="28" t="str">
        <f t="shared" si="7"/>
        <v>case WHEN s.F_CARELEAVER IN ('98','99') THEN 'Unknown' else s.F_CARELEAVER end</v>
      </c>
      <c r="AB101" s="28" t="str">
        <f t="shared" si="13"/>
        <v>case WHEN s.F_CARELEAVER IN ('98','99') THEN 'Unknown' else care.dw_currentlabel end</v>
      </c>
      <c r="AC101" s="28" t="str">
        <f t="shared" si="15"/>
        <v xml:space="preserve"> </v>
      </c>
      <c r="AD101" s="28" t="str">
        <f t="shared" si="14"/>
        <v/>
      </c>
      <c r="AE101" t="str">
        <f t="shared" si="16"/>
        <v>[Care leaver]</v>
      </c>
    </row>
    <row r="102" spans="1:32" ht="32" x14ac:dyDescent="0.2">
      <c r="A102">
        <v>100086</v>
      </c>
      <c r="B102" s="11" t="str">
        <f>DataItems3[[#This Row],[Field]]&amp;IF(DataItems3[[#This Row],[Options for supplying the Field]]="",""," "&amp;DataItems3[[#This Row],[Options for supplying the Field]])</f>
        <v>Career support [CAREERSERV] -opt in question</v>
      </c>
      <c r="C102">
        <v>100086</v>
      </c>
      <c r="D102" s="3" t="s">
        <v>151</v>
      </c>
      <c r="F102" s="3" t="s">
        <v>445</v>
      </c>
      <c r="G102" s="13" t="s">
        <v>446</v>
      </c>
      <c r="I102" s="3" t="s">
        <v>2991</v>
      </c>
      <c r="J102" s="3">
        <v>1</v>
      </c>
      <c r="K102" s="3">
        <v>2</v>
      </c>
      <c r="L102" s="3">
        <v>0</v>
      </c>
      <c r="M102" s="3">
        <v>0</v>
      </c>
      <c r="P102" s="3" t="s">
        <v>448</v>
      </c>
      <c r="R102" s="3" t="s">
        <v>93</v>
      </c>
      <c r="S102" s="16" t="s">
        <v>93</v>
      </c>
      <c r="U102" s="3" t="s">
        <v>93</v>
      </c>
      <c r="V102" s="3" t="s">
        <v>93</v>
      </c>
      <c r="W102" s="57" t="s">
        <v>2926</v>
      </c>
      <c r="X102" t="str">
        <f>DataItems3[[#This Row],[Collection]]&amp;DataItems3[[#This Row],[Field]]&amp;DataItems3[[#This Row],[Options for supplying the Field]]&amp;DataItems3[[#This Row],[Fieldname]]&amp;DataItems3[[#This Row],[Parent]]</f>
        <v>Graduate OutcomesCareer support[CAREERSERV] -opt in questionProvider &gt; Graduate &gt; Opt in questions:</v>
      </c>
      <c r="Y102" s="15">
        <v>43550</v>
      </c>
      <c r="Z102" t="s">
        <v>159</v>
      </c>
      <c r="AA102" s="28" t="str">
        <f t="shared" si="7"/>
        <v/>
      </c>
      <c r="AB102" s="28" t="str">
        <f t="shared" si="13"/>
        <v/>
      </c>
      <c r="AC102" s="28" t="str">
        <f t="shared" si="15"/>
        <v/>
      </c>
      <c r="AD102" s="28" t="str">
        <f t="shared" si="14"/>
        <v/>
      </c>
      <c r="AE102" t="str">
        <f t="shared" si="16"/>
        <v>[Career support]</v>
      </c>
    </row>
    <row r="103" spans="1:32" ht="16" x14ac:dyDescent="0.2">
      <c r="A103">
        <v>100757</v>
      </c>
      <c r="B103" s="11" t="str">
        <f>DataItems3[[#This Row],[Field]]&amp;IF(DataItems3[[#This Row],[Options for supplying the Field]]="",""," "&amp;DataItems3[[#This Row],[Options for supplying the Field]])</f>
        <v>Carer - 2017/18 onwards</v>
      </c>
      <c r="C103">
        <v>100757</v>
      </c>
      <c r="D103" s="3" t="s">
        <v>86</v>
      </c>
      <c r="F103" s="3" t="s">
        <v>449</v>
      </c>
      <c r="G103" s="13" t="s">
        <v>450</v>
      </c>
      <c r="H103" s="14" t="s">
        <v>451</v>
      </c>
      <c r="I103" s="3" t="s">
        <v>452</v>
      </c>
      <c r="J103" s="3">
        <v>2</v>
      </c>
      <c r="K103" s="17">
        <v>1</v>
      </c>
      <c r="L103" s="3">
        <v>1</v>
      </c>
      <c r="M103" s="3">
        <v>3</v>
      </c>
      <c r="N103" s="3" t="s">
        <v>89</v>
      </c>
      <c r="P103" s="21" t="s">
        <v>453</v>
      </c>
      <c r="Q103" s="16" t="s">
        <v>454</v>
      </c>
      <c r="S103" s="16" t="s">
        <v>455</v>
      </c>
      <c r="T103" s="16"/>
      <c r="U103" s="3" t="s">
        <v>341</v>
      </c>
      <c r="W103" s="57" t="s">
        <v>2907</v>
      </c>
      <c r="X103" t="str">
        <f>DataItems3[[#This Row],[Collection]]&amp;DataItems3[[#This Row],[Field]]&amp;DataItems3[[#This Row],[Options for supplying the Field]]&amp;DataItems3[[#This Row],[Fieldname]]&amp;DataItems3[[#This Row],[Parent]]</f>
        <v>StudentCarer- 2017/18 onwardsF_CARERProvider &gt; student:</v>
      </c>
      <c r="Y103" s="4">
        <v>44218</v>
      </c>
      <c r="Z103" t="s">
        <v>56</v>
      </c>
      <c r="AA103" s="28" t="str">
        <f t="shared" si="7"/>
        <v>CASE WHEN s.DW_FromDate &lt;=20160801 THEN 'Not applicable (2016/17 and prior)' WHEN s.F_XINSTC01 = 'W' OR (s.F_XINSTC01 = 'S' AND s.F_XDOMREG01 = 'XH') THEN CASE WHEN stu.F_CARER IN ('98', '99' ) THEN 'Unknown' ELSE ISNULL(stu.F_CARER, 'Unknown') END ELSE 'Not applicable' END</v>
      </c>
      <c r="AB103" s="28" t="str">
        <f t="shared" si="13"/>
        <v>CASE WHEN s.DW_FromDate &lt;=20160801 THEN 'Not applicable (2016/17 and prior)' WHEN s.F_XINSTC01 = 'W' OR (s.F_XINSTC01 = 'S' AND s.F_XDOMREG01 = 'XH') THEN CASE WHEN ISNULL(stu.F_CARER, '-1') IN ('98', '99', '-1') THEN 'Unknown' WHEN stu.F_CARER = '01' THEN 'Not a carer' WHEN stu.F_CARER = '02' THEN 'Carer' ELSE stu.F_CARER END ELSE 'Not applicable' END</v>
      </c>
      <c r="AC103" s="28" t="str">
        <f t="shared" si="15"/>
        <v/>
      </c>
      <c r="AD103" s="28" t="str">
        <f t="shared" si="14"/>
        <v/>
      </c>
      <c r="AE103" t="str">
        <f t="shared" si="16"/>
        <v>[Carer]</v>
      </c>
    </row>
    <row r="104" spans="1:32" ht="16" x14ac:dyDescent="0.2">
      <c r="A104">
        <v>100087</v>
      </c>
      <c r="B104" s="11" t="str">
        <f>DataItems3[[#This Row],[Field]]&amp;IF(DataItems3[[#This Row],[Options for supplying the Field]]="",""," "&amp;DataItems3[[#This Row],[Options for supplying the Field]])</f>
        <v>Category of previous employment 1 to 7 (Raw fields)</v>
      </c>
      <c r="C104">
        <v>100087</v>
      </c>
      <c r="D104" s="3" t="s">
        <v>146</v>
      </c>
      <c r="F104" s="3" t="s">
        <v>456</v>
      </c>
      <c r="G104" s="13" t="s">
        <v>457</v>
      </c>
      <c r="H104" s="14" t="s">
        <v>93</v>
      </c>
      <c r="J104" s="3">
        <v>3</v>
      </c>
      <c r="K104" s="3">
        <v>2</v>
      </c>
      <c r="L104" s="3">
        <v>0</v>
      </c>
      <c r="M104" s="3">
        <v>0</v>
      </c>
      <c r="N104" s="3" t="s">
        <v>89</v>
      </c>
      <c r="Q104" s="16" t="s">
        <v>93</v>
      </c>
      <c r="R104" s="3" t="s">
        <v>93</v>
      </c>
      <c r="S104" s="16" t="s">
        <v>93</v>
      </c>
      <c r="U104" s="3" t="s">
        <v>93</v>
      </c>
      <c r="V104" s="3" t="s">
        <v>93</v>
      </c>
      <c r="W104" s="57" t="s">
        <v>2926</v>
      </c>
      <c r="X104" t="str">
        <f>DataItems3[[#This Row],[Collection]]&amp;DataItems3[[#This Row],[Field]]&amp;DataItems3[[#This Row],[Options for supplying the Field]]&amp;DataItems3[[#This Row],[Fieldname]]&amp;DataItems3[[#This Row],[Parent]]</f>
        <v>DLHECategory of previous employment 1 to 7(Raw fields)</v>
      </c>
      <c r="Y104" s="15">
        <v>43416</v>
      </c>
      <c r="Z104" t="s">
        <v>95</v>
      </c>
      <c r="AA104" s="28" t="str">
        <f t="shared" si="7"/>
        <v/>
      </c>
      <c r="AB104" s="28" t="str">
        <f t="shared" si="13"/>
        <v/>
      </c>
      <c r="AC104" s="28" t="str">
        <f t="shared" si="15"/>
        <v/>
      </c>
      <c r="AD104" s="28" t="str">
        <f t="shared" si="14"/>
        <v/>
      </c>
      <c r="AE104" t="str">
        <f t="shared" si="16"/>
        <v>[Category of previous employment 1 to 7]</v>
      </c>
    </row>
    <row r="105" spans="1:32" ht="16" x14ac:dyDescent="0.2">
      <c r="A105">
        <v>100088</v>
      </c>
      <c r="B105" s="11" t="str">
        <f>DataItems3[[#This Row],[Field]]&amp;IF(DataItems3[[#This Row],[Options for supplying the Field]]="",""," "&amp;DataItems3[[#This Row],[Options for supplying the Field]])</f>
        <v>Category of previous employment markers 1 to 7</v>
      </c>
      <c r="C105">
        <v>100088</v>
      </c>
      <c r="D105" s="3" t="s">
        <v>146</v>
      </c>
      <c r="F105" s="3" t="s">
        <v>458</v>
      </c>
      <c r="G105" s="13"/>
      <c r="H105" s="14" t="s">
        <v>93</v>
      </c>
      <c r="J105" s="3">
        <v>3</v>
      </c>
      <c r="K105" s="3">
        <v>2</v>
      </c>
      <c r="L105" s="3">
        <v>0</v>
      </c>
      <c r="M105" s="3">
        <v>0</v>
      </c>
      <c r="N105" s="3" t="s">
        <v>89</v>
      </c>
      <c r="Q105" s="16" t="s">
        <v>93</v>
      </c>
      <c r="R105" s="3" t="s">
        <v>93</v>
      </c>
      <c r="S105" s="16" t="s">
        <v>93</v>
      </c>
      <c r="U105" s="3" t="s">
        <v>93</v>
      </c>
      <c r="V105" s="3" t="s">
        <v>93</v>
      </c>
      <c r="W105" s="57" t="s">
        <v>2926</v>
      </c>
      <c r="X105" t="str">
        <f>DataItems3[[#This Row],[Collection]]&amp;DataItems3[[#This Row],[Field]]&amp;DataItems3[[#This Row],[Options for supplying the Field]]&amp;DataItems3[[#This Row],[Fieldname]]&amp;DataItems3[[#This Row],[Parent]]</f>
        <v>DLHECategory of previous employment markers 1 to 7</v>
      </c>
      <c r="Y105" s="15">
        <v>43416</v>
      </c>
      <c r="Z105" t="s">
        <v>95</v>
      </c>
      <c r="AA105" s="28" t="str">
        <f t="shared" si="7"/>
        <v/>
      </c>
      <c r="AB105" s="28" t="str">
        <f t="shared" si="13"/>
        <v/>
      </c>
      <c r="AC105" s="28" t="str">
        <f t="shared" si="15"/>
        <v/>
      </c>
      <c r="AD105" s="28" t="str">
        <f t="shared" si="14"/>
        <v/>
      </c>
      <c r="AE105" t="str">
        <f t="shared" si="16"/>
        <v>[Category of previous employment markers 1 to 7]</v>
      </c>
    </row>
    <row r="106" spans="1:32" ht="16" x14ac:dyDescent="0.2">
      <c r="A106">
        <v>100089</v>
      </c>
      <c r="B106" s="11" t="str">
        <f>DataItems3[[#This Row],[Field]]&amp;IF(DataItems3[[#This Row],[Options for supplying the Field]]="",""," "&amp;DataItems3[[#This Row],[Options for supplying the Field]])</f>
        <v>Census [CENSUS]</v>
      </c>
      <c r="C106">
        <v>100089</v>
      </c>
      <c r="D106" s="3" t="s">
        <v>151</v>
      </c>
      <c r="F106" s="3" t="s">
        <v>459</v>
      </c>
      <c r="G106" s="13" t="s">
        <v>460</v>
      </c>
      <c r="H106" s="3" t="s">
        <v>461</v>
      </c>
      <c r="J106" s="3">
        <v>1</v>
      </c>
      <c r="K106" s="3">
        <v>1</v>
      </c>
      <c r="L106" s="3">
        <v>0</v>
      </c>
      <c r="M106" s="3">
        <v>0</v>
      </c>
      <c r="P106" s="3" t="s">
        <v>462</v>
      </c>
      <c r="Q106" s="16" t="s">
        <v>463</v>
      </c>
      <c r="R106" s="3" t="s">
        <v>93</v>
      </c>
      <c r="S106" s="16" t="s">
        <v>464</v>
      </c>
      <c r="U106" s="3" t="s">
        <v>465</v>
      </c>
      <c r="V106" s="3" t="s">
        <v>93</v>
      </c>
      <c r="W106" s="57" t="s">
        <v>2909</v>
      </c>
      <c r="X106" t="str">
        <f>DataItems3[[#This Row],[Collection]]&amp;DataItems3[[#This Row],[Field]]&amp;DataItems3[[#This Row],[Options for supplying the Field]]&amp;DataItems3[[#This Row],[Fieldname]]&amp;DataItems3[[#This Row],[Parent]]</f>
        <v>Graduate OutcomesCensus[CENSUS]CENSUSProvider:</v>
      </c>
      <c r="Y106" s="15">
        <v>43550</v>
      </c>
      <c r="Z106" t="s">
        <v>159</v>
      </c>
      <c r="AA106" s="28" t="str">
        <f t="shared" si="7"/>
        <v>CASE WHEN ISNULL(g.ZRESPSTATUS, '02')='02' OR ISNULL(g.XACTIVITY, '99')='99' THEN 'Not in GO publication population' else g.CENSUS end</v>
      </c>
      <c r="AB106" s="28" t="str">
        <f t="shared" si="13"/>
        <v>CASE WHEN ISNULL(g.ZRESPSTATUS, '02')='02' OR ISNULL(g.XACTIVITY, '99')='99' THEN 'Not in GO publication population' else CENSUS.label end</v>
      </c>
      <c r="AC106" s="28" t="str">
        <f t="shared" si="15"/>
        <v/>
      </c>
      <c r="AD106" s="28" t="str">
        <f t="shared" si="14"/>
        <v/>
      </c>
      <c r="AE106" t="str">
        <f t="shared" si="16"/>
        <v>[Census]</v>
      </c>
    </row>
    <row r="107" spans="1:32" ht="16" x14ac:dyDescent="0.2">
      <c r="A107">
        <v>100090</v>
      </c>
      <c r="B107" s="11" t="str">
        <f>DataItems3[[#This Row],[Field]]&amp;IF(DataItems3[[#This Row],[Options for supplying the Field]]="",""," "&amp;DataItems3[[#This Row],[Options for supplying the Field]])</f>
        <v>Class of first degree</v>
      </c>
      <c r="C107">
        <v>100090</v>
      </c>
      <c r="D107" s="3" t="s">
        <v>86</v>
      </c>
      <c r="E107" s="3" t="s">
        <v>106</v>
      </c>
      <c r="F107" s="3" t="s">
        <v>466</v>
      </c>
      <c r="G107" s="13"/>
      <c r="H107" s="14" t="s">
        <v>467</v>
      </c>
      <c r="J107" s="3">
        <v>2</v>
      </c>
      <c r="K107" s="3">
        <v>2</v>
      </c>
      <c r="L107" s="3">
        <v>0</v>
      </c>
      <c r="M107" s="3">
        <v>0</v>
      </c>
      <c r="N107" s="3" t="s">
        <v>106</v>
      </c>
      <c r="Q107" s="16" t="s">
        <v>468</v>
      </c>
      <c r="R107" s="16" t="s">
        <v>468</v>
      </c>
      <c r="S107" s="16" t="s">
        <v>469</v>
      </c>
      <c r="T107" s="16" t="s">
        <v>469</v>
      </c>
      <c r="U107" s="3" t="s">
        <v>470</v>
      </c>
      <c r="V107" s="3" t="s">
        <v>93</v>
      </c>
      <c r="W107" s="57" t="s">
        <v>145</v>
      </c>
      <c r="X107" t="str">
        <f>DataItems3[[#This Row],[Collection]]&amp;DataItems3[[#This Row],[Field]]&amp;DataItems3[[#This Row],[Options for supplying the Field]]&amp;DataItems3[[#This Row],[Fieldname]]&amp;DataItems3[[#This Row],[Parent]]</f>
        <v>StudentClass of first degreeF_XCLASS01</v>
      </c>
      <c r="Y107" s="15">
        <v>43221</v>
      </c>
      <c r="Z107" t="s">
        <v>102</v>
      </c>
      <c r="AA107" s="28" t="str">
        <f t="shared" si="7"/>
        <v>CASE WHEN s.F_XQLEV501 = '3' AND s.F_XPQUAL01 = '1' THEN s.F_XCLASS01  ELSE 'N/A'   END</v>
      </c>
      <c r="AB107" s="28" t="str">
        <f t="shared" si="13"/>
        <v>CASE WHEN s.F_XQLEV501 = '3' AND s.F_XPQUAL01 = '1' THEN  xclass01.DW_CurrentLabel ELSE 'Not applicable' END</v>
      </c>
      <c r="AC107" s="28" t="str">
        <f t="shared" si="15"/>
        <v>CASE WHEN s.F_XQLEV501 = '3' AND s.F_XPQUAL01 = '1' THEN s.F_XCLASS01  ELSE 'N/A'   END</v>
      </c>
      <c r="AD107" s="28" t="str">
        <f t="shared" si="14"/>
        <v>CASE WHEN s.F_XQLEV501 = '3' AND s.F_XPQUAL01 = '1' THEN  xclass01.DW_CurrentLabel ELSE 'Not applicable' END</v>
      </c>
      <c r="AE107" t="str">
        <f t="shared" si="16"/>
        <v>[Class of first degree]</v>
      </c>
      <c r="AF107">
        <v>100964</v>
      </c>
    </row>
    <row r="108" spans="1:32" ht="16" x14ac:dyDescent="0.2">
      <c r="A108">
        <v>100964</v>
      </c>
      <c r="B108" s="29" t="str">
        <f>DataItems3[[#This Row],[Field]]&amp;IF(DataItems3[[#This Row],[Options for supplying the Field]]="",""," "&amp;DataItems3[[#This Row],[Options for supplying the Field]])</f>
        <v>Class of degree (DF)</v>
      </c>
      <c r="C108">
        <v>100964</v>
      </c>
      <c r="D108" s="3" t="s">
        <v>2992</v>
      </c>
      <c r="F108" s="3" t="s">
        <v>2993</v>
      </c>
      <c r="G108" s="3" t="s">
        <v>2994</v>
      </c>
      <c r="H108" s="13" t="s">
        <v>2995</v>
      </c>
      <c r="I108" s="13"/>
      <c r="J108" s="13"/>
      <c r="Q108" s="3" t="s">
        <v>2996</v>
      </c>
      <c r="R108" s="16"/>
      <c r="S108" s="3" t="s">
        <v>2996</v>
      </c>
      <c r="T108" s="16"/>
      <c r="W108" s="59" t="s">
        <v>482</v>
      </c>
      <c r="X108" t="str">
        <f>DataItems3[[#This Row],[Collection]]&amp;DataItems3[[#This Row],[Field]]&amp;DataItems3[[#This Row],[Options for supplying the Field]]&amp;DataItems3[[#This Row],[Fieldname]]&amp;DataItems3[[#This Row],[Parent]]</f>
        <v>Data FuturesClass of degree(DF)Z_QCLASSGRP1_CYC</v>
      </c>
      <c r="Y108" s="15">
        <v>45053</v>
      </c>
      <c r="Z108" t="s">
        <v>2997</v>
      </c>
      <c r="AA108" s="28" t="str">
        <f t="shared" si="7"/>
        <v>df.Z_QCLASSGRP1_CYC</v>
      </c>
      <c r="AB108" s="28" t="str">
        <f>IF(S108="","",IF(IFERROR(SEARCH("select",S108)&gt;0,0),IF(W108="",IF(MID(S108,SEARCH(H108,S108)-4,1)=" ",MID(S108,SEARCH(H108,S108)-2,LEN(#REF!)+2),MID(S108,SEARCH(H108,S108)-3,LEN(H108)+3)),W108&amp;"."&amp;H108),S108))</f>
        <v>df.Z_QCLASSGRP1_CYC</v>
      </c>
      <c r="AC108" s="28" t="str">
        <f>IF(R108="","",R108)</f>
        <v/>
      </c>
      <c r="AD108" s="28" t="str">
        <f>IF(T108="","",IF(IFERROR(SEARCH("select",T108)&gt;0,0),IF(U108="",IF(MID(T108,SEARCH(H108,T108)-4,1)=" ",MID(T108,SEARCH(H108,T108)-2,LEN(#REF!)+2),MID(T108,SEARCH(H108,T108)-3,LEN(H108)+3)),U108&amp;"."&amp;H108),T108))</f>
        <v/>
      </c>
      <c r="AE108" t="str">
        <f t="shared" si="16"/>
        <v>[Class of degree]</v>
      </c>
    </row>
    <row r="109" spans="1:32" ht="16" x14ac:dyDescent="0.2">
      <c r="A109">
        <v>100091</v>
      </c>
      <c r="B109" s="11" t="str">
        <f>DataItems3[[#This Row],[Field]]&amp;IF(DataItems3[[#This Row],[Options for supplying the Field]]="",""," "&amp;DataItems3[[#This Row],[Options for supplying the Field]])</f>
        <v>Clinical status</v>
      </c>
      <c r="C109">
        <v>100091</v>
      </c>
      <c r="D109" s="3" t="s">
        <v>100</v>
      </c>
      <c r="F109" s="3" t="s">
        <v>471</v>
      </c>
      <c r="G109" s="13"/>
      <c r="H109" s="14" t="s">
        <v>472</v>
      </c>
      <c r="J109" s="3">
        <v>1</v>
      </c>
      <c r="K109" s="3">
        <v>2</v>
      </c>
      <c r="L109" s="3">
        <v>4</v>
      </c>
      <c r="M109" s="3">
        <v>0</v>
      </c>
      <c r="N109" s="3" t="s">
        <v>89</v>
      </c>
      <c r="Q109" s="16" t="s">
        <v>473</v>
      </c>
      <c r="R109" s="3" t="s">
        <v>93</v>
      </c>
      <c r="S109" s="16" t="s">
        <v>474</v>
      </c>
      <c r="U109" s="3" t="s">
        <v>93</v>
      </c>
      <c r="V109" s="3" t="s">
        <v>93</v>
      </c>
      <c r="W109" s="57" t="s">
        <v>150</v>
      </c>
      <c r="X109" t="str">
        <f>DataItems3[[#This Row],[Collection]]&amp;DataItems3[[#This Row],[Field]]&amp;DataItems3[[#This Row],[Options for supplying the Field]]&amp;DataItems3[[#This Row],[Fieldname]]&amp;DataItems3[[#This Row],[Parent]]</f>
        <v xml:space="preserve">StaffClinical statusF_CLINICAL </v>
      </c>
      <c r="Y109" s="15">
        <v>43395</v>
      </c>
      <c r="Z109" t="s">
        <v>102</v>
      </c>
      <c r="AA109" s="28" t="str">
        <f t="shared" si="7"/>
        <v>CAST(C.F_CLINICAL AS VARCHAR(2))</v>
      </c>
      <c r="AB109" s="28" t="str">
        <f t="shared" ref="AB109:AB127" si="17">IF(S109="","",IF(IFERROR(SEARCH("select",S109)&gt;0,0),IF(U109="",IF(MID(S109,SEARCH(H109,S109)-4,1)=" ",MID(S109,SEARCH(H109,S109)-2,LEN(O118)+2),MID(S109,SEARCH(H109,S109)-3,LEN(H109)+3)),U109&amp;"."&amp;H109),S109))</f>
        <v xml:space="preserve"> c.f_clinical </v>
      </c>
      <c r="AC109" s="28" t="str">
        <f>IF(R109="","",R109)</f>
        <v/>
      </c>
      <c r="AD109" s="28" t="str">
        <f>IF(T109="","",IF(IFERROR(SEARCH("select",T109)&gt;0,0),IF(U109="",IF(MID(T109,SEARCH(H109,T109)-4,1)=" ",MID(T109,SEARCH(H109,T109)-2,LEN(O118)+2),MID(T109,SEARCH(H109,T109)-3,LEN(H109)+3)),U109&amp;"."&amp;H109),T109))</f>
        <v/>
      </c>
      <c r="AE109" t="str">
        <f t="shared" si="16"/>
        <v>[Clinical status]</v>
      </c>
    </row>
    <row r="110" spans="1:32" ht="16" x14ac:dyDescent="0.2">
      <c r="A110">
        <v>100092</v>
      </c>
      <c r="B110" s="11" t="str">
        <f>DataItems3[[#This Row],[Field]]&amp;IF(DataItems3[[#This Row],[Options for supplying the Field]]="",""," "&amp;DataItems3[[#This Row],[Options for supplying the Field]])</f>
        <v>Closed course (only applicable for students in England)</v>
      </c>
      <c r="C110">
        <v>100092</v>
      </c>
      <c r="D110" s="3" t="s">
        <v>86</v>
      </c>
      <c r="F110" s="3" t="s">
        <v>475</v>
      </c>
      <c r="G110" s="13"/>
      <c r="H110" s="14" t="s">
        <v>476</v>
      </c>
      <c r="J110" s="3">
        <v>2</v>
      </c>
      <c r="K110" s="17">
        <v>1</v>
      </c>
      <c r="L110" s="3">
        <v>0</v>
      </c>
      <c r="M110" s="3">
        <v>0</v>
      </c>
      <c r="N110" s="3" t="s">
        <v>89</v>
      </c>
      <c r="P110" s="17"/>
      <c r="Q110" s="16" t="s">
        <v>2998</v>
      </c>
      <c r="R110" s="3" t="s">
        <v>91</v>
      </c>
      <c r="S110" s="16" t="s">
        <v>477</v>
      </c>
      <c r="U110" s="3" t="s">
        <v>478</v>
      </c>
      <c r="V110" s="3" t="s">
        <v>93</v>
      </c>
      <c r="W110" s="57" t="s">
        <v>150</v>
      </c>
      <c r="X110" t="str">
        <f>DataItems3[[#This Row],[Collection]]&amp;DataItems3[[#This Row],[Field]]&amp;DataItems3[[#This Row],[Options for supplying the Field]]&amp;DataItems3[[#This Row],[Fieldname]]&amp;DataItems3[[#This Row],[Parent]]</f>
        <v>StudentClosed course (only applicable for students in England)F_CLSDCRS</v>
      </c>
      <c r="Y110" s="15">
        <v>43438</v>
      </c>
      <c r="Z110" t="s">
        <v>95</v>
      </c>
      <c r="AA110" s="28" t="str">
        <f t="shared" si="7"/>
        <v>CASE WHEN c.F_CLSDCRS in (' ','', -1) or c.F_CLSDCRS is null THEN 'UNK' ELSE c.F_CLSDCRS</v>
      </c>
      <c r="AB110" s="28" t="str">
        <f t="shared" si="17"/>
        <v>c.F_CLSDCRS</v>
      </c>
      <c r="AC110" s="28" t="str">
        <f>IF(R110="","",R110)</f>
        <v xml:space="preserve"> </v>
      </c>
      <c r="AD110" s="28" t="str">
        <f>IF(T110="","",IF(IFERROR(SEARCH("select",T110)&gt;0,0),IF(U110="",IF(MID(T110,SEARCH(H110,T110)-4,1)=" ",MID(T110,SEARCH(H110,T110)-2,LEN(O119)+2),MID(T110,SEARCH(H110,T110)-3,LEN(H110)+3)),U110&amp;"."&amp;H110),T110))</f>
        <v/>
      </c>
      <c r="AE110" t="str">
        <f t="shared" si="16"/>
        <v>[Closed course (only applicable for students in England)]</v>
      </c>
    </row>
    <row r="111" spans="1:32" ht="16" x14ac:dyDescent="0.2">
      <c r="A111">
        <v>100093</v>
      </c>
      <c r="B111" s="11" t="str">
        <f>DataItems3[[#This Row],[Field]]&amp;IF(DataItems3[[#This Row],[Options for supplying the Field]]="",""," "&amp;DataItems3[[#This Row],[Options for supplying the Field]])</f>
        <v>Collaborating organisation (English HEPs only)</v>
      </c>
      <c r="C111">
        <v>100093</v>
      </c>
      <c r="D111" s="3" t="s">
        <v>86</v>
      </c>
      <c r="E111" s="3" t="s">
        <v>89</v>
      </c>
      <c r="F111" s="3" t="s">
        <v>479</v>
      </c>
      <c r="G111" s="13"/>
      <c r="H111" s="14" t="s">
        <v>480</v>
      </c>
      <c r="J111" s="3">
        <v>3</v>
      </c>
      <c r="K111" s="17">
        <v>2</v>
      </c>
      <c r="L111" s="3">
        <v>2</v>
      </c>
      <c r="M111" s="3">
        <v>0</v>
      </c>
      <c r="N111" s="3" t="s">
        <v>89</v>
      </c>
      <c r="P111" s="17"/>
      <c r="Q111" s="16" t="s">
        <v>2999</v>
      </c>
      <c r="R111" s="14" t="s">
        <v>3000</v>
      </c>
      <c r="S111" s="16" t="s">
        <v>481</v>
      </c>
      <c r="T111" s="14" t="s">
        <v>3000</v>
      </c>
      <c r="U111" s="3" t="s">
        <v>93</v>
      </c>
      <c r="V111" s="3" t="s">
        <v>93</v>
      </c>
      <c r="W111" s="57" t="s">
        <v>482</v>
      </c>
      <c r="X111" t="str">
        <f>DataItems3[[#This Row],[Collection]]&amp;DataItems3[[#This Row],[Field]]&amp;DataItems3[[#This Row],[Options for supplying the Field]]&amp;DataItems3[[#This Row],[Fieldname]]&amp;DataItems3[[#This Row],[Parent]]</f>
        <v>StudentCollaborating organisation (English HEPs only)F_COLLORG</v>
      </c>
      <c r="Y111" s="15">
        <v>43438</v>
      </c>
      <c r="Z111" t="s">
        <v>95</v>
      </c>
      <c r="AA111" s="28" t="str">
        <f t="shared" si="7"/>
        <v>CASE WHEN c.F_COLLORG IN ( ' ', '', -1 ) OR c.F_COLLORG IS NULL THEN 'UNK' ELSE c.F_COLLORG</v>
      </c>
      <c r="AB111" s="28" t="str">
        <f t="shared" si="17"/>
        <v xml:space="preserve"> c.F_COLLORG</v>
      </c>
      <c r="AC111" s="28"/>
      <c r="AD111" s="28"/>
      <c r="AE111" t="str">
        <f t="shared" si="16"/>
        <v>[Collaborating organisation (English HEPs only)]</v>
      </c>
    </row>
    <row r="112" spans="1:32" ht="32" x14ac:dyDescent="0.2">
      <c r="A112">
        <v>100094</v>
      </c>
      <c r="B112" s="11" t="str">
        <f>DataItems3[[#This Row],[Field]]&amp;IF(DataItems3[[#This Row],[Options for supplying the Field]]="",""," "&amp;DataItems3[[#This Row],[Options for supplying the Field]])</f>
        <v>Collaborating with others in different subject [COLLSUBDIFF] -opt in question</v>
      </c>
      <c r="C112">
        <v>100094</v>
      </c>
      <c r="D112" s="3" t="s">
        <v>151</v>
      </c>
      <c r="F112" s="3" t="s">
        <v>483</v>
      </c>
      <c r="G112" s="13" t="s">
        <v>484</v>
      </c>
      <c r="I112" s="3" t="s">
        <v>2991</v>
      </c>
      <c r="J112" s="3">
        <v>1</v>
      </c>
      <c r="K112" s="3">
        <v>2</v>
      </c>
      <c r="L112" s="3">
        <v>0</v>
      </c>
      <c r="M112" s="3">
        <v>0</v>
      </c>
      <c r="P112" s="3" t="s">
        <v>448</v>
      </c>
      <c r="R112" s="3" t="s">
        <v>93</v>
      </c>
      <c r="V112" s="3" t="s">
        <v>93</v>
      </c>
      <c r="W112" s="57" t="s">
        <v>2926</v>
      </c>
      <c r="X112" t="str">
        <f>DataItems3[[#This Row],[Collection]]&amp;DataItems3[[#This Row],[Field]]&amp;DataItems3[[#This Row],[Options for supplying the Field]]&amp;DataItems3[[#This Row],[Fieldname]]&amp;DataItems3[[#This Row],[Parent]]</f>
        <v>Graduate OutcomesCollaborating with others in different subject[COLLSUBDIFF] -opt in questionProvider &gt; Graduate &gt; Opt in questions:</v>
      </c>
      <c r="Y112" s="15">
        <v>43550</v>
      </c>
      <c r="Z112" t="s">
        <v>159</v>
      </c>
      <c r="AA112" s="28" t="str">
        <f t="shared" si="7"/>
        <v/>
      </c>
      <c r="AB112" s="28" t="str">
        <f t="shared" si="17"/>
        <v/>
      </c>
      <c r="AC112" s="28" t="str">
        <f t="shared" ref="AC112:AC130" si="18">IF(R112="","",R112)</f>
        <v/>
      </c>
      <c r="AD112" s="28" t="str">
        <f t="shared" ref="AD112:AD129" si="19">IF(T112="","",IF(IFERROR(SEARCH("select",T112)&gt;0,0),IF(U112="",IF(MID(T112,SEARCH(H112,T112)-4,1)=" ",MID(T112,SEARCH(H112,T112)-2,LEN(O121)+2),MID(T112,SEARCH(H112,T112)-3,LEN(H112)+3)),U112&amp;"."&amp;H112),T112))</f>
        <v/>
      </c>
      <c r="AE112" t="str">
        <f t="shared" si="16"/>
        <v>[Collaborating with others in different subject]</v>
      </c>
    </row>
    <row r="113" spans="1:31" ht="32" x14ac:dyDescent="0.2">
      <c r="A113">
        <v>100096</v>
      </c>
      <c r="B113" s="11" t="str">
        <f>DataItems3[[#This Row],[Field]]&amp;IF(DataItems3[[#This Row],[Options for supplying the Field]]="",""," "&amp;DataItems3[[#This Row],[Options for supplying the Field]])</f>
        <v>Collaborating with others outside HE research [COLLOUT] -opt in question</v>
      </c>
      <c r="C113">
        <v>100096</v>
      </c>
      <c r="D113" s="3" t="s">
        <v>151</v>
      </c>
      <c r="F113" s="3" t="s">
        <v>485</v>
      </c>
      <c r="G113" s="13" t="s">
        <v>486</v>
      </c>
      <c r="I113" s="3" t="s">
        <v>2991</v>
      </c>
      <c r="J113" s="3">
        <v>1</v>
      </c>
      <c r="K113" s="3">
        <v>2</v>
      </c>
      <c r="L113" s="3">
        <v>0</v>
      </c>
      <c r="M113" s="3">
        <v>0</v>
      </c>
      <c r="P113" s="3" t="s">
        <v>448</v>
      </c>
      <c r="R113" s="3" t="s">
        <v>93</v>
      </c>
      <c r="V113" s="3" t="s">
        <v>93</v>
      </c>
      <c r="W113" s="57" t="s">
        <v>2926</v>
      </c>
      <c r="X113" t="str">
        <f>DataItems3[[#This Row],[Collection]]&amp;DataItems3[[#This Row],[Field]]&amp;DataItems3[[#This Row],[Options for supplying the Field]]&amp;DataItems3[[#This Row],[Fieldname]]&amp;DataItems3[[#This Row],[Parent]]</f>
        <v>Graduate OutcomesCollaborating with others outside HE research[COLLOUT] -opt in questionProvider &gt; Graduate &gt; Opt in questions:</v>
      </c>
      <c r="Y113" s="15">
        <v>43550</v>
      </c>
      <c r="Z113" t="s">
        <v>159</v>
      </c>
      <c r="AA113" s="28" t="str">
        <f t="shared" si="7"/>
        <v/>
      </c>
      <c r="AB113" s="28" t="str">
        <f t="shared" si="17"/>
        <v/>
      </c>
      <c r="AC113" s="28" t="str">
        <f t="shared" si="18"/>
        <v/>
      </c>
      <c r="AD113" s="28" t="str">
        <f t="shared" si="19"/>
        <v/>
      </c>
      <c r="AE113" t="str">
        <f t="shared" si="16"/>
        <v>[Collaborating with others outside HE research]</v>
      </c>
    </row>
    <row r="114" spans="1:31" ht="16" x14ac:dyDescent="0.2">
      <c r="A114">
        <v>100097</v>
      </c>
      <c r="B114" s="11" t="str">
        <f>DataItems3[[#This Row],[Field]]&amp;IF(DataItems3[[#This Row],[Options for supplying the Field]]="",""," "&amp;DataItems3[[#This Row],[Options for supplying the Field]])</f>
        <v>Commencement date (YYYY/MM)</v>
      </c>
      <c r="C114">
        <v>100097</v>
      </c>
      <c r="D114" s="3" t="s">
        <v>86</v>
      </c>
      <c r="F114" s="3" t="s">
        <v>487</v>
      </c>
      <c r="G114" s="13" t="s">
        <v>488</v>
      </c>
      <c r="H114" s="14" t="s">
        <v>489</v>
      </c>
      <c r="J114" s="3">
        <v>2</v>
      </c>
      <c r="K114" s="3">
        <v>4</v>
      </c>
      <c r="L114" s="3">
        <v>2</v>
      </c>
      <c r="M114" s="3">
        <v>0</v>
      </c>
      <c r="N114" s="3" t="s">
        <v>89</v>
      </c>
      <c r="Q114" s="16" t="s">
        <v>490</v>
      </c>
      <c r="R114" s="3" t="s">
        <v>91</v>
      </c>
      <c r="S114" s="16" t="s">
        <v>490</v>
      </c>
      <c r="U114" s="3" t="s">
        <v>93</v>
      </c>
      <c r="V114" s="3">
        <v>1</v>
      </c>
      <c r="W114" s="57" t="s">
        <v>94</v>
      </c>
      <c r="X114" t="str">
        <f>DataItems3[[#This Row],[Collection]]&amp;DataItems3[[#This Row],[Field]]&amp;DataItems3[[#This Row],[Options for supplying the Field]]&amp;DataItems3[[#This Row],[Fieldname]]&amp;DataItems3[[#This Row],[Parent]]</f>
        <v>StudentCommencement date(YYYY/MM)F_COMDATE</v>
      </c>
      <c r="Y114" s="15">
        <v>43206</v>
      </c>
      <c r="Z114" t="s">
        <v>102</v>
      </c>
      <c r="AA114" s="28" t="str">
        <f t="shared" si="7"/>
        <v>SUBSTRING(CAST(s.F_COMDATE AS VARCHAR(10)),1,4)+'/'+SUBSTRING(CAST(s.F_COMDATE AS VARCHAR(10)),6,2)</v>
      </c>
      <c r="AB114" s="28" t="str">
        <f t="shared" si="17"/>
        <v>SUBSTRING(CAST(s.F_COMDATE AS VARCHAR(10)),1,4)+'/'+SUBSTRING(CAST(s.F_COMDATE AS VARCHAR(10)),6,2)</v>
      </c>
      <c r="AC114" s="28" t="str">
        <f t="shared" si="18"/>
        <v xml:space="preserve"> </v>
      </c>
      <c r="AD114" s="28" t="str">
        <f t="shared" si="19"/>
        <v/>
      </c>
      <c r="AE114" t="str">
        <f t="shared" si="16"/>
        <v>[Commencement date]</v>
      </c>
    </row>
    <row r="115" spans="1:31" ht="32" x14ac:dyDescent="0.2">
      <c r="A115">
        <v>100098</v>
      </c>
      <c r="B115" s="11" t="str">
        <f>DataItems3[[#This Row],[Field]]&amp;IF(DataItems3[[#This Row],[Options for supplying the Field]]="",""," "&amp;DataItems3[[#This Row],[Options for supplying the Field]])</f>
        <v>Completely different course [COMPDIFF] -opt in question</v>
      </c>
      <c r="C115">
        <v>100098</v>
      </c>
      <c r="D115" s="3" t="s">
        <v>151</v>
      </c>
      <c r="F115" s="3" t="s">
        <v>491</v>
      </c>
      <c r="G115" s="13" t="s">
        <v>492</v>
      </c>
      <c r="I115" s="3" t="s">
        <v>2991</v>
      </c>
      <c r="J115" s="3">
        <v>1</v>
      </c>
      <c r="K115" s="3">
        <v>2</v>
      </c>
      <c r="L115" s="3">
        <v>0</v>
      </c>
      <c r="M115" s="3">
        <v>0</v>
      </c>
      <c r="P115" s="3" t="s">
        <v>448</v>
      </c>
      <c r="R115" s="3" t="s">
        <v>93</v>
      </c>
      <c r="V115" s="3" t="s">
        <v>93</v>
      </c>
      <c r="W115" s="57" t="s">
        <v>2926</v>
      </c>
      <c r="X115" t="str">
        <f>DataItems3[[#This Row],[Collection]]&amp;DataItems3[[#This Row],[Field]]&amp;DataItems3[[#This Row],[Options for supplying the Field]]&amp;DataItems3[[#This Row],[Fieldname]]&amp;DataItems3[[#This Row],[Parent]]</f>
        <v>Graduate OutcomesCompletely different course[COMPDIFF] -opt in questionProvider &gt; Graduate &gt; Opt in questions:</v>
      </c>
      <c r="Y115" s="15">
        <v>43550</v>
      </c>
      <c r="Z115" t="s">
        <v>159</v>
      </c>
      <c r="AA115" s="28" t="str">
        <f t="shared" si="7"/>
        <v/>
      </c>
      <c r="AB115" s="28" t="str">
        <f t="shared" si="17"/>
        <v/>
      </c>
      <c r="AC115" s="28" t="str">
        <f t="shared" si="18"/>
        <v/>
      </c>
      <c r="AD115" s="28" t="str">
        <f t="shared" si="19"/>
        <v/>
      </c>
      <c r="AE115" t="str">
        <f t="shared" si="16"/>
        <v>[Completely different course]</v>
      </c>
    </row>
    <row r="116" spans="1:31" ht="16" x14ac:dyDescent="0.2">
      <c r="A116">
        <v>100799</v>
      </c>
      <c r="B116" s="11" t="str">
        <f>DataItems3[[#This Row],[Field]]&amp;IF(DataItems3[[#This Row],[Options for supplying the Field]]="",""," "&amp;DataItems3[[#This Row],[Options for supplying the Field]])</f>
        <v>Completion of year of instance</v>
      </c>
      <c r="C116">
        <v>100799</v>
      </c>
      <c r="D116" s="3" t="s">
        <v>86</v>
      </c>
      <c r="F116" s="3" t="s">
        <v>493</v>
      </c>
      <c r="G116" s="13"/>
      <c r="H116" s="3" t="s">
        <v>494</v>
      </c>
      <c r="J116" s="3">
        <v>1</v>
      </c>
      <c r="K116" s="3">
        <v>1</v>
      </c>
      <c r="L116" s="3">
        <v>0</v>
      </c>
      <c r="M116" s="3">
        <v>0</v>
      </c>
      <c r="Q116" s="16" t="s">
        <v>495</v>
      </c>
      <c r="S116" s="16" t="s">
        <v>496</v>
      </c>
      <c r="W116" s="57" t="s">
        <v>94</v>
      </c>
      <c r="X116" t="str">
        <f>DataItems3[[#This Row],[Collection]]&amp;DataItems3[[#This Row],[Field]]&amp;DataItems3[[#This Row],[Options for supplying the Field]]&amp;DataItems3[[#This Row],[Fieldname]]&amp;DataItems3[[#This Row],[Parent]]</f>
        <v>StudentCompletion of year of instanceF_FUNDCOMP</v>
      </c>
      <c r="Y116" s="4">
        <v>44284</v>
      </c>
      <c r="Z116" t="s">
        <v>135</v>
      </c>
      <c r="AA116" s="28" t="str">
        <f t="shared" si="7"/>
        <v>CASE WHEN s.F_FUNDCOMP IN ('', ' ') THEN 'Unknown' ELSE ISNULL(s.F_FUNDCOMP, 'Unknown')END</v>
      </c>
      <c r="AB116" s="28" t="str">
        <f t="shared" si="17"/>
        <v xml:space="preserve"> s.f_fundcomp</v>
      </c>
      <c r="AC116" s="28" t="str">
        <f t="shared" si="18"/>
        <v/>
      </c>
      <c r="AD116" s="28" t="str">
        <f t="shared" si="19"/>
        <v/>
      </c>
      <c r="AE116" t="str">
        <f t="shared" si="16"/>
        <v>[Completion of year of instance]</v>
      </c>
    </row>
    <row r="117" spans="1:31" ht="32" x14ac:dyDescent="0.2">
      <c r="A117">
        <v>100099</v>
      </c>
      <c r="B117" s="11" t="str">
        <f>DataItems3[[#This Row],[Field]]&amp;IF(DataItems3[[#This Row],[Options for supplying the Field]]="",""," "&amp;DataItems3[[#This Row],[Options for supplying the Field]])</f>
        <v>Conduct research [CONDRSCH] -opt in question</v>
      </c>
      <c r="C117">
        <v>100099</v>
      </c>
      <c r="D117" s="3" t="s">
        <v>151</v>
      </c>
      <c r="F117" s="3" t="s">
        <v>497</v>
      </c>
      <c r="G117" s="13" t="s">
        <v>498</v>
      </c>
      <c r="I117" s="3" t="s">
        <v>2991</v>
      </c>
      <c r="J117" s="3">
        <v>1</v>
      </c>
      <c r="K117" s="3">
        <v>2</v>
      </c>
      <c r="L117" s="3">
        <v>0</v>
      </c>
      <c r="M117" s="3">
        <v>0</v>
      </c>
      <c r="P117" s="3" t="s">
        <v>448</v>
      </c>
      <c r="R117" s="3" t="s">
        <v>93</v>
      </c>
      <c r="V117" s="3" t="s">
        <v>93</v>
      </c>
      <c r="W117" s="57" t="s">
        <v>2926</v>
      </c>
      <c r="X117" t="str">
        <f>DataItems3[[#This Row],[Collection]]&amp;DataItems3[[#This Row],[Field]]&amp;DataItems3[[#This Row],[Options for supplying the Field]]&amp;DataItems3[[#This Row],[Fieldname]]&amp;DataItems3[[#This Row],[Parent]]</f>
        <v>Graduate OutcomesConduct research[CONDRSCH] -opt in questionProvider &gt; Graduate &gt; Opt in questions:</v>
      </c>
      <c r="Y117" s="15">
        <v>43550</v>
      </c>
      <c r="Z117" t="s">
        <v>159</v>
      </c>
      <c r="AA117" s="28" t="str">
        <f t="shared" si="7"/>
        <v/>
      </c>
      <c r="AB117" s="28" t="str">
        <f t="shared" si="17"/>
        <v/>
      </c>
      <c r="AC117" s="28" t="str">
        <f t="shared" si="18"/>
        <v/>
      </c>
      <c r="AD117" s="28" t="str">
        <f t="shared" si="19"/>
        <v/>
      </c>
      <c r="AE117" t="str">
        <f t="shared" si="16"/>
        <v>[Conduct research]</v>
      </c>
    </row>
    <row r="118" spans="1:31" ht="32" x14ac:dyDescent="0.2">
      <c r="A118">
        <v>100100</v>
      </c>
      <c r="B118" s="11" t="str">
        <f>DataItems3[[#This Row],[Field]]&amp;IF(DataItems3[[#This Row],[Options for supplying the Field]]="",""," "&amp;DataItems3[[#This Row],[Options for supplying the Field]])</f>
        <v>Contains the key for the business employment activity to enable linking to the raw SIC / SOC derived data. [ZBUSSICSOCKEY]</v>
      </c>
      <c r="C118">
        <v>100100</v>
      </c>
      <c r="D118" s="3" t="s">
        <v>151</v>
      </c>
      <c r="F118" s="3" t="s">
        <v>499</v>
      </c>
      <c r="G118" s="13" t="s">
        <v>500</v>
      </c>
      <c r="H118" s="3" t="s">
        <v>501</v>
      </c>
      <c r="J118" s="3">
        <v>1</v>
      </c>
      <c r="K118" s="3">
        <v>1</v>
      </c>
      <c r="L118" s="3">
        <v>0</v>
      </c>
      <c r="M118" s="3">
        <v>0</v>
      </c>
      <c r="P118" s="3" t="s">
        <v>502</v>
      </c>
      <c r="Q118" s="16" t="s">
        <v>503</v>
      </c>
      <c r="R118" s="3" t="s">
        <v>93</v>
      </c>
      <c r="S118" s="16" t="s">
        <v>503</v>
      </c>
      <c r="U118" s="3" t="s">
        <v>93</v>
      </c>
      <c r="V118" s="3" t="s">
        <v>93</v>
      </c>
      <c r="W118" s="57" t="s">
        <v>2909</v>
      </c>
      <c r="X118" t="str">
        <f>DataItems3[[#This Row],[Collection]]&amp;DataItems3[[#This Row],[Field]]&amp;DataItems3[[#This Row],[Options for supplying the Field]]&amp;DataItems3[[#This Row],[Fieldname]]&amp;DataItems3[[#This Row],[Parent]]</f>
        <v>Graduate OutcomesContains the key for the business employment activity to enable linking to the raw SIC / SOC derived data.[ZBUSSICSOCKEY]ZBUSSICSOCKEYProvider &gt; Processing Field</v>
      </c>
      <c r="Y118" s="15">
        <v>43550</v>
      </c>
      <c r="Z118" t="s">
        <v>159</v>
      </c>
      <c r="AA118" s="28" t="str">
        <f t="shared" si="7"/>
        <v>CASE WHEN ISNULL(g.ZRESPSTATUS, '02')='02' OR ISNULL(g.XACTIVITY, '99')='99' THEN 'Not in GO publication population' else ISNULL(g.ZBUSSICSOCKEY,'$$$$$') end</v>
      </c>
      <c r="AB118" s="28" t="str">
        <f t="shared" si="17"/>
        <v>CASE WHEN ISNULL(g.ZRESPSTATUS, '02')='02' OR ISNULL(g.XACTIVITY, '99')='99' THEN 'Not in GO publication population' else ISNULL(g.ZBUSSICSOCKEY,'$$$$$') end</v>
      </c>
      <c r="AC118" s="28" t="str">
        <f t="shared" si="18"/>
        <v/>
      </c>
      <c r="AD118" s="28" t="str">
        <f t="shared" si="19"/>
        <v/>
      </c>
      <c r="AE118" t="str">
        <f t="shared" si="16"/>
        <v>[Contains the key for the business employment activity to enable linking to the raw SIC / SOC derived data.]</v>
      </c>
    </row>
    <row r="119" spans="1:31" ht="32" x14ac:dyDescent="0.2">
      <c r="A119">
        <v>100101</v>
      </c>
      <c r="B119" s="11" t="str">
        <f>DataItems3[[#This Row],[Field]]&amp;IF(DataItems3[[#This Row],[Options for supplying the Field]]="",""," "&amp;DataItems3[[#This Row],[Options for supplying the Field]])</f>
        <v>Contains the key for the employment activity to enable linking to the raw SIC / SOC derived data. [ZEMPSICSOCKEY]</v>
      </c>
      <c r="C119">
        <v>100101</v>
      </c>
      <c r="D119" s="3" t="s">
        <v>151</v>
      </c>
      <c r="F119" s="3" t="s">
        <v>505</v>
      </c>
      <c r="G119" s="13" t="s">
        <v>506</v>
      </c>
      <c r="H119" s="3" t="s">
        <v>507</v>
      </c>
      <c r="J119" s="3">
        <v>1</v>
      </c>
      <c r="K119" s="3">
        <v>1</v>
      </c>
      <c r="L119" s="3">
        <v>0</v>
      </c>
      <c r="M119" s="3">
        <v>0</v>
      </c>
      <c r="P119" s="3" t="s">
        <v>502</v>
      </c>
      <c r="Q119" s="16" t="s">
        <v>508</v>
      </c>
      <c r="R119" s="3" t="s">
        <v>93</v>
      </c>
      <c r="S119" s="16" t="s">
        <v>508</v>
      </c>
      <c r="U119" s="3" t="s">
        <v>93</v>
      </c>
      <c r="V119" s="3" t="s">
        <v>93</v>
      </c>
      <c r="W119" s="57" t="s">
        <v>2909</v>
      </c>
      <c r="X119" t="str">
        <f>DataItems3[[#This Row],[Collection]]&amp;DataItems3[[#This Row],[Field]]&amp;DataItems3[[#This Row],[Options for supplying the Field]]&amp;DataItems3[[#This Row],[Fieldname]]&amp;DataItems3[[#This Row],[Parent]]</f>
        <v>Graduate OutcomesContains the key for the employment activity to enable linking to the raw SIC / SOC derived data.[ZEMPSICSOCKEY]ZEMPSICSOCKEYProvider &gt; Processing Field</v>
      </c>
      <c r="Y119" s="15">
        <v>43550</v>
      </c>
      <c r="Z119" t="s">
        <v>159</v>
      </c>
      <c r="AA119" s="28" t="str">
        <f t="shared" si="7"/>
        <v>CASE WHEN ISNULL(g.ZRESPSTATUS, '02')='02' OR ISNULL(g.XACTIVITY, '99')='99' THEN 'Not in GO publication population' else isnull(g.ZEMPSICSOCKEY,'$$$$$') end</v>
      </c>
      <c r="AB119" s="28" t="str">
        <f t="shared" si="17"/>
        <v>CASE WHEN ISNULL(g.ZRESPSTATUS, '02')='02' OR ISNULL(g.XACTIVITY, '99')='99' THEN 'Not in GO publication population' else isnull(g.ZEMPSICSOCKEY,'$$$$$') end</v>
      </c>
      <c r="AC119" s="28" t="str">
        <f t="shared" si="18"/>
        <v/>
      </c>
      <c r="AD119" s="28" t="str">
        <f t="shared" si="19"/>
        <v/>
      </c>
      <c r="AE119" t="str">
        <f t="shared" si="16"/>
        <v>[Contains the key for the employment activity to enable linking to the raw SIC / SOC derived data.]</v>
      </c>
    </row>
    <row r="120" spans="1:31" ht="48" x14ac:dyDescent="0.2">
      <c r="A120">
        <v>100103</v>
      </c>
      <c r="B120" s="11" t="str">
        <f>DataItems3[[#This Row],[Field]]&amp;IF(DataItems3[[#This Row],[Options for supplying the Field]]="",""," "&amp;DataItems3[[#This Row],[Options for supplying the Field]])</f>
        <v>Continuation status (UNISTATS methodology) - not available for latest year</v>
      </c>
      <c r="C120">
        <v>100103</v>
      </c>
      <c r="D120" s="3" t="s">
        <v>86</v>
      </c>
      <c r="F120" s="3" t="s">
        <v>509</v>
      </c>
      <c r="G120" s="13" t="s">
        <v>510</v>
      </c>
      <c r="H120" s="14" t="s">
        <v>511</v>
      </c>
      <c r="J120" s="3">
        <v>3</v>
      </c>
      <c r="K120" s="3">
        <v>3</v>
      </c>
      <c r="L120" s="3">
        <v>0</v>
      </c>
      <c r="M120" s="3">
        <v>2</v>
      </c>
      <c r="N120" s="3" t="s">
        <v>89</v>
      </c>
      <c r="Q120" s="16" t="s">
        <v>3001</v>
      </c>
      <c r="R120" s="3" t="s">
        <v>91</v>
      </c>
      <c r="S120" s="16" t="s">
        <v>3002</v>
      </c>
      <c r="T120" s="16"/>
      <c r="U120" s="3" t="s">
        <v>92</v>
      </c>
      <c r="V120" s="3" t="s">
        <v>93</v>
      </c>
      <c r="W120" s="57" t="s">
        <v>504</v>
      </c>
      <c r="X120" t="str">
        <f>DataItems3[[#This Row],[Collection]]&amp;DataItems3[[#This Row],[Field]]&amp;DataItems3[[#This Row],[Options for supplying the Field]]&amp;DataItems3[[#This Row],[Fieldname]]&amp;DataItems3[[#This Row],[Parent]]</f>
        <v>StudentContinuation status(UNISTATS methodology) - not available for latest yearF_ZCONT_STAT</v>
      </c>
      <c r="Y120" s="15">
        <v>43434</v>
      </c>
      <c r="Z120" t="s">
        <v>95</v>
      </c>
      <c r="AA120" s="28" t="str">
        <f t="shared" si="7"/>
        <v>CASE WHEN s.DW_FromDate =20210801 THEN 'NA 2021/22'  WHEN s.DW_FromDate in (20070801, 20080801) THEN 'Not available' WHEN d.F_ZCONT_STAT = 'N/A' THEN 'N/A' ELSE cast(d.F_ZCONT_STAT as VARCHAR(1)) END</v>
      </c>
      <c r="AB120" s="28" t="str">
        <f t="shared" si="17"/>
        <v>d.F_ZCONT_STAT</v>
      </c>
      <c r="AC120" s="28" t="str">
        <f t="shared" si="18"/>
        <v xml:space="preserve"> </v>
      </c>
      <c r="AD120" s="28" t="str">
        <f t="shared" si="19"/>
        <v/>
      </c>
      <c r="AE120" t="str">
        <f t="shared" si="16"/>
        <v>[Continuation status]</v>
      </c>
    </row>
    <row r="121" spans="1:31" ht="16" x14ac:dyDescent="0.2">
      <c r="A121">
        <v>100104</v>
      </c>
      <c r="B121" s="11" t="str">
        <f>DataItems3[[#This Row],[Field]]&amp;IF(DataItems3[[#This Row],[Options for supplying the Field]]="",""," "&amp;DataItems3[[#This Row],[Options for supplying the Field]])</f>
        <v>Contract level (Full) - 2012/13 onwards</v>
      </c>
      <c r="C121">
        <v>100104</v>
      </c>
      <c r="D121" s="3" t="s">
        <v>100</v>
      </c>
      <c r="F121" s="3" t="s">
        <v>512</v>
      </c>
      <c r="G121" s="13" t="s">
        <v>513</v>
      </c>
      <c r="H121" s="14" t="s">
        <v>514</v>
      </c>
      <c r="J121" s="3">
        <v>1</v>
      </c>
      <c r="K121" s="3">
        <v>3</v>
      </c>
      <c r="L121" s="3">
        <v>4</v>
      </c>
      <c r="M121" s="3">
        <v>0</v>
      </c>
      <c r="N121" s="3" t="s">
        <v>89</v>
      </c>
      <c r="Q121" s="16" t="s">
        <v>515</v>
      </c>
      <c r="R121" s="3" t="s">
        <v>93</v>
      </c>
      <c r="S121" s="16" t="s">
        <v>516</v>
      </c>
      <c r="U121" s="3" t="s">
        <v>517</v>
      </c>
      <c r="V121" s="3" t="s">
        <v>93</v>
      </c>
      <c r="W121" s="57" t="s">
        <v>2907</v>
      </c>
      <c r="X121" t="str">
        <f>DataItems3[[#This Row],[Collection]]&amp;DataItems3[[#This Row],[Field]]&amp;DataItems3[[#This Row],[Options for supplying the Field]]&amp;DataItems3[[#This Row],[Fieldname]]&amp;DataItems3[[#This Row],[Parent]]</f>
        <v>StaffContract level(Full) - 2012/13 onwardsF_LEVELS</v>
      </c>
      <c r="Y121" s="15">
        <v>43395</v>
      </c>
      <c r="Z121" t="s">
        <v>102</v>
      </c>
      <c r="AA121" s="28" t="str">
        <f t="shared" si="7"/>
        <v>case WHEN cc.DW_FromDate &lt;= 20110801 THEN 'Not applicable (2011/12 and prior)' ELSE ISNULL(C.F_LEVELS,'Unknown') END</v>
      </c>
      <c r="AB121" s="28" t="str">
        <f t="shared" si="17"/>
        <v>case WHEN cc.DW_FromDate &lt;= 20110801 THEN 'Not applicable (2011/12 and prior)' ELSE LEVELS2.dw_currentlabel end</v>
      </c>
      <c r="AC121" s="28" t="str">
        <f t="shared" si="18"/>
        <v/>
      </c>
      <c r="AD121" s="28" t="str">
        <f t="shared" si="19"/>
        <v/>
      </c>
      <c r="AE121" t="str">
        <f t="shared" si="16"/>
        <v>[Contract level]</v>
      </c>
    </row>
    <row r="122" spans="1:31" ht="32" x14ac:dyDescent="0.2">
      <c r="A122">
        <v>100105</v>
      </c>
      <c r="B122" s="11" t="str">
        <f>DataItems3[[#This Row],[Field]]&amp;IF(DataItems3[[#This Row],[Options for supplying the Field]]="",""," "&amp;DataItems3[[#This Row],[Options for supplying the Field]])</f>
        <v>Contract level (Grouped) - 2012/13 onwards</v>
      </c>
      <c r="C122">
        <v>100105</v>
      </c>
      <c r="D122" s="3" t="s">
        <v>100</v>
      </c>
      <c r="F122" s="3" t="s">
        <v>512</v>
      </c>
      <c r="G122" s="13" t="s">
        <v>518</v>
      </c>
      <c r="H122" s="14" t="s">
        <v>514</v>
      </c>
      <c r="J122" s="3">
        <v>3</v>
      </c>
      <c r="K122" s="3">
        <v>3</v>
      </c>
      <c r="L122" s="3">
        <v>0</v>
      </c>
      <c r="M122" s="3">
        <v>0</v>
      </c>
      <c r="N122" s="3" t="s">
        <v>519</v>
      </c>
      <c r="Q122" s="16" t="s">
        <v>520</v>
      </c>
      <c r="R122" s="3" t="s">
        <v>93</v>
      </c>
      <c r="S122" s="16" t="s">
        <v>521</v>
      </c>
      <c r="U122" s="3" t="s">
        <v>522</v>
      </c>
      <c r="V122" s="3" t="s">
        <v>93</v>
      </c>
      <c r="W122" s="57" t="s">
        <v>523</v>
      </c>
      <c r="X122" t="str">
        <f>DataItems3[[#This Row],[Collection]]&amp;DataItems3[[#This Row],[Field]]&amp;DataItems3[[#This Row],[Options for supplying the Field]]&amp;DataItems3[[#This Row],[Fieldname]]&amp;DataItems3[[#This Row],[Parent]]</f>
        <v>StaffContract level(Grouped) - 2012/13 onwardsF_LEVELS</v>
      </c>
      <c r="Y122" s="15">
        <v>43395</v>
      </c>
      <c r="Z122" t="s">
        <v>102</v>
      </c>
      <c r="AA122" s="28" t="str">
        <f t="shared" si="7"/>
        <v xml:space="preserve">CASE WHEN cc.DW_FromDate &lt;= 20110801 THEN 'Not applicable (2011/12 and prior)' WHEN c.f_levels IN ('A0','B1','B0','B2','C1','C2') THEN 'A0 to C2 Senior management' WHEN c.f_levels IN ('D1','D2','D3','E1','E2') THEN 'D &amp; E Head of schools/Senior function head' ELSE c.F_LEVELS END </v>
      </c>
      <c r="AB122" s="28" t="str">
        <f t="shared" si="17"/>
        <v>case WHEN cc.DW_FromDate &lt;= 20110801 THEN 'Not applicable (2011/12 and prior)' ELSE LEVELS.dw_currentlabel end</v>
      </c>
      <c r="AC122" s="28" t="str">
        <f t="shared" si="18"/>
        <v/>
      </c>
      <c r="AD122" s="28" t="str">
        <f t="shared" si="19"/>
        <v/>
      </c>
      <c r="AE122" t="str">
        <f t="shared" si="16"/>
        <v>[Contract level]</v>
      </c>
    </row>
    <row r="123" spans="1:31" ht="48" x14ac:dyDescent="0.2">
      <c r="A123">
        <v>100106</v>
      </c>
      <c r="B123" s="11" t="str">
        <f>DataItems3[[#This Row],[Field]]&amp;IF(DataItems3[[#This Row],[Options for supplying the Field]]="",""," "&amp;DataItems3[[#This Row],[Options for supplying the Field]])</f>
        <v>Contract start (Contracted to start a job in the next month) [CONSTART01]</v>
      </c>
      <c r="C123">
        <v>100106</v>
      </c>
      <c r="D123" s="3" t="s">
        <v>151</v>
      </c>
      <c r="F123" s="3" t="s">
        <v>524</v>
      </c>
      <c r="G123" s="13" t="s">
        <v>525</v>
      </c>
      <c r="H123" s="3" t="s">
        <v>526</v>
      </c>
      <c r="J123" s="3">
        <v>1</v>
      </c>
      <c r="K123" s="3">
        <v>2</v>
      </c>
      <c r="L123" s="3">
        <v>2</v>
      </c>
      <c r="M123" s="3">
        <v>0</v>
      </c>
      <c r="P123" s="3" t="s">
        <v>155</v>
      </c>
      <c r="Q123" s="16" t="s">
        <v>3003</v>
      </c>
      <c r="R123" s="3" t="s">
        <v>93</v>
      </c>
      <c r="S123" s="16" t="s">
        <v>3004</v>
      </c>
      <c r="U123" s="3" t="s">
        <v>527</v>
      </c>
      <c r="V123" s="3" t="s">
        <v>93</v>
      </c>
      <c r="W123" s="57" t="s">
        <v>2909</v>
      </c>
      <c r="X123" t="str">
        <f>DataItems3[[#This Row],[Collection]]&amp;DataItems3[[#This Row],[Field]]&amp;DataItems3[[#This Row],[Options for supplying the Field]]&amp;DataItems3[[#This Row],[Fieldname]]&amp;DataItems3[[#This Row],[Parent]]</f>
        <v>Graduate OutcomesContract start(Contracted to start a job in the next month) [CONSTART01]CONSTART01Provider &gt; Graduate:</v>
      </c>
      <c r="Y123" s="15">
        <v>43550</v>
      </c>
      <c r="Z123" t="s">
        <v>159</v>
      </c>
      <c r="AA123" s="28" t="str">
        <f t="shared" si="7"/>
        <v>CASE WHEN ISNULL(g.ZRESPSTATUS, '02')='02' OR ISNULL(g.XACTIVITY, '99')='99' THEN 'Not in GO publication population' WHEN g.dw_fromdate=20200801 THEN 'Not applicable 2020/21 onwards' else IIF(isnull(g.CONSTART01,'')='','N/A',g.CONSTART01) end</v>
      </c>
      <c r="AB123" s="28" t="str">
        <f t="shared" si="17"/>
        <v>CASE WHEN ISNULL(g.ZRESPSTATUS, '02')='02' OR ISNULL(g.XACTIVITY, '99')='99' THEN 'Not in GO publication population' WHEN g.dw_fromdate=20200801 THEN 'Not applicable 2020/21 onwards' else IIF(isnull(g.CONSTART01,'')='','N/A',CONSTART01.label) end</v>
      </c>
      <c r="AC123" s="28" t="str">
        <f t="shared" si="18"/>
        <v/>
      </c>
      <c r="AD123" s="28" t="str">
        <f t="shared" si="19"/>
        <v/>
      </c>
      <c r="AE123" t="s">
        <v>3005</v>
      </c>
    </row>
    <row r="124" spans="1:31" ht="48" x14ac:dyDescent="0.2">
      <c r="A124">
        <v>100107</v>
      </c>
      <c r="B124" s="11" t="str">
        <f>DataItems3[[#This Row],[Field]]&amp;IF(DataItems3[[#This Row],[Options for supplying the Field]]="",""," "&amp;DataItems3[[#This Row],[Options for supplying the Field]])</f>
        <v>Contract start (Due to start studying in the next month) [CONSTART02]</v>
      </c>
      <c r="C124">
        <v>100107</v>
      </c>
      <c r="D124" s="3" t="s">
        <v>151</v>
      </c>
      <c r="F124" s="3" t="s">
        <v>524</v>
      </c>
      <c r="G124" s="13" t="s">
        <v>528</v>
      </c>
      <c r="H124" s="3" t="s">
        <v>529</v>
      </c>
      <c r="J124" s="3">
        <v>1</v>
      </c>
      <c r="K124" s="3">
        <v>2</v>
      </c>
      <c r="L124" s="3">
        <v>2</v>
      </c>
      <c r="M124" s="3">
        <v>0</v>
      </c>
      <c r="P124" s="3" t="s">
        <v>155</v>
      </c>
      <c r="Q124" s="16" t="s">
        <v>3006</v>
      </c>
      <c r="R124" s="3" t="s">
        <v>93</v>
      </c>
      <c r="S124" s="16" t="s">
        <v>3007</v>
      </c>
      <c r="U124" s="3" t="s">
        <v>530</v>
      </c>
      <c r="V124" s="3" t="s">
        <v>93</v>
      </c>
      <c r="W124" s="57" t="s">
        <v>2909</v>
      </c>
      <c r="X124" t="str">
        <f>DataItems3[[#This Row],[Collection]]&amp;DataItems3[[#This Row],[Field]]&amp;DataItems3[[#This Row],[Options for supplying the Field]]&amp;DataItems3[[#This Row],[Fieldname]]&amp;DataItems3[[#This Row],[Parent]]</f>
        <v>Graduate OutcomesContract start(Due to start studying in the next month) [CONSTART02]CONSTART02Provider &gt; Graduate:</v>
      </c>
      <c r="Y124" s="15">
        <v>43550</v>
      </c>
      <c r="Z124" t="s">
        <v>159</v>
      </c>
      <c r="AA124" s="28" t="str">
        <f t="shared" si="7"/>
        <v>CASE WHEN ISNULL(g.ZRESPSTATUS, '02')='02' OR ISNULL(g.XACTIVITY, '99')='99' THEN 'Not in GO publication population' WHEN g.dw_fromdate=20200801 THEN 'Not applicable 2020/21 onwards' else IIF(isnull(g.CONSTART02,'')='','N/A',g.CONSTART02) end</v>
      </c>
      <c r="AB124" s="28" t="str">
        <f t="shared" si="17"/>
        <v>CASE WHEN ISNULL(g.ZRESPSTATUS, '02')='02' OR ISNULL(g.XACTIVITY, '99')='99' THEN 'Not in GO publication population' WHEN g.dw_fromdate=20200801 THEN 'Not applicable 2020/21 onwards' else IIF(isnull(g.CONSTART02,'')='','N/A',CONSTART02.label) end</v>
      </c>
      <c r="AC124" s="28" t="str">
        <f t="shared" si="18"/>
        <v/>
      </c>
      <c r="AD124" s="28" t="str">
        <f t="shared" si="19"/>
        <v/>
      </c>
      <c r="AE124" t="s">
        <v>3008</v>
      </c>
    </row>
    <row r="125" spans="1:31" ht="16" x14ac:dyDescent="0.2">
      <c r="A125">
        <v>100108</v>
      </c>
      <c r="B125" s="11" t="str">
        <f>DataItems3[[#This Row],[Field]]&amp;IF(DataItems3[[#This Row],[Options for supplying the Field]]="",""," "&amp;DataItems3[[#This Row],[Options for supplying the Field]])</f>
        <v>Contract start (No) [CONSTART03]</v>
      </c>
      <c r="C125">
        <v>100108</v>
      </c>
      <c r="D125" s="3" t="s">
        <v>151</v>
      </c>
      <c r="F125" s="3" t="s">
        <v>524</v>
      </c>
      <c r="G125" s="13" t="s">
        <v>531</v>
      </c>
      <c r="H125" s="3" t="s">
        <v>532</v>
      </c>
      <c r="J125" s="3">
        <v>1</v>
      </c>
      <c r="K125" s="3">
        <v>1</v>
      </c>
      <c r="L125" s="3">
        <v>0</v>
      </c>
      <c r="M125" s="3">
        <v>0</v>
      </c>
      <c r="P125" s="3" t="s">
        <v>155</v>
      </c>
      <c r="Q125" s="16" t="s">
        <v>3009</v>
      </c>
      <c r="R125" s="3" t="s">
        <v>93</v>
      </c>
      <c r="S125" s="16" t="s">
        <v>3010</v>
      </c>
      <c r="U125" s="3" t="s">
        <v>533</v>
      </c>
      <c r="V125" s="3" t="s">
        <v>93</v>
      </c>
      <c r="W125" s="57" t="s">
        <v>2909</v>
      </c>
      <c r="X125" t="str">
        <f>DataItems3[[#This Row],[Collection]]&amp;DataItems3[[#This Row],[Field]]&amp;DataItems3[[#This Row],[Options for supplying the Field]]&amp;DataItems3[[#This Row],[Fieldname]]&amp;DataItems3[[#This Row],[Parent]]</f>
        <v>Graduate OutcomesContract start(No) [CONSTART03]CONSTART03Provider &gt; Graduate:</v>
      </c>
      <c r="Y125" s="15">
        <v>43550</v>
      </c>
      <c r="Z125" t="s">
        <v>159</v>
      </c>
      <c r="AA125" s="28" t="str">
        <f t="shared" si="7"/>
        <v>CASE WHEN ISNULL(g.ZRESPSTATUS, '02')='02' OR ISNULL(g.XACTIVITY, '99')='99' THEN 'Not in GO publication population' WHEN g.dw_fromdate=20200801 THEN 'Not applicable 2020/21 onwards' else IIF(isnull(g.CONSTART03,'')='','N/A',g.CONSTART03) end</v>
      </c>
      <c r="AB125" s="28" t="str">
        <f t="shared" si="17"/>
        <v>CASE WHEN ISNULL(g.ZRESPSTATUS, '02')='02' OR ISNULL(g.XACTIVITY, '99')='99' THEN 'Not in GO publication population' WHEN g.dw_fromdate=20200801 THEN 'Not applicable 2020/21 onwards' else IIF(isnull(g.CONSTART03,'')='','N/A',CONSTART03.label) end</v>
      </c>
      <c r="AC125" s="28" t="str">
        <f t="shared" si="18"/>
        <v/>
      </c>
      <c r="AD125" s="28" t="str">
        <f t="shared" si="19"/>
        <v/>
      </c>
      <c r="AE125" t="s">
        <v>3011</v>
      </c>
    </row>
    <row r="126" spans="1:31" ht="16" x14ac:dyDescent="0.2">
      <c r="A126">
        <v>100110</v>
      </c>
      <c r="B126" s="11" t="str">
        <f>DataItems3[[#This Row],[Field]]&amp;IF(DataItems3[[#This Row],[Options for supplying the Field]]="",""," "&amp;DataItems3[[#This Row],[Options for supplying the Field]])</f>
        <v>Cost centre</v>
      </c>
      <c r="C126">
        <v>100110</v>
      </c>
      <c r="D126" s="3" t="s">
        <v>86</v>
      </c>
      <c r="F126" s="3" t="s">
        <v>534</v>
      </c>
      <c r="G126" s="13"/>
      <c r="H126" s="14" t="s">
        <v>535</v>
      </c>
      <c r="I126" s="22" t="s">
        <v>536</v>
      </c>
      <c r="J126" s="3">
        <v>2</v>
      </c>
      <c r="K126" s="3">
        <v>4</v>
      </c>
      <c r="L126" s="3">
        <v>0</v>
      </c>
      <c r="M126" s="3">
        <v>0</v>
      </c>
      <c r="N126" s="3" t="s">
        <v>106</v>
      </c>
      <c r="Q126" s="16" t="s">
        <v>537</v>
      </c>
      <c r="R126" s="3" t="s">
        <v>91</v>
      </c>
      <c r="S126" s="16" t="s">
        <v>538</v>
      </c>
      <c r="U126" s="3" t="s">
        <v>219</v>
      </c>
      <c r="V126" s="3" t="s">
        <v>93</v>
      </c>
      <c r="W126" s="57" t="s">
        <v>145</v>
      </c>
      <c r="X126" t="str">
        <f>DataItems3[[#This Row],[Collection]]&amp;DataItems3[[#This Row],[Field]]&amp;DataItems3[[#This Row],[Options for supplying the Field]]&amp;DataItems3[[#This Row],[Fieldname]]&amp;DataItems3[[#This Row],[Parent]]</f>
        <v>StudentCost centreF_COSTCN</v>
      </c>
      <c r="Y126" s="15">
        <v>43684</v>
      </c>
      <c r="Z126" t="s">
        <v>95</v>
      </c>
      <c r="AA126" s="28" t="str">
        <f t="shared" si="7"/>
        <v>cc.F_COSTCN</v>
      </c>
      <c r="AB126" s="28" t="str">
        <f t="shared" si="17"/>
        <v>cc.F_COSTCN</v>
      </c>
      <c r="AC126" s="28" t="str">
        <f t="shared" si="18"/>
        <v xml:space="preserve"> </v>
      </c>
      <c r="AD126" s="28" t="str">
        <f t="shared" si="19"/>
        <v/>
      </c>
      <c r="AE126" t="str">
        <f t="shared" ref="AE126:AE189" si="20">IF(F126="","","["&amp;SUBSTITUTE(SUBSTITUTE(SUBSTITUTE(F126,"[","{"),"]","}"),"⁽"&amp;CHAR(185)&amp;"⁾","")&amp;"]")</f>
        <v>[Cost centre]</v>
      </c>
    </row>
    <row r="127" spans="1:31" ht="16" x14ac:dyDescent="0.2">
      <c r="A127">
        <v>100109</v>
      </c>
      <c r="B127" s="11" t="str">
        <f>DataItems3[[#This Row],[Field]]&amp;IF(DataItems3[[#This Row],[Options for supplying the Field]]="",""," "&amp;DataItems3[[#This Row],[Options for supplying the Field]])</f>
        <v>Cost centre (Staff)  - 2012/13 onwards</v>
      </c>
      <c r="C127">
        <v>100109</v>
      </c>
      <c r="D127" s="3" t="s">
        <v>100</v>
      </c>
      <c r="F127" s="3" t="s">
        <v>539</v>
      </c>
      <c r="G127" s="13" t="s">
        <v>216</v>
      </c>
      <c r="H127" s="14" t="s">
        <v>540</v>
      </c>
      <c r="J127" s="3">
        <v>2</v>
      </c>
      <c r="K127" s="3">
        <v>4</v>
      </c>
      <c r="L127" s="3">
        <v>0</v>
      </c>
      <c r="M127" s="3">
        <v>0</v>
      </c>
      <c r="N127" s="3" t="s">
        <v>106</v>
      </c>
      <c r="Q127" s="16" t="s">
        <v>541</v>
      </c>
      <c r="R127" s="3" t="s">
        <v>93</v>
      </c>
      <c r="S127" s="16" t="s">
        <v>542</v>
      </c>
      <c r="U127" s="3" t="s">
        <v>543</v>
      </c>
      <c r="V127" s="3" t="s">
        <v>93</v>
      </c>
      <c r="W127" s="57" t="s">
        <v>2907</v>
      </c>
      <c r="X127" t="str">
        <f>DataItems3[[#This Row],[Collection]]&amp;DataItems3[[#This Row],[Field]]&amp;DataItems3[[#This Row],[Options for supplying the Field]]&amp;DataItems3[[#This Row],[Fieldname]]&amp;DataItems3[[#This Row],[Parent]]</f>
        <v>StaffCost centre (Staff) - 2012/13 onwardsF_CCENTRE</v>
      </c>
      <c r="Y127" s="15">
        <v>43395</v>
      </c>
      <c r="Z127" t="s">
        <v>102</v>
      </c>
      <c r="AA127" s="28" t="str">
        <f t="shared" si="7"/>
        <v>CASE WHEN cc.DW_FromDate &gt;= 20120801 THEN CAST(cc.F_CCENTRE AS VARCHAR) ELSE 'Not applicable (2011/12 and prior)' END</v>
      </c>
      <c r="AB127" s="28" t="str">
        <f t="shared" si="17"/>
        <v>CASE WHEN cc.DW_FromDate &gt;= 20120801 THEN CCENTRE.dw_currentlabel ELSE 'Not applicable (2011/12 and prior)' END</v>
      </c>
      <c r="AC127" s="28" t="str">
        <f t="shared" si="18"/>
        <v/>
      </c>
      <c r="AD127" s="28" t="str">
        <f t="shared" si="19"/>
        <v/>
      </c>
      <c r="AE127" t="str">
        <f t="shared" si="20"/>
        <v>[Cost centre (Staff)]</v>
      </c>
    </row>
    <row r="128" spans="1:31" ht="16" x14ac:dyDescent="0.2">
      <c r="A128">
        <v>100896</v>
      </c>
      <c r="B128" s="29" t="str">
        <f>DataItems3[[#This Row],[Field]]&amp;IF(DataItems3[[#This Row],[Options for supplying the Field]]="",""," "&amp;DataItems3[[#This Row],[Options for supplying the Field]])</f>
        <v>Cost centre 2004/05 - 2011/12 only (Staff)</v>
      </c>
      <c r="C128">
        <v>100896</v>
      </c>
      <c r="D128" s="3" t="s">
        <v>100</v>
      </c>
      <c r="F128" s="3" t="s">
        <v>3012</v>
      </c>
      <c r="G128" s="13" t="s">
        <v>327</v>
      </c>
      <c r="H128" s="13" t="s">
        <v>3013</v>
      </c>
      <c r="I128" s="13"/>
      <c r="J128" s="3">
        <v>3</v>
      </c>
      <c r="K128" s="3">
        <v>4</v>
      </c>
      <c r="L128" s="3">
        <v>0</v>
      </c>
      <c r="M128" s="3">
        <v>0</v>
      </c>
      <c r="Q128" s="16" t="s">
        <v>3014</v>
      </c>
      <c r="S128" s="16" t="s">
        <v>3015</v>
      </c>
      <c r="U128" s="3" t="s">
        <v>3013</v>
      </c>
      <c r="W128" s="57" t="s">
        <v>114</v>
      </c>
      <c r="X128" t="str">
        <f>DataItems3[[#This Row],[Collection]]&amp;DataItems3[[#This Row],[Field]]&amp;DataItems3[[#This Row],[Options for supplying the Field]]&amp;DataItems3[[#This Row],[Fieldname]]&amp;DataItems3[[#This Row],[Parent]]</f>
        <v>StaffCost centre 2004/05 - 2011/12 only(Staff)CCENTRE_OLD</v>
      </c>
      <c r="Y128" s="4">
        <v>44853</v>
      </c>
      <c r="Z128" t="s">
        <v>2875</v>
      </c>
      <c r="AA128" s="28" t="str">
        <f t="shared" si="7"/>
        <v>CASE WHEN cc.DW_FromDate BETWEEN 20040801 AND 20110801 AND cc.F_CCENTRE = 1 THEN '01' WHEN cc.DW_FromDate BETWEEN 20040801 AND 20110801 AND cc.F_CCENTRE = 2 THEN '02' WHEN cc.DW_FromDate BETWEEN 20040801 AND 20110801 AND cc.F_CCENTRE = 3 THEN '03' WHEN cc.DW_FromDate BETWEEN 20040801 AND 20110801 AND cc.F_CCENTRE = 4 THEN '04' WHEN cc.DW_FromDate BETWEEN 20040801 AND 20110801 AND cc.F_CCENTRE = 5 THEN '05' WHEN cc.DW_FromDate BETWEEN 20040801 AND 20110801 AND cc.F_CCENTRE = 6 THEN '06' WHEN cc.DW_FromDate BETWEEN 20040801 AND 20110801 AND cc.F_CCENTRE = 7 THEN '07' WHEN cc.DW_FromDate BETWEEN 20040801 AND 20110801 AND cc.F_CCENTRE = 8 THEN '08' WHEN cc.DW_FromDate BETWEEN 20040801 AND 20110801 THEN CAST(cc.F_CCENTRE AS VARCHAR) ELSE 'NA_1213' END</v>
      </c>
      <c r="AB128" s="28" t="str">
        <f>IF(S128="","",IF(IFERROR(SEARCH("select",S128)&gt;0,0),IF(U128="",IF(MID(S128,SEARCH(H128,S128)-4,1)=" ",MID(S128,SEARCH(H128,S128)-2,LEN(O146)+2),MID(S128,SEARCH(H128,S128)-3,LEN(H128)+3)),U128&amp;"."&amp;H128),S128))</f>
        <v>CASE WHEN cc.DW_FromDate BETWEEN 20040801 AND 20110801 AND cc.F_CCENTRE = 1 THEN '(01) Clinical medicine' WHEN cc.DW_FromDate BETWEEN 20040801 AND 20110801 AND cc.F_CCENTRE = 2 THEN '(02) Clinical dentistry' WHEN cc.DW_FromDate BETWEEN 20040801 AND 20110801 AND cc.F_CCENTRE = 3 THEN '(03) Veterinary science'	 WHEN cc.DW_FromDate BETWEEN 20040801 AND 20110801 AND cc.F_CCENTRE = 4 THEN '(04) Anatomy &amp; physiology' WHEN cc.DW_FromDate BETWEEN 20040801 AND 20110801 AND cc.F_CCENTRE = 5 THEN '(05) Nursing &amp; paramedical studies' WHEN cc.DW_FromDate BETWEEN 20040801 AND 20110801 AND cc.F_CCENTRE = 6 THEN '(06) Health &amp; community studies' WHEN cc.DW_FromDate BETWEEN 20040801 AND 20110801 AND cc.F_CCENTRE = 7 THEN '(07) Psychology &amp; behavioural sciences' WHEN cc.DW_FromDate BETWEEN 20040801 AND 20110801 AND cc.F_CCENTRE = 8 THEN '(08) Pharmacy &amp; pharmacology' WHEN cc.DW_FromDate BETWEEN 20040801 AND 20110801 THEN CCENTRE_OLD.DW_CurrentLabel ELSE 'Not applicable (Prior to 2004/05 and 2012/13 onwards)' END</v>
      </c>
      <c r="AC128" s="28" t="str">
        <f t="shared" si="18"/>
        <v/>
      </c>
      <c r="AD128" s="28" t="str">
        <f t="shared" si="19"/>
        <v/>
      </c>
      <c r="AE128" t="str">
        <f t="shared" si="20"/>
        <v>[Cost centre 2004/05 - 2011/12 only]</v>
      </c>
    </row>
    <row r="129" spans="1:31" ht="64" x14ac:dyDescent="0.2">
      <c r="A129">
        <v>100111</v>
      </c>
      <c r="B129" s="11" t="str">
        <f>DataItems3[[#This Row],[Field]]&amp;IF(DataItems3[[#This Row],[Options for supplying the Field]]="",""," "&amp;DataItems3[[#This Row],[Options for supplying the Field]])</f>
        <v>Country of HE provider⁽¹⁾ (London/ England exc. London/ Wales/ Scotland/ Northern Ireland)</v>
      </c>
      <c r="C129">
        <v>100111</v>
      </c>
      <c r="D129" s="3" t="s">
        <v>86</v>
      </c>
      <c r="E129" s="3" t="s">
        <v>106</v>
      </c>
      <c r="F129" s="3" t="str">
        <f>"Country of HE provider"&amp;"⁽"&amp;CHAR(185)&amp;"⁾"</f>
        <v>Country of HE provider⁽¹⁾</v>
      </c>
      <c r="G129" s="13" t="s">
        <v>544</v>
      </c>
      <c r="H129" s="14" t="s">
        <v>545</v>
      </c>
      <c r="J129" s="3">
        <v>3</v>
      </c>
      <c r="K129" s="3">
        <v>3</v>
      </c>
      <c r="L129" s="3">
        <v>0</v>
      </c>
      <c r="M129" s="3">
        <v>0</v>
      </c>
      <c r="N129" s="3" t="s">
        <v>546</v>
      </c>
      <c r="Q129" s="16" t="s">
        <v>547</v>
      </c>
      <c r="R129" s="16" t="s">
        <v>547</v>
      </c>
      <c r="S129" s="16" t="s">
        <v>548</v>
      </c>
      <c r="T129" s="16" t="s">
        <v>548</v>
      </c>
      <c r="U129" s="3" t="s">
        <v>93</v>
      </c>
      <c r="V129" s="3" t="s">
        <v>93</v>
      </c>
      <c r="W129" s="57" t="s">
        <v>744</v>
      </c>
      <c r="X129" t="str">
        <f>DataItems3[[#This Row],[Collection]]&amp;DataItems3[[#This Row],[Field]]&amp;DataItems3[[#This Row],[Options for supplying the Field]]&amp;DataItems3[[#This Row],[Fieldname]]&amp;DataItems3[[#This Row],[Parent]]</f>
        <v>StudentCountry of HE provider⁽¹⁾(London/ England exc. London/ Wales/ Scotland/ Northern Ireland)F_XINSTC01</v>
      </c>
      <c r="Y129" s="15">
        <v>43441</v>
      </c>
      <c r="Z129" t="s">
        <v>95</v>
      </c>
      <c r="AA129" s="28" t="str">
        <f t="shared" si="7"/>
        <v>case when s.f_xinstg01='H' then 'London'  WHEN s.F_XINSTC01 = 'E' THEN 'England exc. London'  ELSE s.f_xinstc01 END</v>
      </c>
      <c r="AB129" s="28" t="str">
        <f>IF(S129="","",IF(IFERROR(SEARCH("select",S129)&gt;0,0),IF(U129="",IF(MID(S129,SEARCH(H129,S129)-4,1)=" ",MID(S129,SEARCH(H129,S129)-2,LEN(O138)+2),MID(S129,SEARCH(H129,S129)-3,LEN(H129)+3)),U129&amp;"."&amp;H129),S129))</f>
        <v>CASE WHEN s.f_xinstg01='H' then 'London' WHEN s.F_XINSTC01 = 'E' THEN 'England exc. London' WHEN s.F_XINSTC01 = 'N' THEN 'Northern Ireland' WHEN s.F_XINSTC01 = 'S' THEN 'Scotland' WHEN s.F_XINSTC01 = 'W' THEN 'Wales' ELSE s.F_XINSTC01 END</v>
      </c>
      <c r="AC129" s="28" t="str">
        <f t="shared" si="18"/>
        <v>case when s.f_xinstg01='H' then 'London'  WHEN s.F_XINSTC01 = 'E' THEN 'England exc. London'  ELSE s.f_xinstc01 END</v>
      </c>
      <c r="AD129" s="28" t="str">
        <f t="shared" si="19"/>
        <v>CASE WHEN s.f_xinstg01='H' then 'London' WHEN s.F_XINSTC01 = 'E' THEN 'England exc. London' WHEN s.F_XINSTC01 = 'N' THEN 'Northern Ireland' WHEN s.F_XINSTC01 = 'S' THEN 'Scotland' WHEN s.F_XINSTC01 = 'W' THEN 'Wales' ELSE s.F_XINSTC01 END</v>
      </c>
      <c r="AE129" t="str">
        <f t="shared" si="20"/>
        <v>[Country of HE provider]</v>
      </c>
    </row>
    <row r="130" spans="1:31" ht="16" x14ac:dyDescent="0.2">
      <c r="A130">
        <v>100114</v>
      </c>
      <c r="B130" s="11" t="str">
        <f>DataItems3[[#This Row],[Field]]&amp;IF(DataItems3[[#This Row],[Options for supplying the Field]]="",""," "&amp;DataItems3[[#This Row],[Options for supplying the Field]])</f>
        <v>Country of HE provider⁽¹⁾</v>
      </c>
      <c r="C130">
        <v>100114</v>
      </c>
      <c r="D130" s="3" t="s">
        <v>86</v>
      </c>
      <c r="E130" s="3" t="s">
        <v>106</v>
      </c>
      <c r="F130" s="3" t="str">
        <f>"Country of HE provider"&amp;"⁽"&amp;CHAR(185)&amp;"⁾"</f>
        <v>Country of HE provider⁽¹⁾</v>
      </c>
      <c r="G130" s="13"/>
      <c r="H130" s="14" t="s">
        <v>545</v>
      </c>
      <c r="J130" s="3">
        <v>1</v>
      </c>
      <c r="K130" s="3">
        <v>3</v>
      </c>
      <c r="L130" s="3">
        <v>0</v>
      </c>
      <c r="M130" s="3">
        <v>0</v>
      </c>
      <c r="N130" s="3" t="s">
        <v>106</v>
      </c>
      <c r="Q130" s="16" t="s">
        <v>550</v>
      </c>
      <c r="R130" s="16" t="s">
        <v>550</v>
      </c>
      <c r="S130" s="16" t="s">
        <v>551</v>
      </c>
      <c r="T130" s="16" t="s">
        <v>551</v>
      </c>
      <c r="U130" s="3" t="s">
        <v>93</v>
      </c>
      <c r="V130" s="3" t="s">
        <v>93</v>
      </c>
      <c r="W130" s="57" t="s">
        <v>109</v>
      </c>
      <c r="X130" t="str">
        <f>DataItems3[[#This Row],[Collection]]&amp;DataItems3[[#This Row],[Field]]&amp;DataItems3[[#This Row],[Options for supplying the Field]]&amp;DataItems3[[#This Row],[Fieldname]]&amp;DataItems3[[#This Row],[Parent]]</f>
        <v>StudentCountry of HE provider⁽¹⁾F_XINSTC01</v>
      </c>
      <c r="Y130" s="15">
        <v>43441</v>
      </c>
      <c r="Z130" t="s">
        <v>95</v>
      </c>
      <c r="AA130" s="28" t="str">
        <f t="shared" si="7"/>
        <v>s.F_XINSTC01</v>
      </c>
      <c r="AB130" s="28" t="str">
        <f>IF(S130="","",IF(IFERROR(SEARCH("select",S130)&gt;0,0),IF(U130="",IF(MID(S130,SEARCH(H130,S130)-4,1)=" ",MID(S130,SEARCH(H130,S130)-2,LEN(#REF!)+2),MID(S130,SEARCH(H130,S130)-3,LEN(H130)+3)),U130&amp;"."&amp;H130),S130))</f>
        <v xml:space="preserve"> s.f_XINSTC01</v>
      </c>
      <c r="AC130" s="28" t="str">
        <f t="shared" si="18"/>
        <v>s.F_XINSTC01</v>
      </c>
      <c r="AD130" s="28" t="str">
        <f>IF(T130="","",IF(IFERROR(SEARCH("select",T130)&gt;0,0),IF(U130="",IF(MID(T130,SEARCH(H130,T130)-4,1)=" ",MID(T130,SEARCH(H130,T130)-2,LEN(#REF!)+2),MID(T130,SEARCH(H130,T130)-3,LEN(H130)+3)),U130&amp;"."&amp;H130),T130))</f>
        <v xml:space="preserve"> s.f_XINSTC01</v>
      </c>
      <c r="AE130" t="str">
        <f t="shared" si="20"/>
        <v>[Country of HE provider]</v>
      </c>
    </row>
    <row r="131" spans="1:31" ht="64" x14ac:dyDescent="0.2">
      <c r="A131">
        <v>100112</v>
      </c>
      <c r="B131" s="11" t="str">
        <f>DataItems3[[#This Row],[Field]]&amp;IF(DataItems3[[#This Row],[Options for supplying the Field]]="",""," "&amp;DataItems3[[#This Row],[Options for supplying the Field]])</f>
        <v>Country of HE provider⁽¹⁾ (London/ England exc. London/ Wales/ Scotland/ Northern Ireland) (OU split)</v>
      </c>
      <c r="C131">
        <v>100112</v>
      </c>
      <c r="D131" s="3" t="s">
        <v>86</v>
      </c>
      <c r="E131" s="3" t="s">
        <v>89</v>
      </c>
      <c r="F131" s="3" t="str">
        <f>"Country of HE provider"&amp;"⁽"&amp;CHAR(185)&amp;"⁾"</f>
        <v>Country of HE provider⁽¹⁾</v>
      </c>
      <c r="G131" s="13" t="s">
        <v>552</v>
      </c>
      <c r="H131" s="14" t="s">
        <v>553</v>
      </c>
      <c r="J131" s="3">
        <v>3</v>
      </c>
      <c r="K131" s="3">
        <v>3</v>
      </c>
      <c r="L131" s="3">
        <v>0</v>
      </c>
      <c r="M131" s="3">
        <v>0</v>
      </c>
      <c r="N131" s="3" t="s">
        <v>554</v>
      </c>
      <c r="Q131" s="16" t="s">
        <v>555</v>
      </c>
      <c r="R131" s="14" t="s">
        <v>3000</v>
      </c>
      <c r="S131" s="16" t="s">
        <v>556</v>
      </c>
      <c r="T131" s="14" t="s">
        <v>3000</v>
      </c>
      <c r="U131" s="3" t="s">
        <v>93</v>
      </c>
      <c r="V131" s="3" t="s">
        <v>93</v>
      </c>
      <c r="W131" s="57" t="s">
        <v>744</v>
      </c>
      <c r="X131" t="str">
        <f>DataItems3[[#This Row],[Collection]]&amp;DataItems3[[#This Row],[Field]]&amp;DataItems3[[#This Row],[Options for supplying the Field]]&amp;DataItems3[[#This Row],[Fieldname]]&amp;DataItems3[[#This Row],[Parent]]</f>
        <v>StudentCountry of HE provider⁽¹⁾(London/ England exc. London/ Wales/ Scotland/ Northern Ireland) (OU split)F_XINSTCOU01</v>
      </c>
      <c r="Y131" s="15">
        <v>43441</v>
      </c>
      <c r="Z131" t="s">
        <v>95</v>
      </c>
      <c r="AA131" s="28" t="str">
        <f t="shared" ref="AA131:AA194" si="21">IF(Q131="","",Q131)</f>
        <v>case when s.dw_fromdate &gt;= 20140801 AND s.f_xinstg01='H' then 'London'  WHEN s.dw_fromdate &gt;= 20140801 AND s.f_xinstcou01 = 'E' THEN 'England exc. London'  WHEN s.dw_fromdate &gt;= 20140801 THEN s.f_xinstcou01 WHEN s.F_XINSTID01 = '0001' AND s.F_CAMPID = 'A' THEN 'England exc. London' WHEN s.F_XINSTID01 = '0001' AND s.F_CAMPID = 'N' THEN 'N' WHEN s.F_XINSTID01 = '0001' AND s.F_CAMPID = 'S' THEN 'S' WHEN s.F_XINSTID01 = '0001' AND s.F_CAMPID = 'W' THEN 'W' WHEN s.f_xinstg01='H' then 'London'  WHEN s.f_xinstc01 = 'E' THEN 'England exc. London' ELSE s.f_xinstc01 END</v>
      </c>
      <c r="AB131" s="28" t="str">
        <f t="shared" ref="AB131:AB138" si="22">IF(S131="","",IF(IFERROR(SEARCH("select",S131)&gt;0,0),IF(U131="",IF(MID(S131,SEARCH(H131,S131)-4,1)=" ",MID(S131,SEARCH(H131,S131)-2,LEN(O139)+2),MID(S131,SEARCH(H131,S131)-3,LEN(H131)+3)),U131&amp;"."&amp;H131),S131))</f>
        <v>case when s.dw_fromdate &gt;= 20140801 AND s.f_xinstg01='H' then 'London'  WHEN s.dw_fromdate &gt;= 20140801 AND s.f_xinstcou01 = 'E' THEN 'England exc. London' WHEN s.dw_fromdate &gt;= 20140801 AND s.f_xinstc01 = 'N' THEN 'Northern Ireland' WHEN s.dw_fromdate &gt;= 20140801 AND s.f_xinstc01 = 'S' THEN 'Scotland' WHEN s.dw_fromdate &gt;= 20140801 AND s.f_xinstc01 = 'W' THEN 'Wales' WHEN s.F_XINSTID01 = '0001' AND s.F_CAMPID = 'A' THEN 'England exc. London' WHEN s.F_XINSTID01 = '0001' AND s.F_CAMPID = 'N' THEN 'Northern Ireland' WHEN s.F_XINSTID01 = '0001' AND s.F_CAMPID = 'S' THEN 'Scotland' WHEN s.F_XINSTID01 = '0001' AND s.F_CAMPID = 'W' THEN 'Wales' WHEN s.f_xinstg01='H' then 'London'  WHEN s.f_xinstc01 = 'E' THEN 'England exc. London' WHEN s.f_xinstc01 = 'N' THEN 'Northern Ireland' WHEN s.f_xinstc01 = 'S' THEN 'Scotland' WHEN s.f_xinstc01 = 'W' THEN 'Wales' ELSE s.f_xinstc01 END</v>
      </c>
      <c r="AC131" s="28"/>
      <c r="AD131" s="28"/>
      <c r="AE131" t="str">
        <f t="shared" si="20"/>
        <v>[Country of HE provider]</v>
      </c>
    </row>
    <row r="132" spans="1:31" ht="16" x14ac:dyDescent="0.2">
      <c r="A132">
        <v>100113</v>
      </c>
      <c r="B132" s="11" t="str">
        <f>DataItems3[[#This Row],[Field]]&amp;IF(DataItems3[[#This Row],[Options for supplying the Field]]="",""," "&amp;DataItems3[[#This Row],[Options for supplying the Field]])</f>
        <v>Country of HE provider⁽¹⁾ (OU split)</v>
      </c>
      <c r="C132">
        <v>100113</v>
      </c>
      <c r="D132" s="3" t="s">
        <v>86</v>
      </c>
      <c r="E132" s="3" t="s">
        <v>89</v>
      </c>
      <c r="F132" s="3" t="str">
        <f>"Country of HE provider"&amp;"⁽"&amp;CHAR(185)&amp;"⁾"</f>
        <v>Country of HE provider⁽¹⁾</v>
      </c>
      <c r="G132" s="13" t="s">
        <v>557</v>
      </c>
      <c r="H132" s="14" t="s">
        <v>553</v>
      </c>
      <c r="J132" s="3">
        <v>3</v>
      </c>
      <c r="K132" s="3">
        <v>3</v>
      </c>
      <c r="L132" s="3">
        <v>0</v>
      </c>
      <c r="M132" s="3">
        <v>0</v>
      </c>
      <c r="N132" s="3" t="s">
        <v>554</v>
      </c>
      <c r="Q132" s="16" t="s">
        <v>558</v>
      </c>
      <c r="R132" s="14" t="s">
        <v>3000</v>
      </c>
      <c r="S132" s="16" t="s">
        <v>559</v>
      </c>
      <c r="T132" s="14" t="s">
        <v>3000</v>
      </c>
      <c r="U132" s="3" t="s">
        <v>93</v>
      </c>
      <c r="V132" s="3" t="s">
        <v>93</v>
      </c>
      <c r="W132" s="57" t="s">
        <v>109</v>
      </c>
      <c r="X132" t="str">
        <f>DataItems3[[#This Row],[Collection]]&amp;DataItems3[[#This Row],[Field]]&amp;DataItems3[[#This Row],[Options for supplying the Field]]&amp;DataItems3[[#This Row],[Fieldname]]&amp;DataItems3[[#This Row],[Parent]]</f>
        <v>StudentCountry of HE provider⁽¹⁾(OU split)F_XINSTCOU01</v>
      </c>
      <c r="Y132" s="15">
        <v>43441</v>
      </c>
      <c r="Z132" t="s">
        <v>95</v>
      </c>
      <c r="AA132" s="28" t="str">
        <f t="shared" si="21"/>
        <v>s.F_XINSTCOU01</v>
      </c>
      <c r="AB132" s="28" t="str">
        <f t="shared" si="22"/>
        <v xml:space="preserve"> s.f_xinstcou01</v>
      </c>
      <c r="AC132" s="28"/>
      <c r="AD132" s="28"/>
      <c r="AE132" t="str">
        <f t="shared" si="20"/>
        <v>[Country of HE provider]</v>
      </c>
    </row>
    <row r="133" spans="1:31" ht="16" x14ac:dyDescent="0.2">
      <c r="A133">
        <v>100115</v>
      </c>
      <c r="B133" s="11" t="str">
        <f>DataItems3[[#This Row],[Field]]&amp;IF(DataItems3[[#This Row],[Options for supplying the Field]]="",""," "&amp;DataItems3[[#This Row],[Options for supplying the Field]])</f>
        <v>Country of HE provider⁽¹⁾ (Staff)</v>
      </c>
      <c r="C133">
        <v>100115</v>
      </c>
      <c r="D133" s="3" t="s">
        <v>100</v>
      </c>
      <c r="F133" s="3" t="str">
        <f>"Country of HE provider"&amp;"⁽"&amp;CHAR(185)&amp;"⁾"&amp;" (Staff)"</f>
        <v>Country of HE provider⁽¹⁾ (Staff)</v>
      </c>
      <c r="G133" s="13"/>
      <c r="H133" s="14" t="s">
        <v>545</v>
      </c>
      <c r="J133" s="3">
        <v>1</v>
      </c>
      <c r="K133" s="3">
        <v>3</v>
      </c>
      <c r="L133" s="3">
        <v>0</v>
      </c>
      <c r="M133" s="3">
        <v>0</v>
      </c>
      <c r="Q133" s="16" t="s">
        <v>560</v>
      </c>
      <c r="R133" s="3" t="s">
        <v>93</v>
      </c>
      <c r="S133" s="16" t="s">
        <v>561</v>
      </c>
      <c r="U133" s="3" t="s">
        <v>93</v>
      </c>
      <c r="V133" s="3" t="s">
        <v>93</v>
      </c>
      <c r="W133" s="57" t="s">
        <v>109</v>
      </c>
      <c r="X133" t="str">
        <f>DataItems3[[#This Row],[Collection]]&amp;DataItems3[[#This Row],[Field]]&amp;DataItems3[[#This Row],[Options for supplying the Field]]&amp;DataItems3[[#This Row],[Fieldname]]&amp;DataItems3[[#This Row],[Parent]]</f>
        <v>StaffCountry of HE provider⁽¹⁾ (Staff)F_XINSTC01</v>
      </c>
      <c r="Y133" s="15">
        <v>43684</v>
      </c>
      <c r="Z133" t="s">
        <v>95</v>
      </c>
      <c r="AA133" s="28" t="str">
        <f t="shared" si="21"/>
        <v>p.F_XINSTC01</v>
      </c>
      <c r="AB133" s="28" t="str">
        <f t="shared" si="22"/>
        <v xml:space="preserve"> p.f_xinstc01</v>
      </c>
      <c r="AC133" s="28" t="str">
        <f t="shared" ref="AC133:AC196" si="23">IF(R133="","",R133)</f>
        <v/>
      </c>
      <c r="AD133" s="28" t="str">
        <f t="shared" ref="AD133:AD138" si="24">IF(T133="","",IF(IFERROR(SEARCH("select",T133)&gt;0,0),IF(U133="",IF(MID(T133,SEARCH(H133,T133)-4,1)=" ",MID(T133,SEARCH(H133,T133)-2,LEN(O141)+2),MID(T133,SEARCH(H133,T133)-3,LEN(H133)+3)),U133&amp;"."&amp;H133),T133))</f>
        <v/>
      </c>
      <c r="AE133" t="str">
        <f t="shared" si="20"/>
        <v>[Country of HE provider (Staff)]</v>
      </c>
    </row>
    <row r="134" spans="1:31" ht="16" x14ac:dyDescent="0.2">
      <c r="A134">
        <v>100116</v>
      </c>
      <c r="B134" s="11" t="str">
        <f>DataItems3[[#This Row],[Field]]&amp;IF(DataItems3[[#This Row],[Options for supplying the Field]]="",""," "&amp;DataItems3[[#This Row],[Options for supplying the Field]])</f>
        <v>Country of provision</v>
      </c>
      <c r="C134">
        <v>100116</v>
      </c>
      <c r="D134" s="3" t="s">
        <v>562</v>
      </c>
      <c r="F134" s="3" t="s">
        <v>563</v>
      </c>
      <c r="G134" s="13"/>
      <c r="H134" s="14" t="s">
        <v>564</v>
      </c>
      <c r="J134" s="3">
        <v>1</v>
      </c>
      <c r="K134" s="3">
        <v>3</v>
      </c>
      <c r="L134" s="3">
        <v>0</v>
      </c>
      <c r="M134" s="3">
        <v>0</v>
      </c>
      <c r="N134" s="3" t="s">
        <v>106</v>
      </c>
      <c r="Q134" s="16" t="s">
        <v>565</v>
      </c>
      <c r="R134" s="3" t="s">
        <v>93</v>
      </c>
      <c r="S134" s="16" t="s">
        <v>566</v>
      </c>
      <c r="U134" s="3" t="s">
        <v>567</v>
      </c>
      <c r="V134" s="3" t="s">
        <v>93</v>
      </c>
      <c r="W134" s="57" t="s">
        <v>150</v>
      </c>
      <c r="X134" t="str">
        <f>DataItems3[[#This Row],[Collection]]&amp;DataItems3[[#This Row],[Field]]&amp;DataItems3[[#This Row],[Options for supplying the Field]]&amp;DataItems3[[#This Row],[Fieldname]]&amp;DataItems3[[#This Row],[Parent]]</f>
        <v>AORCountry of provisionF_COUNTRY</v>
      </c>
      <c r="Y134" s="15"/>
      <c r="AA134" s="28" t="str">
        <f t="shared" si="21"/>
        <v>a.F_COUNTRY</v>
      </c>
      <c r="AB134" s="28" t="str">
        <f t="shared" si="22"/>
        <v>a.F_COUNTRY</v>
      </c>
      <c r="AC134" s="28" t="str">
        <f t="shared" si="23"/>
        <v/>
      </c>
      <c r="AD134" s="28" t="str">
        <f t="shared" si="24"/>
        <v/>
      </c>
      <c r="AE134" t="str">
        <f t="shared" si="20"/>
        <v>[Country of provision]</v>
      </c>
    </row>
    <row r="135" spans="1:31" ht="16" x14ac:dyDescent="0.2">
      <c r="A135">
        <v>100117</v>
      </c>
      <c r="B135" s="11" t="str">
        <f>DataItems3[[#This Row],[Field]]&amp;IF(DataItems3[[#This Row],[Options for supplying the Field]]="",""," "&amp;DataItems3[[#This Row],[Options for supplying the Field]])</f>
        <v>Course aim (Full)</v>
      </c>
      <c r="C135">
        <v>100117</v>
      </c>
      <c r="D135" s="3" t="s">
        <v>86</v>
      </c>
      <c r="E135" s="3" t="s">
        <v>106</v>
      </c>
      <c r="F135" s="3" t="s">
        <v>568</v>
      </c>
      <c r="G135" s="13" t="s">
        <v>277</v>
      </c>
      <c r="H135" s="14" t="s">
        <v>569</v>
      </c>
      <c r="J135" s="3">
        <v>2</v>
      </c>
      <c r="K135" s="3">
        <v>3</v>
      </c>
      <c r="L135" s="3">
        <v>2</v>
      </c>
      <c r="M135" s="3">
        <v>0</v>
      </c>
      <c r="N135" s="3" t="s">
        <v>89</v>
      </c>
      <c r="Q135" s="16" t="s">
        <v>570</v>
      </c>
      <c r="R135" s="16" t="s">
        <v>570</v>
      </c>
      <c r="S135" s="16" t="s">
        <v>571</v>
      </c>
      <c r="T135" s="16" t="s">
        <v>571</v>
      </c>
      <c r="U135" s="3" t="s">
        <v>93</v>
      </c>
      <c r="V135" s="3" t="s">
        <v>93</v>
      </c>
      <c r="W135" s="57" t="s">
        <v>145</v>
      </c>
      <c r="X135" t="str">
        <f>DataItems3[[#This Row],[Collection]]&amp;DataItems3[[#This Row],[Field]]&amp;DataItems3[[#This Row],[Options for supplying the Field]]&amp;DataItems3[[#This Row],[Fieldname]]&amp;DataItems3[[#This Row],[Parent]]</f>
        <v>StudentCourse aim(Full)F_COURSEAIM</v>
      </c>
      <c r="Y135" s="15">
        <v>42921</v>
      </c>
      <c r="Z135" t="s">
        <v>139</v>
      </c>
      <c r="AA135" s="28" t="str">
        <f t="shared" si="21"/>
        <v>s.F_COURSEAIM</v>
      </c>
      <c r="AB135" s="28" t="str">
        <f t="shared" si="22"/>
        <v xml:space="preserve"> s.f_courseaim</v>
      </c>
      <c r="AC135" s="28" t="str">
        <f t="shared" si="23"/>
        <v>s.F_COURSEAIM</v>
      </c>
      <c r="AD135" s="28" t="str">
        <f t="shared" si="24"/>
        <v xml:space="preserve"> s.f_courseaim</v>
      </c>
      <c r="AE135" t="str">
        <f t="shared" si="20"/>
        <v>[Course aim]</v>
      </c>
    </row>
    <row r="136" spans="1:31" ht="16" x14ac:dyDescent="0.2">
      <c r="A136">
        <v>100118</v>
      </c>
      <c r="B136" s="11" t="str">
        <f>DataItems3[[#This Row],[Field]]&amp;IF(DataItems3[[#This Row],[Options for supplying the Field]]="",""," "&amp;DataItems3[[#This Row],[Options for supplying the Field]])</f>
        <v>Course ID</v>
      </c>
      <c r="C136">
        <v>100118</v>
      </c>
      <c r="D136" s="3" t="s">
        <v>86</v>
      </c>
      <c r="E136" s="3" t="s">
        <v>106</v>
      </c>
      <c r="F136" s="3" t="s">
        <v>572</v>
      </c>
      <c r="G136" s="13"/>
      <c r="H136" s="14" t="s">
        <v>573</v>
      </c>
      <c r="J136" s="3">
        <v>2</v>
      </c>
      <c r="K136" s="3">
        <v>4</v>
      </c>
      <c r="L136" s="3">
        <v>2</v>
      </c>
      <c r="M136" s="3">
        <v>0</v>
      </c>
      <c r="N136" s="3" t="s">
        <v>89</v>
      </c>
      <c r="Q136" s="16" t="s">
        <v>574</v>
      </c>
      <c r="R136" s="16" t="s">
        <v>574</v>
      </c>
      <c r="S136" s="16" t="s">
        <v>574</v>
      </c>
      <c r="T136" s="16" t="s">
        <v>574</v>
      </c>
      <c r="U136" s="3" t="s">
        <v>478</v>
      </c>
      <c r="V136" s="3">
        <v>1</v>
      </c>
      <c r="W136" s="57" t="s">
        <v>114</v>
      </c>
      <c r="X136" t="str">
        <f>DataItems3[[#This Row],[Collection]]&amp;DataItems3[[#This Row],[Field]]&amp;DataItems3[[#This Row],[Options for supplying the Field]]&amp;DataItems3[[#This Row],[Fieldname]]&amp;DataItems3[[#This Row],[Parent]]</f>
        <v>StudentCourse IDF_COURSEID</v>
      </c>
      <c r="Y136" s="15">
        <v>43434</v>
      </c>
      <c r="Z136" t="s">
        <v>95</v>
      </c>
      <c r="AA136" s="28" t="str">
        <f t="shared" si="21"/>
        <v>c.F_COURSEID</v>
      </c>
      <c r="AB136" s="28" t="str">
        <f t="shared" si="22"/>
        <v>c.F_COURSEID</v>
      </c>
      <c r="AC136" s="28" t="str">
        <f t="shared" si="23"/>
        <v>c.F_COURSEID</v>
      </c>
      <c r="AD136" s="28" t="str">
        <f t="shared" si="24"/>
        <v>c.F_COURSEID</v>
      </c>
      <c r="AE136" t="str">
        <f t="shared" si="20"/>
        <v>[Course ID]</v>
      </c>
    </row>
    <row r="137" spans="1:31" ht="32" x14ac:dyDescent="0.2">
      <c r="A137">
        <v>100120</v>
      </c>
      <c r="B137" s="11" t="str">
        <f>DataItems3[[#This Row],[Field]]&amp;IF(DataItems3[[#This Row],[Options for supplying the Field]]="",""," "&amp;DataItems3[[#This Row],[Options for supplying the Field]])</f>
        <v>Course title (Specified courses*/ Other)</v>
      </c>
      <c r="C137">
        <v>100120</v>
      </c>
      <c r="D137" s="3" t="s">
        <v>86</v>
      </c>
      <c r="F137" s="3" t="s">
        <v>575</v>
      </c>
      <c r="G137" s="13" t="s">
        <v>578</v>
      </c>
      <c r="H137" s="14" t="s">
        <v>576</v>
      </c>
      <c r="J137" s="3">
        <v>10</v>
      </c>
      <c r="K137" s="3">
        <v>5</v>
      </c>
      <c r="L137" s="3">
        <v>2</v>
      </c>
      <c r="M137" s="3">
        <v>0</v>
      </c>
      <c r="N137" s="3" t="s">
        <v>89</v>
      </c>
      <c r="Q137" s="16" t="s">
        <v>579</v>
      </c>
      <c r="R137" s="3" t="s">
        <v>91</v>
      </c>
      <c r="S137" s="16" t="s">
        <v>579</v>
      </c>
      <c r="U137" s="3" t="s">
        <v>478</v>
      </c>
      <c r="V137" s="3">
        <v>1</v>
      </c>
      <c r="W137" s="57" t="s">
        <v>580</v>
      </c>
      <c r="X137" t="str">
        <f>DataItems3[[#This Row],[Collection]]&amp;DataItems3[[#This Row],[Field]]&amp;DataItems3[[#This Row],[Options for supplying the Field]]&amp;DataItems3[[#This Row],[Fieldname]]&amp;DataItems3[[#This Row],[Parent]]</f>
        <v>StudentCourse title(Specified courses*/ Other)F_CTITLE</v>
      </c>
      <c r="Y137" s="15">
        <v>43735</v>
      </c>
      <c r="Z137" t="s">
        <v>139</v>
      </c>
      <c r="AA137" s="28" t="str">
        <f t="shared" si="21"/>
        <v>case when c.f_ctitle like '%%' then c.f_ctitle else 'Other' end</v>
      </c>
      <c r="AB137" s="28" t="str">
        <f t="shared" si="22"/>
        <v>case when c.f_ctitle like '%%' then c.f_ctitle else 'Other' end</v>
      </c>
      <c r="AC137" s="28" t="str">
        <f t="shared" si="23"/>
        <v xml:space="preserve"> </v>
      </c>
      <c r="AD137" s="28" t="str">
        <f t="shared" si="24"/>
        <v/>
      </c>
      <c r="AE137" t="str">
        <f t="shared" si="20"/>
        <v>[Course title]</v>
      </c>
    </row>
    <row r="138" spans="1:31" ht="16" x14ac:dyDescent="0.2">
      <c r="A138">
        <v>100121</v>
      </c>
      <c r="B138" s="11" t="str">
        <f>DataItems3[[#This Row],[Field]]&amp;IF(DataItems3[[#This Row],[Options for supplying the Field]]="",""," "&amp;DataItems3[[#This Row],[Options for supplying the Field]])</f>
        <v>Course title</v>
      </c>
      <c r="C138">
        <v>100121</v>
      </c>
      <c r="D138" s="3" t="s">
        <v>86</v>
      </c>
      <c r="E138" s="3" t="s">
        <v>106</v>
      </c>
      <c r="F138" s="3" t="s">
        <v>575</v>
      </c>
      <c r="G138" s="13"/>
      <c r="H138" s="14" t="s">
        <v>576</v>
      </c>
      <c r="J138" s="3">
        <v>2</v>
      </c>
      <c r="K138" s="3">
        <v>10</v>
      </c>
      <c r="L138" s="3">
        <v>3</v>
      </c>
      <c r="M138" s="3">
        <v>0</v>
      </c>
      <c r="N138" s="3" t="s">
        <v>89</v>
      </c>
      <c r="Q138" s="16" t="s">
        <v>581</v>
      </c>
      <c r="R138" s="16" t="s">
        <v>581</v>
      </c>
      <c r="S138" s="16" t="s">
        <v>581</v>
      </c>
      <c r="T138" s="16" t="s">
        <v>581</v>
      </c>
      <c r="U138" s="3" t="s">
        <v>478</v>
      </c>
      <c r="V138" s="3">
        <v>1</v>
      </c>
      <c r="W138" s="57" t="s">
        <v>580</v>
      </c>
      <c r="X138" t="str">
        <f>DataItems3[[#This Row],[Collection]]&amp;DataItems3[[#This Row],[Field]]&amp;DataItems3[[#This Row],[Options for supplying the Field]]&amp;DataItems3[[#This Row],[Fieldname]]&amp;DataItems3[[#This Row],[Parent]]</f>
        <v>StudentCourse titleF_CTITLE</v>
      </c>
      <c r="Y138" s="15">
        <v>43234</v>
      </c>
      <c r="Z138" t="s">
        <v>102</v>
      </c>
      <c r="AA138" s="28" t="str">
        <f t="shared" si="21"/>
        <v>c.F_CTITLE</v>
      </c>
      <c r="AB138" s="28" t="str">
        <f t="shared" si="22"/>
        <v>c.F_CTITLE</v>
      </c>
      <c r="AC138" s="28" t="str">
        <f t="shared" si="23"/>
        <v>c.F_CTITLE</v>
      </c>
      <c r="AD138" s="28" t="str">
        <f t="shared" si="24"/>
        <v>c.F_CTITLE</v>
      </c>
      <c r="AE138" t="str">
        <f t="shared" si="20"/>
        <v>[Course title]</v>
      </c>
    </row>
    <row r="139" spans="1:31" ht="16" x14ac:dyDescent="0.2">
      <c r="A139">
        <v>100122</v>
      </c>
      <c r="B139" s="11" t="str">
        <f>DataItems3[[#This Row],[Field]]&amp;IF(DataItems3[[#This Row],[Options for supplying the Field]]="",""," "&amp;DataItems3[[#This Row],[Options for supplying the Field]])</f>
        <v>Credit value of module  (CRDTPTS)</v>
      </c>
      <c r="C139">
        <v>100122</v>
      </c>
      <c r="D139" s="3" t="s">
        <v>86</v>
      </c>
      <c r="F139" s="3" t="s">
        <v>582</v>
      </c>
      <c r="G139" s="22" t="s">
        <v>583</v>
      </c>
      <c r="H139" s="14" t="s">
        <v>584</v>
      </c>
      <c r="J139" s="3">
        <v>5</v>
      </c>
      <c r="K139" s="3">
        <v>2</v>
      </c>
      <c r="L139" s="3">
        <v>0</v>
      </c>
      <c r="M139" s="3">
        <v>0</v>
      </c>
      <c r="N139" s="3" t="s">
        <v>89</v>
      </c>
      <c r="Q139" s="16" t="s">
        <v>585</v>
      </c>
      <c r="R139" s="3" t="s">
        <v>91</v>
      </c>
      <c r="S139" s="16" t="s">
        <v>585</v>
      </c>
      <c r="U139" s="3" t="s">
        <v>586</v>
      </c>
      <c r="V139" s="3">
        <v>1</v>
      </c>
      <c r="W139" s="57" t="s">
        <v>3016</v>
      </c>
      <c r="X139" t="str">
        <f>DataItems3[[#This Row],[Collection]]&amp;DataItems3[[#This Row],[Field]]&amp;DataItems3[[#This Row],[Options for supplying the Field]]&amp;DataItems3[[#This Row],[Fieldname]]&amp;DataItems3[[#This Row],[Parent]]</f>
        <v>StudentCredit value of module (CRDTPTS)F_CRDTPTS</v>
      </c>
      <c r="Y139" s="15">
        <v>43434</v>
      </c>
      <c r="Z139" t="s">
        <v>588</v>
      </c>
      <c r="AA139" s="28" t="str">
        <f t="shared" si="21"/>
        <v>mod.f_crdtpts</v>
      </c>
      <c r="AB139" s="28" t="str">
        <f t="shared" ref="AB139:AB202" si="25">IF(S139="","",IF(IFERROR(SEARCH("select",S139)&gt;0,0),IF(U139="",IF(MID(S139,SEARCH(H139,S139)-4,1)=" ",MID(S139,SEARCH(H139,S139)-2,LEN(O148)+2),MID(S139,SEARCH(H139,S139)-3,LEN(H139)+3)),U139&amp;"."&amp;H139),S139))</f>
        <v>mod.f_crdtpts</v>
      </c>
      <c r="AC139" s="28" t="str">
        <f t="shared" si="23"/>
        <v xml:space="preserve"> </v>
      </c>
      <c r="AD139" s="28" t="str">
        <f t="shared" ref="AD139:AD202" si="26">IF(T139="","",IF(IFERROR(SEARCH("select",T139)&gt;0,0),IF(U139="",IF(MID(T139,SEARCH(H139,T139)-4,1)=" ",MID(T139,SEARCH(H139,T139)-2,LEN(O148)+2),MID(T139,SEARCH(H139,T139)-3,LEN(H139)+3)),U139&amp;"."&amp;H139),T139))</f>
        <v/>
      </c>
      <c r="AE139" t="str">
        <f t="shared" si="20"/>
        <v>[Credit value of module ]</v>
      </c>
    </row>
    <row r="140" spans="1:31" ht="16" x14ac:dyDescent="0.2">
      <c r="A140">
        <v>100636</v>
      </c>
      <c r="B140" s="19" t="str">
        <f>DataItems3[[#This Row],[Field]]&amp;IF(DataItems3[[#This Row],[Options for supplying the Field]]="",""," "&amp;DataItems3[[#This Row],[Options for supplying the Field]])</f>
        <v>Currency location [F_XWRKCURRLOC]</v>
      </c>
      <c r="C140">
        <v>100636</v>
      </c>
      <c r="D140" s="3" t="s">
        <v>151</v>
      </c>
      <c r="F140" s="3" t="s">
        <v>589</v>
      </c>
      <c r="G140" s="13" t="str">
        <f>"["&amp;H140&amp;"]"</f>
        <v>[F_XWRKCURRLOC]</v>
      </c>
      <c r="H140" s="3" t="s">
        <v>590</v>
      </c>
      <c r="J140" s="3">
        <v>1</v>
      </c>
      <c r="K140" s="3">
        <v>2</v>
      </c>
      <c r="L140" s="3">
        <v>2</v>
      </c>
      <c r="M140" s="3">
        <v>0</v>
      </c>
      <c r="P140" s="3" t="s">
        <v>591</v>
      </c>
      <c r="Q140" s="16" t="s">
        <v>592</v>
      </c>
      <c r="R140" s="3" t="s">
        <v>93</v>
      </c>
      <c r="S140" s="16" t="s">
        <v>593</v>
      </c>
      <c r="U140" s="3" t="s">
        <v>594</v>
      </c>
      <c r="V140" s="3" t="s">
        <v>93</v>
      </c>
      <c r="W140" s="57" t="s">
        <v>2909</v>
      </c>
      <c r="X140" t="str">
        <f>DataItems3[[#This Row],[Collection]]&amp;DataItems3[[#This Row],[Field]]&amp;DataItems3[[#This Row],[Options for supplying the Field]]&amp;DataItems3[[#This Row],[Fieldname]]&amp;DataItems3[[#This Row],[Parent]]</f>
        <v>Graduate OutcomesCurrency location[F_XWRKCURRLOC]F_XWRKCURRLOCProvider &gt; Official Stats Derived Field &gt; Salary Work</v>
      </c>
      <c r="Y140" s="15">
        <v>44008</v>
      </c>
      <c r="Z140" t="s">
        <v>159</v>
      </c>
      <c r="AA140" s="28" t="str">
        <f t="shared" si="21"/>
        <v>CASE WHEN ISNULL(g.ZRESPSTATUS, '02')='02' OR ISNULL(g.XACTIVITY, '99')='99' THEN 'Not in GO publication population' else isnull(g.XWRKCURRLOC,'NA') end</v>
      </c>
      <c r="AB140" s="28" t="str">
        <f t="shared" si="25"/>
        <v>CASE WHEN ISNULL(g.ZRESPSTATUS, '02')='02' OR ISNULL(g.XACTIVITY, '99')='99' THEN 'Not in GO publication population' else isnull(XWRKCURRLOC.label,'NA') end</v>
      </c>
      <c r="AC140" s="28" t="str">
        <f t="shared" si="23"/>
        <v/>
      </c>
      <c r="AD140" s="28" t="str">
        <f t="shared" si="26"/>
        <v/>
      </c>
      <c r="AE140" t="str">
        <f t="shared" si="20"/>
        <v>[Currency location]</v>
      </c>
    </row>
    <row r="141" spans="1:31" ht="32" x14ac:dyDescent="0.2">
      <c r="A141">
        <v>100773</v>
      </c>
      <c r="B141" s="11" t="str">
        <f>DataItems3[[#This Row],[Field]]&amp;IF(DataItems3[[#This Row],[Options for supplying the Field]]="",""," "&amp;DataItems3[[#This Row],[Options for supplying the Field]])</f>
        <v>Current academic discipline 1 (CAH1 2019/20 onwards)</v>
      </c>
      <c r="C141">
        <v>100773</v>
      </c>
      <c r="D141" s="3" t="s">
        <v>100</v>
      </c>
      <c r="F141" s="3" t="s">
        <v>595</v>
      </c>
      <c r="G141" s="13" t="s">
        <v>596</v>
      </c>
      <c r="H141" s="14" t="s">
        <v>597</v>
      </c>
      <c r="J141" s="3">
        <v>5</v>
      </c>
      <c r="K141" s="3">
        <v>4</v>
      </c>
      <c r="L141" s="3">
        <v>0</v>
      </c>
      <c r="M141" s="3">
        <v>0</v>
      </c>
      <c r="N141" s="3" t="s">
        <v>89</v>
      </c>
      <c r="Q141" s="16" t="s">
        <v>598</v>
      </c>
      <c r="S141" s="16" t="s">
        <v>599</v>
      </c>
      <c r="T141" s="16"/>
      <c r="U141" s="3" t="s">
        <v>600</v>
      </c>
      <c r="W141" s="57" t="s">
        <v>114</v>
      </c>
      <c r="X141" t="str">
        <f>DataItems3[[#This Row],[Collection]]&amp;DataItems3[[#This Row],[Field]]&amp;DataItems3[[#This Row],[Options for supplying the Field]]&amp;DataItems3[[#This Row],[Fieldname]]&amp;DataItems3[[#This Row],[Parent]]</f>
        <v>StaffCurrent academic discipline 1(CAH1 2019/20 onwards)F_CAD1_CAH1</v>
      </c>
      <c r="Y141" s="4">
        <v>44253</v>
      </c>
      <c r="Z141" t="s">
        <v>135</v>
      </c>
      <c r="AA141" s="28" t="str">
        <f t="shared" si="21"/>
        <v>Case when p.dw_fromdate &lt; 20190801 then 'Not applicable before 2019/20' else isnull(sbj1.[cah1 (code only)],'Not applicable') end</v>
      </c>
      <c r="AB141" s="28" t="str">
        <f t="shared" si="25"/>
        <v>Case when p.dw_fromdate &lt; 20190801 then 'Not applicable before 2019/20' else isnull(sbj1.[cah1],'Not applicable') end</v>
      </c>
      <c r="AC141" s="28" t="str">
        <f t="shared" si="23"/>
        <v/>
      </c>
      <c r="AD141" s="28" t="str">
        <f t="shared" si="26"/>
        <v/>
      </c>
      <c r="AE141" t="str">
        <f t="shared" si="20"/>
        <v>[Current academic discipline 1]</v>
      </c>
    </row>
    <row r="142" spans="1:31" ht="32" x14ac:dyDescent="0.2">
      <c r="A142">
        <v>100786</v>
      </c>
      <c r="B142" s="11" t="str">
        <f>DataItems3[[#This Row],[Field]]&amp;IF(DataItems3[[#This Row],[Options for supplying the Field]]="",""," "&amp;DataItems3[[#This Row],[Options for supplying the Field]])</f>
        <v>Current academic discipline 1 (CAH2 2019/20 onwards)</v>
      </c>
      <c r="C142">
        <v>100786</v>
      </c>
      <c r="D142" s="3" t="s">
        <v>100</v>
      </c>
      <c r="F142" s="3" t="s">
        <v>595</v>
      </c>
      <c r="G142" s="13" t="s">
        <v>601</v>
      </c>
      <c r="H142" s="14" t="s">
        <v>602</v>
      </c>
      <c r="J142" s="3">
        <v>5</v>
      </c>
      <c r="K142" s="3">
        <v>5</v>
      </c>
      <c r="L142" s="3">
        <v>0</v>
      </c>
      <c r="M142" s="3">
        <v>0</v>
      </c>
      <c r="N142" s="3" t="s">
        <v>89</v>
      </c>
      <c r="Q142" s="16" t="s">
        <v>603</v>
      </c>
      <c r="S142" s="16" t="s">
        <v>604</v>
      </c>
      <c r="T142" s="16"/>
      <c r="U142" s="3" t="s">
        <v>600</v>
      </c>
      <c r="W142" s="57" t="s">
        <v>114</v>
      </c>
      <c r="X142" t="str">
        <f>DataItems3[[#This Row],[Collection]]&amp;DataItems3[[#This Row],[Field]]&amp;DataItems3[[#This Row],[Options for supplying the Field]]&amp;DataItems3[[#This Row],[Fieldname]]&amp;DataItems3[[#This Row],[Parent]]</f>
        <v>StaffCurrent academic discipline 1(CAH2 2019/20 onwards)F_CAD1_CAH2</v>
      </c>
      <c r="Y142" s="4">
        <v>44253</v>
      </c>
      <c r="Z142" t="s">
        <v>135</v>
      </c>
      <c r="AA142" s="28" t="str">
        <f t="shared" si="21"/>
        <v>Case when p.dw_fromdate &lt; 20190801 then 'Not applicable before 2019/20' else isnull(sbj1.[cah2 (code only)],'Not applicable') end</v>
      </c>
      <c r="AB142" s="28" t="str">
        <f t="shared" si="25"/>
        <v>Case when p.dw_fromdate &lt; 20190801 then 'Not applicable before 2019/20' else isnull(sbj1.[cah2],'Not applicable') end</v>
      </c>
      <c r="AC142" s="28" t="str">
        <f t="shared" si="23"/>
        <v/>
      </c>
      <c r="AD142" s="28" t="str">
        <f t="shared" si="26"/>
        <v/>
      </c>
      <c r="AE142" t="str">
        <f t="shared" si="20"/>
        <v>[Current academic discipline 1]</v>
      </c>
    </row>
    <row r="143" spans="1:31" ht="32" x14ac:dyDescent="0.2">
      <c r="A143">
        <v>100783</v>
      </c>
      <c r="B143" s="11" t="str">
        <f>DataItems3[[#This Row],[Field]]&amp;IF(DataItems3[[#This Row],[Options for supplying the Field]]="",""," "&amp;DataItems3[[#This Row],[Options for supplying the Field]])</f>
        <v>Current academic discipline 1 (CAH3 2019/20 onwards)</v>
      </c>
      <c r="C143">
        <v>100783</v>
      </c>
      <c r="D143" s="3" t="s">
        <v>100</v>
      </c>
      <c r="F143" s="3" t="s">
        <v>595</v>
      </c>
      <c r="G143" s="13" t="s">
        <v>605</v>
      </c>
      <c r="H143" s="14" t="s">
        <v>606</v>
      </c>
      <c r="J143" s="3">
        <v>5</v>
      </c>
      <c r="K143" s="3">
        <v>5</v>
      </c>
      <c r="L143" s="3">
        <v>0</v>
      </c>
      <c r="M143" s="3">
        <v>0</v>
      </c>
      <c r="N143" s="3" t="s">
        <v>89</v>
      </c>
      <c r="Q143" s="16" t="s">
        <v>607</v>
      </c>
      <c r="S143" s="16" t="s">
        <v>608</v>
      </c>
      <c r="T143" s="16"/>
      <c r="U143" s="3" t="s">
        <v>600</v>
      </c>
      <c r="W143" s="57" t="s">
        <v>114</v>
      </c>
      <c r="X143" t="str">
        <f>DataItems3[[#This Row],[Collection]]&amp;DataItems3[[#This Row],[Field]]&amp;DataItems3[[#This Row],[Options for supplying the Field]]&amp;DataItems3[[#This Row],[Fieldname]]&amp;DataItems3[[#This Row],[Parent]]</f>
        <v>StaffCurrent academic discipline 1(CAH3 2019/20 onwards)F_CAD1_CAH3</v>
      </c>
      <c r="Y143" s="4">
        <v>44253</v>
      </c>
      <c r="Z143" t="s">
        <v>135</v>
      </c>
      <c r="AA143" s="28" t="str">
        <f t="shared" si="21"/>
        <v>Case when p.dw_fromdate &lt; 20190801 then 'Not applicable before 2019/20' else isnull(sbj1.[cah3 (code only)],'Not applicable') end</v>
      </c>
      <c r="AB143" s="28" t="str">
        <f t="shared" si="25"/>
        <v>Case when p.dw_fromdate &lt; 20190801 then 'Not applicable before 2019/20' else isnull(sbj1.[cah3],'Not applicable') end</v>
      </c>
      <c r="AC143" s="28" t="str">
        <f t="shared" si="23"/>
        <v/>
      </c>
      <c r="AD143" s="28" t="str">
        <f t="shared" si="26"/>
        <v/>
      </c>
      <c r="AE143" t="str">
        <f t="shared" si="20"/>
        <v>[Current academic discipline 1]</v>
      </c>
    </row>
    <row r="144" spans="1:31" ht="32" x14ac:dyDescent="0.2">
      <c r="A144">
        <v>100776</v>
      </c>
      <c r="B144" s="11" t="str">
        <f>DataItems3[[#This Row],[Field]]&amp;IF(DataItems3[[#This Row],[Options for supplying the Field]]="",""," "&amp;DataItems3[[#This Row],[Options for supplying the Field]])</f>
        <v>Current academic discipline 1 (HECoS 2019/20 onwards)</v>
      </c>
      <c r="C144">
        <v>100776</v>
      </c>
      <c r="D144" s="3" t="s">
        <v>100</v>
      </c>
      <c r="F144" s="3" t="s">
        <v>595</v>
      </c>
      <c r="G144" s="13" t="s">
        <v>609</v>
      </c>
      <c r="H144" s="14" t="s">
        <v>610</v>
      </c>
      <c r="J144" s="3">
        <v>5</v>
      </c>
      <c r="K144" s="3">
        <v>9</v>
      </c>
      <c r="L144" s="3">
        <v>1</v>
      </c>
      <c r="M144" s="3">
        <v>0</v>
      </c>
      <c r="N144" s="3" t="s">
        <v>89</v>
      </c>
      <c r="Q144" s="16" t="s">
        <v>611</v>
      </c>
      <c r="S144" s="16" t="s">
        <v>612</v>
      </c>
      <c r="T144" s="16"/>
      <c r="U144" s="3" t="s">
        <v>613</v>
      </c>
      <c r="W144" s="57" t="s">
        <v>2908</v>
      </c>
      <c r="X144" t="str">
        <f>DataItems3[[#This Row],[Collection]]&amp;DataItems3[[#This Row],[Field]]&amp;DataItems3[[#This Row],[Options for supplying the Field]]&amp;DataItems3[[#This Row],[Fieldname]]&amp;DataItems3[[#This Row],[Parent]]</f>
        <v>StaffCurrent academic discipline 1(HECoS 2019/20 onwards)F_CAD1_HECOS</v>
      </c>
      <c r="Y144" s="4">
        <v>44253</v>
      </c>
      <c r="Z144" t="s">
        <v>135</v>
      </c>
      <c r="AA144" s="28" t="str">
        <f t="shared" si="21"/>
        <v>Case when p.dw_fromdate &lt; 20190801 then 'Not applicable before 2019/20' else isnull(p.f_curaccdis1,'Not applicable') end</v>
      </c>
      <c r="AB144" s="28" t="str">
        <f t="shared" si="25"/>
        <v>Case when p.dw_fromdate &lt; 20190801 then 'Not applicable before 2019/20' else isnull(hcad1.dw_currentlabel,'Not applicable') end</v>
      </c>
      <c r="AC144" s="28" t="str">
        <f t="shared" si="23"/>
        <v/>
      </c>
      <c r="AD144" s="28" t="str">
        <f t="shared" si="26"/>
        <v/>
      </c>
      <c r="AE144" t="str">
        <f t="shared" si="20"/>
        <v>[Current academic discipline 1]</v>
      </c>
    </row>
    <row r="145" spans="1:31" ht="32" x14ac:dyDescent="0.2">
      <c r="A145">
        <v>100747</v>
      </c>
      <c r="B145" s="11" t="str">
        <f>DataItems3[[#This Row],[Field]]&amp;IF(DataItems3[[#This Row],[Options for supplying the Field]]="",""," "&amp;DataItems3[[#This Row],[Options for supplying the Field]])</f>
        <v>Current academic discipline 1 (4-digit JACS) - 2012/13 to 2018/19 only</v>
      </c>
      <c r="C145">
        <v>100747</v>
      </c>
      <c r="D145" s="3" t="s">
        <v>100</v>
      </c>
      <c r="F145" s="3" t="s">
        <v>595</v>
      </c>
      <c r="G145" s="13" t="s">
        <v>614</v>
      </c>
      <c r="H145" s="14" t="s">
        <v>615</v>
      </c>
      <c r="J145" s="3">
        <v>5</v>
      </c>
      <c r="K145" s="3">
        <v>9</v>
      </c>
      <c r="L145" s="3">
        <v>1</v>
      </c>
      <c r="M145" s="3">
        <v>0</v>
      </c>
      <c r="N145" s="3" t="s">
        <v>89</v>
      </c>
      <c r="Q145" s="16" t="s">
        <v>616</v>
      </c>
      <c r="S145" s="16" t="s">
        <v>617</v>
      </c>
      <c r="T145" s="16"/>
      <c r="U145" s="3" t="s">
        <v>618</v>
      </c>
      <c r="W145" s="57" t="s">
        <v>3017</v>
      </c>
      <c r="X145" t="str">
        <f>DataItems3[[#This Row],[Collection]]&amp;DataItems3[[#This Row],[Field]]&amp;DataItems3[[#This Row],[Options for supplying the Field]]&amp;DataItems3[[#This Row],[Fieldname]]&amp;DataItems3[[#This Row],[Parent]]</f>
        <v>StaffCurrent academic discipline 1(4-digit JACS) - 2012/13 to 2018/19 onlyF_CURACCDIS1</v>
      </c>
      <c r="Y145" s="4">
        <v>44168</v>
      </c>
      <c r="Z145" t="s">
        <v>135</v>
      </c>
      <c r="AA145" s="28" t="str">
        <f t="shared" si="21"/>
        <v>Case when p.dw_fromdate &gt;= 20190801 then 'Not applicable 2019/20, 2011/12 and prior' when p.dw_fromdate &lt;= 20110801 then 'Not applicable 2019/20, 2011/12 and prior' else IIF(p.f_curaccdis1='','Not applicable',p.f_curaccdis1) end</v>
      </c>
      <c r="AB145" s="28" t="str">
        <f t="shared" si="25"/>
        <v>Case when p.dw_fromdate &gt;= 20190801 then 'Not applicable 2019/20, 2011/12 and prior' when p.dw_fromdate &lt;= 20110801 then 'Not applicable 2019/20, 2011/12 and prior' else IIF(p.f_curaccdis1='','Not applicable',jcad1.dw_currentlabel) end</v>
      </c>
      <c r="AC145" s="28" t="str">
        <f t="shared" si="23"/>
        <v/>
      </c>
      <c r="AD145" s="28" t="str">
        <f t="shared" si="26"/>
        <v/>
      </c>
      <c r="AE145" t="str">
        <f t="shared" si="20"/>
        <v>[Current academic discipline 1]</v>
      </c>
    </row>
    <row r="146" spans="1:31" ht="48" x14ac:dyDescent="0.2">
      <c r="A146">
        <v>100743</v>
      </c>
      <c r="B146" s="11" t="str">
        <f>DataItems3[[#This Row],[Field]]&amp;IF(DataItems3[[#This Row],[Options for supplying the Field]]="",""," "&amp;DataItems3[[#This Row],[Options for supplying the Field]])</f>
        <v>Current academic discipline 1 (Principal subject) - 2012/13 to 2018/19 only</v>
      </c>
      <c r="C146">
        <v>100743</v>
      </c>
      <c r="D146" s="3" t="s">
        <v>100</v>
      </c>
      <c r="F146" s="3" t="s">
        <v>595</v>
      </c>
      <c r="G146" s="13" t="s">
        <v>619</v>
      </c>
      <c r="H146" s="14" t="s">
        <v>615</v>
      </c>
      <c r="J146" s="3">
        <v>5</v>
      </c>
      <c r="K146" s="3">
        <v>5</v>
      </c>
      <c r="L146" s="3">
        <v>0</v>
      </c>
      <c r="M146" s="3">
        <v>0</v>
      </c>
      <c r="N146" s="3" t="s">
        <v>89</v>
      </c>
      <c r="Q146" s="16" t="s">
        <v>620</v>
      </c>
      <c r="S146" s="16" t="s">
        <v>621</v>
      </c>
      <c r="T146" s="16"/>
      <c r="U146" s="3" t="s">
        <v>622</v>
      </c>
      <c r="W146" s="57" t="s">
        <v>3017</v>
      </c>
      <c r="X146" t="str">
        <f>DataItems3[[#This Row],[Collection]]&amp;DataItems3[[#This Row],[Field]]&amp;DataItems3[[#This Row],[Options for supplying the Field]]&amp;DataItems3[[#This Row],[Fieldname]]&amp;DataItems3[[#This Row],[Parent]]</f>
        <v>StaffCurrent academic discipline 1(Principal subject) - 2012/13 to 2018/19 onlyF_CURACCDIS1</v>
      </c>
      <c r="Y146" s="4">
        <v>44168</v>
      </c>
      <c r="Z146" t="s">
        <v>135</v>
      </c>
      <c r="AA146" s="28" t="str">
        <f t="shared" si="21"/>
        <v>Case when p.dw_fromdate &gt;= 20190801 then 'Not applicable 2019/20, 2011/12 and prior' when p.dw_fromdate &lt;= 20110801 then 'Not applicable 2019/20, 2011/12 and prior' else IIF(p.f_curaccdis1='','Not applicable',SUBSTRING(p.f_curaccdis1,1,2)) end</v>
      </c>
      <c r="AB146" s="28" t="str">
        <f t="shared" si="25"/>
        <v>Case when p.dw_fromdate &gt;= 20190801 then 'Not applicable 2019/20, 2011/12 and prior' when p.dw_fromdate &lt;= 20110801 then 'Not applicable 2019/20, 2011/12 and prior' else IIF(p.f_curaccdis1='','Not applicable', jpcad1.dw_currentlabel) end</v>
      </c>
      <c r="AC146" s="28" t="str">
        <f t="shared" si="23"/>
        <v/>
      </c>
      <c r="AD146" s="28" t="str">
        <f t="shared" si="26"/>
        <v/>
      </c>
      <c r="AE146" t="str">
        <f t="shared" si="20"/>
        <v>[Current academic discipline 1]</v>
      </c>
    </row>
    <row r="147" spans="1:31" ht="32" x14ac:dyDescent="0.2">
      <c r="A147">
        <v>100125</v>
      </c>
      <c r="B147" s="23" t="str">
        <f>DataItems3[[#This Row],[Field]]&amp;IF(DataItems3[[#This Row],[Options for supplying the Field]]="",""," "&amp;DataItems3[[#This Row],[Options for supplying the Field]])</f>
        <v>Current academic discipline 1 (Subject area) - 2012/13 to 2018/19 only</v>
      </c>
      <c r="C147">
        <v>100125</v>
      </c>
      <c r="D147" s="3" t="s">
        <v>100</v>
      </c>
      <c r="F147" s="3" t="s">
        <v>595</v>
      </c>
      <c r="G147" s="13" t="s">
        <v>623</v>
      </c>
      <c r="H147" s="14" t="s">
        <v>615</v>
      </c>
      <c r="J147" s="3">
        <v>5</v>
      </c>
      <c r="K147" s="3">
        <v>4</v>
      </c>
      <c r="L147" s="3">
        <v>0</v>
      </c>
      <c r="M147" s="3">
        <v>0</v>
      </c>
      <c r="N147" s="3" t="s">
        <v>89</v>
      </c>
      <c r="Q147" s="16" t="s">
        <v>624</v>
      </c>
      <c r="R147" s="3" t="s">
        <v>93</v>
      </c>
      <c r="S147" s="16" t="s">
        <v>625</v>
      </c>
      <c r="T147" s="16"/>
      <c r="U147" s="3" t="s">
        <v>626</v>
      </c>
      <c r="V147" s="3" t="s">
        <v>93</v>
      </c>
      <c r="W147" s="57" t="s">
        <v>3017</v>
      </c>
      <c r="X147" t="str">
        <f>DataItems3[[#This Row],[Collection]]&amp;DataItems3[[#This Row],[Field]]&amp;DataItems3[[#This Row],[Options for supplying the Field]]&amp;DataItems3[[#This Row],[Fieldname]]&amp;DataItems3[[#This Row],[Parent]]</f>
        <v>StaffCurrent academic discipline 1(Subject area) - 2012/13 to 2018/19 onlyF_CURACCDIS1</v>
      </c>
      <c r="Y147" s="15">
        <v>43395</v>
      </c>
      <c r="Z147" t="s">
        <v>102</v>
      </c>
      <c r="AA147" s="28" t="str">
        <f t="shared" si="21"/>
        <v>Case when p.dw_fromdate &gt;= 20190801 then 'Not applicable 2019/20, 2011/12 and prior' when p.dw_fromdate &lt;= 20110801 then 'Not applicable 2019/20, 2011/12 and prior' else IIF(p.f_curaccdis1='','Not applicable',SUBSTRING(p.f_curaccdis1,1,1)) end</v>
      </c>
      <c r="AB147" s="28" t="str">
        <f t="shared" si="25"/>
        <v>Case when p.dw_fromdate &gt;= 20190801 then 'Not applicable 2019/20, 2011/12 and prior' when p.dw_fromdate &lt;= 20110801 then 'Not applicable 2019/20, 2011/12 and prior' else IIF(p.f_curaccdis1='','Not applicable', jacad1.dw_currentlabel) end</v>
      </c>
      <c r="AC147" s="28" t="str">
        <f t="shared" si="23"/>
        <v/>
      </c>
      <c r="AD147" s="28" t="str">
        <f t="shared" si="26"/>
        <v/>
      </c>
      <c r="AE147" t="str">
        <f t="shared" si="20"/>
        <v>[Current academic discipline 1]</v>
      </c>
    </row>
    <row r="148" spans="1:31" ht="32" x14ac:dyDescent="0.2">
      <c r="A148">
        <v>100780</v>
      </c>
      <c r="B148" s="11" t="str">
        <f>DataItems3[[#This Row],[Field]]&amp;IF(DataItems3[[#This Row],[Options for supplying the Field]]="",""," "&amp;DataItems3[[#This Row],[Options for supplying the Field]])</f>
        <v>Current academic discipline 2 (CAH1 2019/20 onwards)</v>
      </c>
      <c r="C148">
        <v>100780</v>
      </c>
      <c r="D148" s="3" t="s">
        <v>100</v>
      </c>
      <c r="F148" s="3" t="s">
        <v>627</v>
      </c>
      <c r="G148" s="13" t="s">
        <v>596</v>
      </c>
      <c r="H148" s="14" t="s">
        <v>628</v>
      </c>
      <c r="J148" s="3">
        <v>0</v>
      </c>
      <c r="K148" s="3">
        <v>0</v>
      </c>
      <c r="L148" s="3">
        <v>0</v>
      </c>
      <c r="M148" s="3">
        <v>0</v>
      </c>
      <c r="N148" s="3" t="s">
        <v>89</v>
      </c>
      <c r="Q148" s="16" t="s">
        <v>629</v>
      </c>
      <c r="S148" s="16" t="s">
        <v>630</v>
      </c>
      <c r="T148" s="16"/>
      <c r="U148" s="3" t="s">
        <v>631</v>
      </c>
      <c r="W148" s="57" t="s">
        <v>114</v>
      </c>
      <c r="X148" t="str">
        <f>DataItems3[[#This Row],[Collection]]&amp;DataItems3[[#This Row],[Field]]&amp;DataItems3[[#This Row],[Options for supplying the Field]]&amp;DataItems3[[#This Row],[Fieldname]]&amp;DataItems3[[#This Row],[Parent]]</f>
        <v>StaffCurrent academic discipline 2(CAH1 2019/20 onwards)F_CAD2_CAH1</v>
      </c>
      <c r="Y148" s="4">
        <v>44253</v>
      </c>
      <c r="Z148" t="s">
        <v>135</v>
      </c>
      <c r="AA148" s="28" t="str">
        <f t="shared" si="21"/>
        <v>Case when p.dw_fromdate &lt; 20190801 then 'Not applicable before 2019/20' else isnull(sbj2.[cah1 (code only)],'Not applicable') end</v>
      </c>
      <c r="AB148" s="28" t="str">
        <f t="shared" si="25"/>
        <v>Case when p.dw_fromdate &lt; 20190801 then 'Not applicable before 2019/20' else isnull(sbj2.[cah1],'Not applicable') end</v>
      </c>
      <c r="AC148" s="28" t="str">
        <f t="shared" si="23"/>
        <v/>
      </c>
      <c r="AD148" s="28" t="str">
        <f t="shared" si="26"/>
        <v/>
      </c>
      <c r="AE148" t="str">
        <f t="shared" si="20"/>
        <v>[Current academic discipline 2]</v>
      </c>
    </row>
    <row r="149" spans="1:31" ht="32" x14ac:dyDescent="0.2">
      <c r="A149">
        <v>100785</v>
      </c>
      <c r="B149" s="11" t="str">
        <f>DataItems3[[#This Row],[Field]]&amp;IF(DataItems3[[#This Row],[Options for supplying the Field]]="",""," "&amp;DataItems3[[#This Row],[Options for supplying the Field]])</f>
        <v>Current academic discipline 2 (CAH2 2019/20 onwards)</v>
      </c>
      <c r="C149">
        <v>100785</v>
      </c>
      <c r="D149" s="3" t="s">
        <v>100</v>
      </c>
      <c r="F149" s="3" t="s">
        <v>627</v>
      </c>
      <c r="G149" s="13" t="s">
        <v>601</v>
      </c>
      <c r="H149" s="14" t="s">
        <v>632</v>
      </c>
      <c r="J149" s="3">
        <v>0</v>
      </c>
      <c r="K149" s="3">
        <v>0</v>
      </c>
      <c r="L149" s="3">
        <v>0</v>
      </c>
      <c r="M149" s="3">
        <v>0</v>
      </c>
      <c r="N149" s="3" t="s">
        <v>89</v>
      </c>
      <c r="Q149" s="16" t="s">
        <v>633</v>
      </c>
      <c r="S149" s="16" t="s">
        <v>634</v>
      </c>
      <c r="T149" s="16"/>
      <c r="U149" s="3" t="s">
        <v>631</v>
      </c>
      <c r="W149" s="57" t="s">
        <v>114</v>
      </c>
      <c r="X149" t="str">
        <f>DataItems3[[#This Row],[Collection]]&amp;DataItems3[[#This Row],[Field]]&amp;DataItems3[[#This Row],[Options for supplying the Field]]&amp;DataItems3[[#This Row],[Fieldname]]&amp;DataItems3[[#This Row],[Parent]]</f>
        <v>StaffCurrent academic discipline 2(CAH2 2019/20 onwards)F_CAD2_CAH2</v>
      </c>
      <c r="Y149" s="4">
        <v>44253</v>
      </c>
      <c r="Z149" t="s">
        <v>135</v>
      </c>
      <c r="AA149" s="28" t="str">
        <f t="shared" si="21"/>
        <v>Case when p.dw_fromdate &lt; 20190801 then 'Not applicable before 2019/20' else isnull(sbj2.[cah2 (code only)],'Not applicable') end</v>
      </c>
      <c r="AB149" s="28" t="str">
        <f t="shared" si="25"/>
        <v>Case when p.dw_fromdate &lt; 20190801 then 'Not applicable before 2019/20' else isnull(sbj2.[cah2],'Not applicable') end</v>
      </c>
      <c r="AC149" s="28" t="str">
        <f t="shared" si="23"/>
        <v/>
      </c>
      <c r="AD149" s="28" t="str">
        <f t="shared" si="26"/>
        <v/>
      </c>
      <c r="AE149" t="str">
        <f t="shared" si="20"/>
        <v>[Current academic discipline 2]</v>
      </c>
    </row>
    <row r="150" spans="1:31" ht="32" x14ac:dyDescent="0.2">
      <c r="A150">
        <v>100782</v>
      </c>
      <c r="B150" s="11" t="str">
        <f>DataItems3[[#This Row],[Field]]&amp;IF(DataItems3[[#This Row],[Options for supplying the Field]]="",""," "&amp;DataItems3[[#This Row],[Options for supplying the Field]])</f>
        <v>Current academic discipline 2 (CAH3 2019/20 onwards)</v>
      </c>
      <c r="C150">
        <v>100782</v>
      </c>
      <c r="D150" s="3" t="s">
        <v>100</v>
      </c>
      <c r="F150" s="3" t="s">
        <v>627</v>
      </c>
      <c r="G150" s="13" t="s">
        <v>605</v>
      </c>
      <c r="H150" s="14" t="s">
        <v>635</v>
      </c>
      <c r="J150" s="3">
        <v>0</v>
      </c>
      <c r="K150" s="3">
        <v>0</v>
      </c>
      <c r="L150" s="3">
        <v>0</v>
      </c>
      <c r="M150" s="3">
        <v>0</v>
      </c>
      <c r="N150" s="3" t="s">
        <v>89</v>
      </c>
      <c r="Q150" s="16" t="s">
        <v>636</v>
      </c>
      <c r="S150" s="16" t="s">
        <v>637</v>
      </c>
      <c r="T150" s="16"/>
      <c r="U150" s="3" t="s">
        <v>631</v>
      </c>
      <c r="W150" s="57" t="s">
        <v>114</v>
      </c>
      <c r="X150" t="str">
        <f>DataItems3[[#This Row],[Collection]]&amp;DataItems3[[#This Row],[Field]]&amp;DataItems3[[#This Row],[Options for supplying the Field]]&amp;DataItems3[[#This Row],[Fieldname]]&amp;DataItems3[[#This Row],[Parent]]</f>
        <v>StaffCurrent academic discipline 2(CAH3 2019/20 onwards)F_CAD2_CAH3</v>
      </c>
      <c r="Y150" s="4">
        <v>44253</v>
      </c>
      <c r="Z150" t="s">
        <v>135</v>
      </c>
      <c r="AA150" s="28" t="str">
        <f t="shared" si="21"/>
        <v>Case when p.dw_fromdate &lt; 20190801 then 'Not applicable before 2019/20' else isnull(sbj2.[cah3 (code only)],'Not applicable') end</v>
      </c>
      <c r="AB150" s="28" t="str">
        <f t="shared" si="25"/>
        <v>Case when p.dw_fromdate &lt; 20190801 then 'Not applicable before 2019/20' else isnull(sbj2.[cah3],'Not applicable') end</v>
      </c>
      <c r="AC150" s="28" t="str">
        <f t="shared" si="23"/>
        <v/>
      </c>
      <c r="AD150" s="28" t="str">
        <f t="shared" si="26"/>
        <v/>
      </c>
      <c r="AE150" t="str">
        <f t="shared" si="20"/>
        <v>[Current academic discipline 2]</v>
      </c>
    </row>
    <row r="151" spans="1:31" ht="32" x14ac:dyDescent="0.2">
      <c r="A151">
        <v>100775</v>
      </c>
      <c r="B151" s="11" t="str">
        <f>DataItems3[[#This Row],[Field]]&amp;IF(DataItems3[[#This Row],[Options for supplying the Field]]="",""," "&amp;DataItems3[[#This Row],[Options for supplying the Field]])</f>
        <v>Current academic discipline 2 (HECoS 2019/20 onwards)</v>
      </c>
      <c r="C151">
        <v>100775</v>
      </c>
      <c r="D151" s="3" t="s">
        <v>100</v>
      </c>
      <c r="F151" s="3" t="s">
        <v>627</v>
      </c>
      <c r="G151" s="13" t="s">
        <v>609</v>
      </c>
      <c r="H151" s="14" t="s">
        <v>638</v>
      </c>
      <c r="J151" s="3">
        <v>0</v>
      </c>
      <c r="K151" s="3">
        <v>0</v>
      </c>
      <c r="L151" s="3">
        <v>0</v>
      </c>
      <c r="M151" s="3">
        <v>0</v>
      </c>
      <c r="N151" s="3" t="s">
        <v>89</v>
      </c>
      <c r="Q151" s="16" t="s">
        <v>639</v>
      </c>
      <c r="S151" s="16" t="s">
        <v>640</v>
      </c>
      <c r="T151" s="16"/>
      <c r="U151" s="3" t="s">
        <v>641</v>
      </c>
      <c r="W151" s="57" t="s">
        <v>2908</v>
      </c>
      <c r="X151" t="str">
        <f>DataItems3[[#This Row],[Collection]]&amp;DataItems3[[#This Row],[Field]]&amp;DataItems3[[#This Row],[Options for supplying the Field]]&amp;DataItems3[[#This Row],[Fieldname]]&amp;DataItems3[[#This Row],[Parent]]</f>
        <v>StaffCurrent academic discipline 2(HECoS 2019/20 onwards)F_CAD2_HECOS</v>
      </c>
      <c r="Y151" s="4">
        <v>44253</v>
      </c>
      <c r="Z151" t="s">
        <v>135</v>
      </c>
      <c r="AA151" s="28" t="str">
        <f t="shared" si="21"/>
        <v>Case when p.dw_fromdate &lt; 20190801 then 'Not applicable before 2019/20' else  IIF(p.f_curaccdis2='','Not applicable',p.f_curaccdis2) end</v>
      </c>
      <c r="AB151" s="28" t="str">
        <f t="shared" si="25"/>
        <v>Case when p.dw_fromdate &lt; 20190801 then 'Not applicable before 2019/20' else  IIF(p.f_curaccdis2='','Not applicable',hcad2.dw_currentlabel) end</v>
      </c>
      <c r="AC151" s="28" t="str">
        <f t="shared" si="23"/>
        <v/>
      </c>
      <c r="AD151" s="28" t="str">
        <f t="shared" si="26"/>
        <v/>
      </c>
      <c r="AE151" t="str">
        <f t="shared" si="20"/>
        <v>[Current academic discipline 2]</v>
      </c>
    </row>
    <row r="152" spans="1:31" ht="32" x14ac:dyDescent="0.2">
      <c r="A152">
        <v>100748</v>
      </c>
      <c r="B152" s="11" t="str">
        <f>DataItems3[[#This Row],[Field]]&amp;IF(DataItems3[[#This Row],[Options for supplying the Field]]="",""," "&amp;DataItems3[[#This Row],[Options for supplying the Field]])</f>
        <v>Current academic discipline 2 (4-digit JACS) - 2012/13 to 2018/19 only</v>
      </c>
      <c r="C152">
        <v>100748</v>
      </c>
      <c r="D152" s="3" t="s">
        <v>100</v>
      </c>
      <c r="F152" s="3" t="s">
        <v>627</v>
      </c>
      <c r="G152" s="13" t="s">
        <v>614</v>
      </c>
      <c r="H152" s="14" t="s">
        <v>642</v>
      </c>
      <c r="J152" s="3">
        <v>0</v>
      </c>
      <c r="K152" s="3">
        <v>0</v>
      </c>
      <c r="L152" s="3">
        <v>0</v>
      </c>
      <c r="M152" s="3">
        <v>0</v>
      </c>
      <c r="N152" s="3" t="s">
        <v>89</v>
      </c>
      <c r="Q152" s="16" t="s">
        <v>643</v>
      </c>
      <c r="S152" s="16" t="s">
        <v>644</v>
      </c>
      <c r="T152" s="16"/>
      <c r="U152" s="3" t="s">
        <v>645</v>
      </c>
      <c r="W152" s="57" t="s">
        <v>3017</v>
      </c>
      <c r="X152" t="str">
        <f>DataItems3[[#This Row],[Collection]]&amp;DataItems3[[#This Row],[Field]]&amp;DataItems3[[#This Row],[Options for supplying the Field]]&amp;DataItems3[[#This Row],[Fieldname]]&amp;DataItems3[[#This Row],[Parent]]</f>
        <v>StaffCurrent academic discipline 2(4-digit JACS) - 2012/13 to 2018/19 onlyF_CURACCDIS2</v>
      </c>
      <c r="Y152" s="4">
        <v>44168</v>
      </c>
      <c r="Z152" t="s">
        <v>135</v>
      </c>
      <c r="AA152" s="28" t="str">
        <f t="shared" si="21"/>
        <v>Case when p.dw_fromdate &gt;= 20190801 then 'Not applicable 2019/20, 2011/12 and prior' when p.dw_fromdate &lt;= 20110801 then 'Not applicable 2019/20, 2011/12 and prior' else IIF(p.f_curaccdis2='','Not applicable',p.f_curaccdis2)  end</v>
      </c>
      <c r="AB152" s="28" t="str">
        <f t="shared" si="25"/>
        <v>Case when p.dw_fromdate &gt;= 20190801 then 'Not applicable 2019/20, 2011/12 and prior' when p.dw_fromdate &lt;= 20110801 then 'Not applicable 2019/20, 2011/12 and prior' else IIF(p.f_curaccdis2='','Not applicable',jcad2.dw_currentlabel) end</v>
      </c>
      <c r="AC152" s="28" t="str">
        <f t="shared" si="23"/>
        <v/>
      </c>
      <c r="AD152" s="28" t="str">
        <f t="shared" si="26"/>
        <v/>
      </c>
      <c r="AE152" t="str">
        <f t="shared" si="20"/>
        <v>[Current academic discipline 2]</v>
      </c>
    </row>
    <row r="153" spans="1:31" ht="48" x14ac:dyDescent="0.2">
      <c r="A153">
        <v>100744</v>
      </c>
      <c r="B153" s="11" t="str">
        <f>DataItems3[[#This Row],[Field]]&amp;IF(DataItems3[[#This Row],[Options for supplying the Field]]="",""," "&amp;DataItems3[[#This Row],[Options for supplying the Field]])</f>
        <v>Current academic discipline 2 (Principal subject) - 2012/13 to 2018/19 only</v>
      </c>
      <c r="C153">
        <v>100744</v>
      </c>
      <c r="D153" s="3" t="s">
        <v>100</v>
      </c>
      <c r="F153" s="3" t="s">
        <v>627</v>
      </c>
      <c r="G153" s="13" t="s">
        <v>619</v>
      </c>
      <c r="H153" s="14" t="s">
        <v>642</v>
      </c>
      <c r="J153" s="3">
        <v>0</v>
      </c>
      <c r="K153" s="3">
        <v>0</v>
      </c>
      <c r="L153" s="3">
        <v>0</v>
      </c>
      <c r="M153" s="3">
        <v>0</v>
      </c>
      <c r="N153" s="3" t="s">
        <v>89</v>
      </c>
      <c r="Q153" s="16" t="s">
        <v>646</v>
      </c>
      <c r="S153" s="16" t="s">
        <v>647</v>
      </c>
      <c r="T153" s="16"/>
      <c r="U153" s="3" t="s">
        <v>648</v>
      </c>
      <c r="W153" s="57" t="s">
        <v>3017</v>
      </c>
      <c r="X153" t="str">
        <f>DataItems3[[#This Row],[Collection]]&amp;DataItems3[[#This Row],[Field]]&amp;DataItems3[[#This Row],[Options for supplying the Field]]&amp;DataItems3[[#This Row],[Fieldname]]&amp;DataItems3[[#This Row],[Parent]]</f>
        <v>StaffCurrent academic discipline 2(Principal subject) - 2012/13 to 2018/19 onlyF_CURACCDIS2</v>
      </c>
      <c r="Y153" s="4">
        <v>44168</v>
      </c>
      <c r="Z153" t="s">
        <v>135</v>
      </c>
      <c r="AA153" s="28" t="str">
        <f t="shared" si="21"/>
        <v>Case when p.dw_fromdate &gt;= 20190801 then 'Not applicable 2019/20, 2011/12 and prior' when p.dw_fromdate &lt;= 20110801 then 'Not applicable 2019/20, 2011/12 and prior' else  IIF(p.f_curaccdis2='','Not applicable',SUBSTRING(p.f_curaccdis2,1,2))  end</v>
      </c>
      <c r="AB153" s="28" t="str">
        <f t="shared" si="25"/>
        <v>Case when p.dw_fromdate &gt;= 20190801 then 'Not applicable 2019/20, 2011/12 and prior' when p.dw_fromdate &lt;= 20110801 then 'Not applicable 2019/20, 2011/12 and prior' else  IIF(p.f_curaccdis2='','Not applicable',jpcad2.dw_currentlabel)  end</v>
      </c>
      <c r="AC153" s="28" t="str">
        <f t="shared" si="23"/>
        <v/>
      </c>
      <c r="AD153" s="28" t="str">
        <f t="shared" si="26"/>
        <v/>
      </c>
      <c r="AE153" t="str">
        <f t="shared" si="20"/>
        <v>[Current academic discipline 2]</v>
      </c>
    </row>
    <row r="154" spans="1:31" ht="32" x14ac:dyDescent="0.2">
      <c r="A154">
        <v>100128</v>
      </c>
      <c r="B154" s="11" t="str">
        <f>DataItems3[[#This Row],[Field]]&amp;IF(DataItems3[[#This Row],[Options for supplying the Field]]="",""," "&amp;DataItems3[[#This Row],[Options for supplying the Field]])</f>
        <v>Current academic discipline 2 (Subject area) - 2012/13 to 2018/19 only</v>
      </c>
      <c r="C154">
        <v>100128</v>
      </c>
      <c r="D154" s="3" t="s">
        <v>100</v>
      </c>
      <c r="F154" s="3" t="s">
        <v>627</v>
      </c>
      <c r="G154" s="13" t="s">
        <v>623</v>
      </c>
      <c r="H154" s="14" t="s">
        <v>642</v>
      </c>
      <c r="J154" s="3">
        <v>0</v>
      </c>
      <c r="K154" s="3">
        <v>0</v>
      </c>
      <c r="L154" s="3">
        <v>0</v>
      </c>
      <c r="M154" s="3">
        <v>0</v>
      </c>
      <c r="N154" s="3" t="s">
        <v>89</v>
      </c>
      <c r="Q154" s="16" t="s">
        <v>649</v>
      </c>
      <c r="R154" s="3" t="s">
        <v>93</v>
      </c>
      <c r="S154" s="16" t="s">
        <v>650</v>
      </c>
      <c r="T154" s="16"/>
      <c r="U154" s="3" t="s">
        <v>651</v>
      </c>
      <c r="V154" s="3" t="s">
        <v>93</v>
      </c>
      <c r="W154" s="57" t="s">
        <v>3017</v>
      </c>
      <c r="X154" t="str">
        <f>DataItems3[[#This Row],[Collection]]&amp;DataItems3[[#This Row],[Field]]&amp;DataItems3[[#This Row],[Options for supplying the Field]]&amp;DataItems3[[#This Row],[Fieldname]]&amp;DataItems3[[#This Row],[Parent]]</f>
        <v>StaffCurrent academic discipline 2(Subject area) - 2012/13 to 2018/19 onlyF_CURACCDIS2</v>
      </c>
      <c r="Y154" s="15">
        <v>43395</v>
      </c>
      <c r="Z154" t="s">
        <v>102</v>
      </c>
      <c r="AA154" s="28" t="str">
        <f t="shared" si="21"/>
        <v>Case when p.dw_fromdate &gt;= 20190801 then 'Not applicable 2019/20, 2011/12 and prior' when p.dw_fromdate &lt;= 20110801 then 'Not applicable 2019/20, 2011/12 and prior' else  IIF(p.f_curaccdis2='','Not applicable',SUBSTRING(p.f_curaccdis2,1,1))  end</v>
      </c>
      <c r="AB154" s="28" t="str">
        <f t="shared" si="25"/>
        <v>Case when p.dw_fromdate &gt;= 20190801 then 'Not applicable 2019/20, 2011/12 and prior' when p.dw_fromdate &lt;= 20110801 then 'Not applicable 2019/20, 2011/12 and prior' else  IIF(p.f_curaccdis2='','Not applicable',jacad2.dw_currentlabel)  end</v>
      </c>
      <c r="AC154" s="28" t="str">
        <f t="shared" si="23"/>
        <v/>
      </c>
      <c r="AD154" s="28" t="str">
        <f t="shared" si="26"/>
        <v/>
      </c>
      <c r="AE154" t="str">
        <f t="shared" si="20"/>
        <v>[Current academic discipline 2]</v>
      </c>
    </row>
    <row r="155" spans="1:31" ht="32" x14ac:dyDescent="0.2">
      <c r="A155">
        <v>100772</v>
      </c>
      <c r="B155" s="11" t="str">
        <f>DataItems3[[#This Row],[Field]]&amp;IF(DataItems3[[#This Row],[Options for supplying the Field]]="",""," "&amp;DataItems3[[#This Row],[Options for supplying the Field]])</f>
        <v>Current academic discipline 3 (CAH1 2019/20 onwards)</v>
      </c>
      <c r="C155">
        <v>100772</v>
      </c>
      <c r="D155" s="3" t="s">
        <v>100</v>
      </c>
      <c r="F155" s="3" t="s">
        <v>652</v>
      </c>
      <c r="G155" s="13" t="s">
        <v>596</v>
      </c>
      <c r="H155" s="14" t="s">
        <v>653</v>
      </c>
      <c r="J155" s="3">
        <v>0</v>
      </c>
      <c r="K155" s="3">
        <v>0</v>
      </c>
      <c r="L155" s="3">
        <v>0</v>
      </c>
      <c r="M155" s="3">
        <v>0</v>
      </c>
      <c r="N155" s="3" t="s">
        <v>89</v>
      </c>
      <c r="Q155" s="16" t="s">
        <v>654</v>
      </c>
      <c r="S155" s="16" t="s">
        <v>655</v>
      </c>
      <c r="T155" s="16"/>
      <c r="U155" s="3" t="s">
        <v>656</v>
      </c>
      <c r="W155" s="57" t="s">
        <v>114</v>
      </c>
      <c r="X155" t="str">
        <f>DataItems3[[#This Row],[Collection]]&amp;DataItems3[[#This Row],[Field]]&amp;DataItems3[[#This Row],[Options for supplying the Field]]&amp;DataItems3[[#This Row],[Fieldname]]&amp;DataItems3[[#This Row],[Parent]]</f>
        <v>StaffCurrent academic discipline 3(CAH1 2019/20 onwards)F_CAD3_CAH1</v>
      </c>
      <c r="Y155" s="4">
        <v>44253</v>
      </c>
      <c r="Z155" t="s">
        <v>135</v>
      </c>
      <c r="AA155" s="28" t="str">
        <f t="shared" si="21"/>
        <v>Case when p.dw_fromdate &lt; 20190801 then 'Not applicable before 2019/20' else isnull(sbj3.[cah1 (code only)],'Not applicable') end</v>
      </c>
      <c r="AB155" s="28" t="str">
        <f t="shared" si="25"/>
        <v>Case when p.dw_fromdate &lt; 20190801 then 'Not applicable before 2019/20' else isnull(sbj3.[cah1],'Not applicable') end</v>
      </c>
      <c r="AC155" s="28" t="str">
        <f t="shared" si="23"/>
        <v/>
      </c>
      <c r="AD155" s="28" t="str">
        <f t="shared" si="26"/>
        <v/>
      </c>
      <c r="AE155" t="str">
        <f t="shared" si="20"/>
        <v>[Current academic discipline 3]</v>
      </c>
    </row>
    <row r="156" spans="1:31" ht="32" x14ac:dyDescent="0.2">
      <c r="A156">
        <v>100784</v>
      </c>
      <c r="B156" s="11" t="str">
        <f>DataItems3[[#This Row],[Field]]&amp;IF(DataItems3[[#This Row],[Options for supplying the Field]]="",""," "&amp;DataItems3[[#This Row],[Options for supplying the Field]])</f>
        <v>Current academic discipline 3 (CAH2 2019/20 onwards)</v>
      </c>
      <c r="C156">
        <v>100784</v>
      </c>
      <c r="D156" s="3" t="s">
        <v>100</v>
      </c>
      <c r="F156" s="3" t="s">
        <v>652</v>
      </c>
      <c r="G156" s="13" t="s">
        <v>601</v>
      </c>
      <c r="H156" s="14" t="s">
        <v>657</v>
      </c>
      <c r="J156" s="3">
        <v>0</v>
      </c>
      <c r="K156" s="3">
        <v>0</v>
      </c>
      <c r="L156" s="3">
        <v>0</v>
      </c>
      <c r="M156" s="3">
        <v>0</v>
      </c>
      <c r="N156" s="3" t="s">
        <v>89</v>
      </c>
      <c r="Q156" s="16" t="s">
        <v>658</v>
      </c>
      <c r="S156" s="16" t="s">
        <v>659</v>
      </c>
      <c r="T156" s="16"/>
      <c r="U156" s="3" t="s">
        <v>656</v>
      </c>
      <c r="W156" s="57" t="s">
        <v>114</v>
      </c>
      <c r="X156" t="str">
        <f>DataItems3[[#This Row],[Collection]]&amp;DataItems3[[#This Row],[Field]]&amp;DataItems3[[#This Row],[Options for supplying the Field]]&amp;DataItems3[[#This Row],[Fieldname]]&amp;DataItems3[[#This Row],[Parent]]</f>
        <v>StaffCurrent academic discipline 3(CAH2 2019/20 onwards)F_CAD3_CAH2</v>
      </c>
      <c r="Y156" s="4">
        <v>44253</v>
      </c>
      <c r="Z156" t="s">
        <v>135</v>
      </c>
      <c r="AA156" s="28" t="str">
        <f t="shared" si="21"/>
        <v>Case when p.dw_fromdate &lt; 20190801 then 'Not applicable before 2019/20' else isnull(sbj3.[cah2 (code only)],'Not applicable') end</v>
      </c>
      <c r="AB156" s="28" t="str">
        <f t="shared" si="25"/>
        <v>Case when p.dw_fromdate &lt; 20190801 then 'Not applicable before 2019/20' else isnull(sbj3.[cah2],'Not applicable') end</v>
      </c>
      <c r="AC156" s="28" t="str">
        <f t="shared" si="23"/>
        <v/>
      </c>
      <c r="AD156" s="28" t="str">
        <f t="shared" si="26"/>
        <v/>
      </c>
      <c r="AE156" t="str">
        <f t="shared" si="20"/>
        <v>[Current academic discipline 3]</v>
      </c>
    </row>
    <row r="157" spans="1:31" ht="32" x14ac:dyDescent="0.2">
      <c r="A157">
        <v>100781</v>
      </c>
      <c r="B157" s="11" t="str">
        <f>DataItems3[[#This Row],[Field]]&amp;IF(DataItems3[[#This Row],[Options for supplying the Field]]="",""," "&amp;DataItems3[[#This Row],[Options for supplying the Field]])</f>
        <v>Current academic discipline 3 (CAH3 2019/20 onwards)</v>
      </c>
      <c r="C157">
        <v>100781</v>
      </c>
      <c r="D157" s="3" t="s">
        <v>100</v>
      </c>
      <c r="F157" s="3" t="s">
        <v>652</v>
      </c>
      <c r="G157" s="13" t="s">
        <v>605</v>
      </c>
      <c r="H157" s="14" t="s">
        <v>660</v>
      </c>
      <c r="J157" s="3">
        <v>0</v>
      </c>
      <c r="K157" s="3">
        <v>0</v>
      </c>
      <c r="L157" s="3">
        <v>0</v>
      </c>
      <c r="M157" s="3">
        <v>0</v>
      </c>
      <c r="N157" s="3" t="s">
        <v>89</v>
      </c>
      <c r="Q157" s="16" t="s">
        <v>661</v>
      </c>
      <c r="S157" s="16" t="s">
        <v>662</v>
      </c>
      <c r="T157" s="16"/>
      <c r="U157" s="3" t="s">
        <v>656</v>
      </c>
      <c r="W157" s="57" t="s">
        <v>114</v>
      </c>
      <c r="X157" t="str">
        <f>DataItems3[[#This Row],[Collection]]&amp;DataItems3[[#This Row],[Field]]&amp;DataItems3[[#This Row],[Options for supplying the Field]]&amp;DataItems3[[#This Row],[Fieldname]]&amp;DataItems3[[#This Row],[Parent]]</f>
        <v>StaffCurrent academic discipline 3(CAH3 2019/20 onwards)F_CAD3_CAH3</v>
      </c>
      <c r="Y157" s="4">
        <v>44253</v>
      </c>
      <c r="Z157" t="s">
        <v>135</v>
      </c>
      <c r="AA157" s="28" t="str">
        <f t="shared" si="21"/>
        <v>Case when p.dw_fromdate &lt; 20190801 then 'Not applicable before 2019/20' else isnull(sbj3.[cah3 (code only)],'Not applicable') end</v>
      </c>
      <c r="AB157" s="28" t="str">
        <f t="shared" si="25"/>
        <v>Case when p.dw_fromdate &lt; 20190801 then 'Not applicable before 2019/20' else isnull(sbj3.[cah3],'Not applicable') end</v>
      </c>
      <c r="AC157" s="28" t="str">
        <f t="shared" si="23"/>
        <v/>
      </c>
      <c r="AD157" s="28" t="str">
        <f t="shared" si="26"/>
        <v/>
      </c>
      <c r="AE157" t="str">
        <f t="shared" si="20"/>
        <v>[Current academic discipline 3]</v>
      </c>
    </row>
    <row r="158" spans="1:31" ht="32" x14ac:dyDescent="0.2">
      <c r="A158">
        <v>100774</v>
      </c>
      <c r="B158" s="11" t="str">
        <f>DataItems3[[#This Row],[Field]]&amp;IF(DataItems3[[#This Row],[Options for supplying the Field]]="",""," "&amp;DataItems3[[#This Row],[Options for supplying the Field]])</f>
        <v>Current academic discipline 3 (HECoS 2019/20 onwards)</v>
      </c>
      <c r="C158">
        <v>100774</v>
      </c>
      <c r="D158" s="3" t="s">
        <v>100</v>
      </c>
      <c r="F158" s="3" t="s">
        <v>652</v>
      </c>
      <c r="G158" s="13" t="s">
        <v>609</v>
      </c>
      <c r="H158" s="14" t="s">
        <v>663</v>
      </c>
      <c r="J158" s="3">
        <v>0</v>
      </c>
      <c r="K158" s="3">
        <v>0</v>
      </c>
      <c r="L158" s="3">
        <v>0</v>
      </c>
      <c r="M158" s="3">
        <v>0</v>
      </c>
      <c r="N158" s="3" t="s">
        <v>89</v>
      </c>
      <c r="Q158" s="16" t="s">
        <v>664</v>
      </c>
      <c r="S158" s="16" t="s">
        <v>665</v>
      </c>
      <c r="T158" s="16"/>
      <c r="U158" s="3" t="s">
        <v>666</v>
      </c>
      <c r="W158" s="57" t="s">
        <v>2908</v>
      </c>
      <c r="X158" t="str">
        <f>DataItems3[[#This Row],[Collection]]&amp;DataItems3[[#This Row],[Field]]&amp;DataItems3[[#This Row],[Options for supplying the Field]]&amp;DataItems3[[#This Row],[Fieldname]]&amp;DataItems3[[#This Row],[Parent]]</f>
        <v>StaffCurrent academic discipline 3(HECoS 2019/20 onwards)F_CAD3_HECOS</v>
      </c>
      <c r="Y158" s="4">
        <v>44253</v>
      </c>
      <c r="Z158" t="s">
        <v>135</v>
      </c>
      <c r="AA158" s="28" t="str">
        <f t="shared" si="21"/>
        <v>Case when p.dw_fromdate &lt; 20190801 then 'Not applicable before 2019/20' else IIF(isnull(p.f_curaccdis3,'')='','Not applicable',p.f_curaccdis3) end</v>
      </c>
      <c r="AB158" s="28" t="str">
        <f t="shared" si="25"/>
        <v>Case when p.dw_fromdate &lt; 20190801 then 'Not applicable before 2019/20' else IIF(isnull(p.f_curaccdis3,'')='','Not applicable',hcad3.dw_currentlabel) end</v>
      </c>
      <c r="AC158" s="28" t="str">
        <f t="shared" si="23"/>
        <v/>
      </c>
      <c r="AD158" s="28" t="str">
        <f t="shared" si="26"/>
        <v/>
      </c>
      <c r="AE158" t="str">
        <f t="shared" si="20"/>
        <v>[Current academic discipline 3]</v>
      </c>
    </row>
    <row r="159" spans="1:31" ht="32" x14ac:dyDescent="0.2">
      <c r="A159">
        <v>100126</v>
      </c>
      <c r="B159" s="11" t="str">
        <f>DataItems3[[#This Row],[Field]]&amp;IF(DataItems3[[#This Row],[Options for supplying the Field]]="",""," "&amp;DataItems3[[#This Row],[Options for supplying the Field]])</f>
        <v>Current academic discipline 3 (4-digit JACS) - 2012/13 to 2018/19 only</v>
      </c>
      <c r="C159">
        <v>100126</v>
      </c>
      <c r="D159" s="3" t="s">
        <v>100</v>
      </c>
      <c r="F159" s="3" t="s">
        <v>652</v>
      </c>
      <c r="G159" s="13" t="s">
        <v>614</v>
      </c>
      <c r="H159" s="14" t="s">
        <v>667</v>
      </c>
      <c r="J159" s="3">
        <v>0</v>
      </c>
      <c r="K159" s="3">
        <v>0</v>
      </c>
      <c r="L159" s="3">
        <v>0</v>
      </c>
      <c r="M159" s="3">
        <v>0</v>
      </c>
      <c r="N159" s="3" t="s">
        <v>89</v>
      </c>
      <c r="Q159" s="16" t="s">
        <v>668</v>
      </c>
      <c r="S159" s="16" t="s">
        <v>669</v>
      </c>
      <c r="T159" s="16"/>
      <c r="U159" s="3" t="s">
        <v>670</v>
      </c>
      <c r="V159" s="3" t="s">
        <v>93</v>
      </c>
      <c r="W159" s="57" t="s">
        <v>3017</v>
      </c>
      <c r="X159" t="str">
        <f>DataItems3[[#This Row],[Collection]]&amp;DataItems3[[#This Row],[Field]]&amp;DataItems3[[#This Row],[Options for supplying the Field]]&amp;DataItems3[[#This Row],[Fieldname]]&amp;DataItems3[[#This Row],[Parent]]</f>
        <v>StaffCurrent academic discipline 3(4-digit JACS) - 2012/13 to 2018/19 onlyF_CURACCDIS3</v>
      </c>
      <c r="Y159" s="15">
        <v>43395</v>
      </c>
      <c r="Z159" t="s">
        <v>102</v>
      </c>
      <c r="AA159" s="28" t="str">
        <f t="shared" si="21"/>
        <v>Case when p.dw_fromdate &gt;= 20190801 then 'Not applicable 2019/20, 2011/12 and prior' when p.dw_fromdate &lt;= 20110801 then 'Not applicable 2019/20, 2011/12 and prior' else IIF(isnull(p.f_curaccdis3,'')='','Not applicable',p.f_curaccdis3) end</v>
      </c>
      <c r="AB159" s="28" t="str">
        <f t="shared" si="25"/>
        <v>Case when p.dw_fromdate &gt;= 20190801 then 'Not applicable 2019/20, 2011/12 and prior' when p.dw_fromdate &lt;= 20110801 then 'Not applicable 2019/20, 2011/12 and prior' else IIF(isnull(p.f_curaccdis3,'')='','Not applicable',jcad3.dw_currentlabel) end</v>
      </c>
      <c r="AC159" s="28" t="str">
        <f t="shared" si="23"/>
        <v/>
      </c>
      <c r="AD159" s="28" t="str">
        <f t="shared" si="26"/>
        <v/>
      </c>
      <c r="AE159" t="str">
        <f t="shared" si="20"/>
        <v>[Current academic discipline 3]</v>
      </c>
    </row>
    <row r="160" spans="1:31" ht="48" x14ac:dyDescent="0.2">
      <c r="A160">
        <v>100127</v>
      </c>
      <c r="B160" s="11" t="str">
        <f>DataItems3[[#This Row],[Field]]&amp;IF(DataItems3[[#This Row],[Options for supplying the Field]]="",""," "&amp;DataItems3[[#This Row],[Options for supplying the Field]])</f>
        <v>Current academic discipline 3 (Principal subject) - 2012/13 to 2018/19 only</v>
      </c>
      <c r="C160">
        <v>100127</v>
      </c>
      <c r="D160" s="3" t="s">
        <v>100</v>
      </c>
      <c r="F160" s="3" t="s">
        <v>652</v>
      </c>
      <c r="G160" s="13" t="s">
        <v>619</v>
      </c>
      <c r="H160" s="14" t="s">
        <v>667</v>
      </c>
      <c r="J160" s="3">
        <v>0</v>
      </c>
      <c r="K160" s="3">
        <v>0</v>
      </c>
      <c r="L160" s="3">
        <v>0</v>
      </c>
      <c r="M160" s="3">
        <v>0</v>
      </c>
      <c r="N160" s="3" t="s">
        <v>89</v>
      </c>
      <c r="Q160" s="16" t="s">
        <v>671</v>
      </c>
      <c r="S160" s="16" t="s">
        <v>672</v>
      </c>
      <c r="T160" s="16"/>
      <c r="U160" s="3" t="s">
        <v>673</v>
      </c>
      <c r="V160" s="3" t="s">
        <v>93</v>
      </c>
      <c r="W160" s="57" t="s">
        <v>3017</v>
      </c>
      <c r="X160" t="str">
        <f>DataItems3[[#This Row],[Collection]]&amp;DataItems3[[#This Row],[Field]]&amp;DataItems3[[#This Row],[Options for supplying the Field]]&amp;DataItems3[[#This Row],[Fieldname]]&amp;DataItems3[[#This Row],[Parent]]</f>
        <v>StaffCurrent academic discipline 3(Principal subject) - 2012/13 to 2018/19 onlyF_CURACCDIS3</v>
      </c>
      <c r="Y160" s="15">
        <v>43395</v>
      </c>
      <c r="Z160" t="s">
        <v>102</v>
      </c>
      <c r="AA160" s="28" t="str">
        <f t="shared" si="21"/>
        <v>Case when p.dw_fromdate &gt;= 20190801 then 'Not applicable 2019/20, 2011/12 and prior' when p.dw_fromdate &lt;= 20110801 then 'Not applicable 2019/20, 2011/12 and prior' else IIF(isnull(p.f_curaccdis3,'')='','Not applicable',SUBSTRING(p.f_curaccdis3,1,2)) end</v>
      </c>
      <c r="AB160" s="28" t="str">
        <f t="shared" si="25"/>
        <v>Case when p.dw_fromdate &gt;= 20190801 then 'Not applicable 2019/20, 2011/12 and prior' when p.dw_fromdate &lt;= 20110801 then 'Not applicable 2019/20, 2011/12 and prior' else IIF(isnull(p.f_curaccdis3,'')='','Not applicable',jpcad3.dw_currentlabel) end</v>
      </c>
      <c r="AC160" s="28" t="str">
        <f t="shared" si="23"/>
        <v/>
      </c>
      <c r="AD160" s="28" t="str">
        <f t="shared" si="26"/>
        <v/>
      </c>
      <c r="AE160" t="str">
        <f t="shared" si="20"/>
        <v>[Current academic discipline 3]</v>
      </c>
    </row>
    <row r="161" spans="1:31" ht="32" x14ac:dyDescent="0.2">
      <c r="A161">
        <v>100779</v>
      </c>
      <c r="B161" s="11" t="str">
        <f>DataItems3[[#This Row],[Field]]&amp;IF(DataItems3[[#This Row],[Options for supplying the Field]]="",""," "&amp;DataItems3[[#This Row],[Options for supplying the Field]])</f>
        <v>Current academic discipline 3 (Subject area) - 2012/13 to 2018/19 only</v>
      </c>
      <c r="C161">
        <v>100779</v>
      </c>
      <c r="D161" s="3" t="s">
        <v>100</v>
      </c>
      <c r="F161" s="3" t="s">
        <v>652</v>
      </c>
      <c r="G161" s="13" t="s">
        <v>623</v>
      </c>
      <c r="H161" s="14" t="s">
        <v>667</v>
      </c>
      <c r="J161" s="3">
        <v>0</v>
      </c>
      <c r="K161" s="3">
        <v>0</v>
      </c>
      <c r="L161" s="3">
        <v>0</v>
      </c>
      <c r="M161" s="3">
        <v>0</v>
      </c>
      <c r="N161" s="3" t="s">
        <v>89</v>
      </c>
      <c r="Q161" s="16" t="s">
        <v>674</v>
      </c>
      <c r="S161" s="16" t="s">
        <v>675</v>
      </c>
      <c r="T161" s="16"/>
      <c r="U161" s="3" t="s">
        <v>676</v>
      </c>
      <c r="W161" s="57" t="s">
        <v>3017</v>
      </c>
      <c r="X161" t="str">
        <f>DataItems3[[#This Row],[Collection]]&amp;DataItems3[[#This Row],[Field]]&amp;DataItems3[[#This Row],[Options for supplying the Field]]&amp;DataItems3[[#This Row],[Fieldname]]&amp;DataItems3[[#This Row],[Parent]]</f>
        <v>StaffCurrent academic discipline 3(Subject area) - 2012/13 to 2018/19 onlyF_CURACCDIS3</v>
      </c>
      <c r="Y161" s="4">
        <v>44253</v>
      </c>
      <c r="Z161" t="s">
        <v>135</v>
      </c>
      <c r="AA161" s="28" t="str">
        <f t="shared" si="21"/>
        <v>Case when p.dw_fromdate &gt;= 20190801 then 'Not applicable 2019/20, 2011/12 and prior' when p.dw_fromdate &lt;= 20110801 then 'Not applicable 2019/20, 2011/12 and prior' else IIF(isnull(p.f_curaccdis3,'')='','Not applicable',SUBSTRING(p.f_curaccdis3,1,1))  end</v>
      </c>
      <c r="AB161" s="28" t="str">
        <f t="shared" si="25"/>
        <v>Case when p.dw_fromdate &gt;= 20190801 then 'Not applicable 2019/20, 2011/12 and prior' when p.dw_fromdate &lt;= 20110801 then 'Not applicable 2019/20, 2011/12 and prior' else IIF(isnull(p.f_curaccdis3,'')='','Not applicable',jacad3.dw_currentlabel)  end</v>
      </c>
      <c r="AC161" s="28" t="str">
        <f t="shared" si="23"/>
        <v/>
      </c>
      <c r="AD161" s="28" t="str">
        <f t="shared" si="26"/>
        <v/>
      </c>
      <c r="AE161" t="str">
        <f t="shared" si="20"/>
        <v>[Current academic discipline 3]</v>
      </c>
    </row>
    <row r="162" spans="1:31" ht="32" x14ac:dyDescent="0.2">
      <c r="A162">
        <v>100813</v>
      </c>
      <c r="B162" s="11" t="str">
        <f>DataItems3[[#This Row],[Field]]&amp;IF(DataItems3[[#This Row],[Options for supplying the Field]]="",""," "&amp;DataItems3[[#This Row],[Options for supplying the Field]])</f>
        <v>Current academic discipline 4 (CAH1 2019/20 onwards)</v>
      </c>
      <c r="C162">
        <v>100813</v>
      </c>
      <c r="D162" s="3" t="s">
        <v>100</v>
      </c>
      <c r="F162" s="3" t="s">
        <v>677</v>
      </c>
      <c r="G162" s="13" t="s">
        <v>596</v>
      </c>
      <c r="H162" s="14" t="s">
        <v>678</v>
      </c>
      <c r="J162" s="3">
        <v>0</v>
      </c>
      <c r="K162" s="3">
        <v>0</v>
      </c>
      <c r="L162" s="3">
        <v>0</v>
      </c>
      <c r="M162" s="3">
        <v>0</v>
      </c>
      <c r="N162" s="3" t="s">
        <v>89</v>
      </c>
      <c r="Q162" s="16" t="s">
        <v>679</v>
      </c>
      <c r="S162" s="16" t="s">
        <v>680</v>
      </c>
      <c r="T162" s="16"/>
      <c r="U162" s="3" t="s">
        <v>681</v>
      </c>
      <c r="W162" s="57" t="s">
        <v>114</v>
      </c>
      <c r="X162" t="str">
        <f>DataItems3[[#This Row],[Collection]]&amp;DataItems3[[#This Row],[Field]]&amp;DataItems3[[#This Row],[Options for supplying the Field]]&amp;DataItems3[[#This Row],[Fieldname]]&amp;DataItems3[[#This Row],[Parent]]</f>
        <v>StaffCurrent academic discipline 4(CAH1 2019/20 onwards)F_CAD4_CAH1</v>
      </c>
      <c r="Y162" s="4">
        <v>44364</v>
      </c>
      <c r="Z162" t="s">
        <v>135</v>
      </c>
      <c r="AA162" s="28" t="str">
        <f t="shared" si="21"/>
        <v>Case when p.dw_fromdate &lt; 20190801 then 'Not applicable before 2019/20' else isnull(sbj4.[cah1 (code only)],'Not applicable') end</v>
      </c>
      <c r="AB162" s="28" t="str">
        <f t="shared" si="25"/>
        <v>Case when p.dw_fromdate &lt; 20190801 then 'Not applicable before 2019/20' else isnull(sbj4.[cah1],'Not applicable') end</v>
      </c>
      <c r="AC162" s="28" t="str">
        <f t="shared" si="23"/>
        <v/>
      </c>
      <c r="AD162" s="28" t="str">
        <f t="shared" si="26"/>
        <v/>
      </c>
      <c r="AE162" t="str">
        <f t="shared" si="20"/>
        <v>[Current academic discipline 4]</v>
      </c>
    </row>
    <row r="163" spans="1:31" ht="32" x14ac:dyDescent="0.2">
      <c r="A163">
        <v>100809</v>
      </c>
      <c r="B163" s="11" t="str">
        <f>DataItems3[[#This Row],[Field]]&amp;IF(DataItems3[[#This Row],[Options for supplying the Field]]="",""," "&amp;DataItems3[[#This Row],[Options for supplying the Field]])</f>
        <v>Current academic discipline 4 (CAH2 2019/20 onwards)</v>
      </c>
      <c r="C163">
        <v>100809</v>
      </c>
      <c r="D163" s="3" t="s">
        <v>100</v>
      </c>
      <c r="F163" s="3" t="s">
        <v>677</v>
      </c>
      <c r="G163" s="13" t="s">
        <v>601</v>
      </c>
      <c r="H163" s="14" t="s">
        <v>682</v>
      </c>
      <c r="J163" s="3">
        <v>0</v>
      </c>
      <c r="K163" s="3">
        <v>0</v>
      </c>
      <c r="L163" s="3">
        <v>0</v>
      </c>
      <c r="M163" s="3">
        <v>0</v>
      </c>
      <c r="N163" s="3" t="s">
        <v>89</v>
      </c>
      <c r="Q163" s="16" t="s">
        <v>683</v>
      </c>
      <c r="S163" s="16" t="s">
        <v>684</v>
      </c>
      <c r="T163" s="16"/>
      <c r="U163" s="3" t="s">
        <v>681</v>
      </c>
      <c r="W163" s="57" t="s">
        <v>114</v>
      </c>
      <c r="X163" t="str">
        <f>DataItems3[[#This Row],[Collection]]&amp;DataItems3[[#This Row],[Field]]&amp;DataItems3[[#This Row],[Options for supplying the Field]]&amp;DataItems3[[#This Row],[Fieldname]]&amp;DataItems3[[#This Row],[Parent]]</f>
        <v>StaffCurrent academic discipline 4(CAH2 2019/20 onwards)F_CAD4_CAH2</v>
      </c>
      <c r="Y163" s="4">
        <v>44364</v>
      </c>
      <c r="Z163" t="s">
        <v>135</v>
      </c>
      <c r="AA163" s="28" t="str">
        <f t="shared" si="21"/>
        <v>Case when p.dw_fromdate &lt; 20190801 then 'Not applicable before 2019/20' else isnull(sbj4.[cah2 (code only)],'Not applicable') end</v>
      </c>
      <c r="AB163" s="28" t="str">
        <f t="shared" si="25"/>
        <v>Case when p.dw_fromdate &lt; 20190801 then 'Not applicable before 2019/20' else isnull(sbj4.[cah2],'Not applicable') end</v>
      </c>
      <c r="AC163" s="28" t="str">
        <f t="shared" si="23"/>
        <v/>
      </c>
      <c r="AD163" s="28" t="str">
        <f t="shared" si="26"/>
        <v/>
      </c>
      <c r="AE163" t="str">
        <f t="shared" si="20"/>
        <v>[Current academic discipline 4]</v>
      </c>
    </row>
    <row r="164" spans="1:31" ht="32" x14ac:dyDescent="0.2">
      <c r="A164">
        <v>100812</v>
      </c>
      <c r="B164" s="11" t="str">
        <f>DataItems3[[#This Row],[Field]]&amp;IF(DataItems3[[#This Row],[Options for supplying the Field]]="",""," "&amp;DataItems3[[#This Row],[Options for supplying the Field]])</f>
        <v>Current academic discipline 4 (CAH3 2019/20 onwards)</v>
      </c>
      <c r="C164">
        <v>100812</v>
      </c>
      <c r="D164" s="3" t="s">
        <v>100</v>
      </c>
      <c r="F164" s="3" t="s">
        <v>677</v>
      </c>
      <c r="G164" s="13" t="s">
        <v>605</v>
      </c>
      <c r="H164" s="14" t="s">
        <v>685</v>
      </c>
      <c r="J164" s="3">
        <v>0</v>
      </c>
      <c r="K164" s="3">
        <v>0</v>
      </c>
      <c r="L164" s="3">
        <v>0</v>
      </c>
      <c r="M164" s="3">
        <v>0</v>
      </c>
      <c r="N164" s="3" t="s">
        <v>89</v>
      </c>
      <c r="Q164" s="16" t="s">
        <v>686</v>
      </c>
      <c r="S164" s="16" t="s">
        <v>687</v>
      </c>
      <c r="T164" s="16"/>
      <c r="U164" s="3" t="s">
        <v>681</v>
      </c>
      <c r="W164" s="57" t="s">
        <v>114</v>
      </c>
      <c r="X164" t="str">
        <f>DataItems3[[#This Row],[Collection]]&amp;DataItems3[[#This Row],[Field]]&amp;DataItems3[[#This Row],[Options for supplying the Field]]&amp;DataItems3[[#This Row],[Fieldname]]&amp;DataItems3[[#This Row],[Parent]]</f>
        <v>StaffCurrent academic discipline 4(CAH3 2019/20 onwards)F_CAD4_CAH3</v>
      </c>
      <c r="Y164" s="4">
        <v>44364</v>
      </c>
      <c r="Z164" t="s">
        <v>135</v>
      </c>
      <c r="AA164" s="28" t="str">
        <f t="shared" si="21"/>
        <v>Case when p.dw_fromdate &lt; 20190801 then 'Not applicable before 2019/20' else isnull(sbj4.[cah3 (code only)],'Not applicable') end</v>
      </c>
      <c r="AB164" s="28" t="str">
        <f t="shared" si="25"/>
        <v>Case when p.dw_fromdate &lt; 20190801 then 'Not applicable before 2019/20' else isnull(sbj4.[cah3],'Not applicable') end</v>
      </c>
      <c r="AC164" s="28" t="str">
        <f t="shared" si="23"/>
        <v/>
      </c>
      <c r="AD164" s="28" t="str">
        <f t="shared" si="26"/>
        <v/>
      </c>
      <c r="AE164" t="str">
        <f t="shared" si="20"/>
        <v>[Current academic discipline 4]</v>
      </c>
    </row>
    <row r="165" spans="1:31" ht="32" x14ac:dyDescent="0.2">
      <c r="A165">
        <v>100811</v>
      </c>
      <c r="B165" s="11" t="str">
        <f>DataItems3[[#This Row],[Field]]&amp;IF(DataItems3[[#This Row],[Options for supplying the Field]]="",""," "&amp;DataItems3[[#This Row],[Options for supplying the Field]])</f>
        <v>Current academic discipline 4 (HECoS 2019/20 onwards)</v>
      </c>
      <c r="C165">
        <v>100811</v>
      </c>
      <c r="D165" s="3" t="s">
        <v>100</v>
      </c>
      <c r="F165" s="3" t="s">
        <v>677</v>
      </c>
      <c r="G165" s="13" t="s">
        <v>609</v>
      </c>
      <c r="H165" s="14" t="s">
        <v>688</v>
      </c>
      <c r="J165" s="3">
        <v>0</v>
      </c>
      <c r="K165" s="3">
        <v>0</v>
      </c>
      <c r="L165" s="3">
        <v>0</v>
      </c>
      <c r="M165" s="3">
        <v>0</v>
      </c>
      <c r="N165" s="3" t="s">
        <v>89</v>
      </c>
      <c r="Q165" s="16" t="s">
        <v>689</v>
      </c>
      <c r="S165" s="16" t="s">
        <v>690</v>
      </c>
      <c r="T165" s="16"/>
      <c r="U165" s="3" t="s">
        <v>691</v>
      </c>
      <c r="W165" s="57" t="s">
        <v>2908</v>
      </c>
      <c r="X165" t="str">
        <f>DataItems3[[#This Row],[Collection]]&amp;DataItems3[[#This Row],[Field]]&amp;DataItems3[[#This Row],[Options for supplying the Field]]&amp;DataItems3[[#This Row],[Fieldname]]&amp;DataItems3[[#This Row],[Parent]]</f>
        <v>StaffCurrent academic discipline 4(HECoS 2019/20 onwards)F_CAD4_HECOS</v>
      </c>
      <c r="Y165" s="4">
        <v>44364</v>
      </c>
      <c r="Z165" t="s">
        <v>135</v>
      </c>
      <c r="AA165" s="28" t="str">
        <f t="shared" si="21"/>
        <v>Case when p.dw_fromdate &lt; 20190801 then 'Not applicable before 2019/20' else isnull(p.f_curaccdis4,'Not applicable') end</v>
      </c>
      <c r="AB165" s="28" t="str">
        <f t="shared" si="25"/>
        <v>Case when p.dw_fromdate &lt; 20190801 then 'Not applicable before 2019/20' else isnull(hcad4.dw_currentlabel,'Not applicable') end</v>
      </c>
      <c r="AC165" s="28" t="str">
        <f t="shared" si="23"/>
        <v/>
      </c>
      <c r="AD165" s="28" t="str">
        <f t="shared" si="26"/>
        <v/>
      </c>
      <c r="AE165" t="str">
        <f t="shared" si="20"/>
        <v>[Current academic discipline 4]</v>
      </c>
    </row>
    <row r="166" spans="1:31" ht="32" x14ac:dyDescent="0.2">
      <c r="A166">
        <v>100810</v>
      </c>
      <c r="B166" s="11" t="str">
        <f>DataItems3[[#This Row],[Field]]&amp;IF(DataItems3[[#This Row],[Options for supplying the Field]]="",""," "&amp;DataItems3[[#This Row],[Options for supplying the Field]])</f>
        <v>Current academic discipline 5 (CAH1 2019/20 onwards)</v>
      </c>
      <c r="C166">
        <v>100810</v>
      </c>
      <c r="D166" s="3" t="s">
        <v>100</v>
      </c>
      <c r="F166" s="3" t="s">
        <v>692</v>
      </c>
      <c r="G166" s="13" t="s">
        <v>596</v>
      </c>
      <c r="H166" s="14" t="s">
        <v>678</v>
      </c>
      <c r="J166" s="3">
        <v>0</v>
      </c>
      <c r="K166" s="3">
        <v>0</v>
      </c>
      <c r="L166" s="3">
        <v>0</v>
      </c>
      <c r="M166" s="3">
        <v>0</v>
      </c>
      <c r="N166" s="3" t="s">
        <v>89</v>
      </c>
      <c r="Q166" s="16" t="s">
        <v>693</v>
      </c>
      <c r="S166" s="16" t="s">
        <v>694</v>
      </c>
      <c r="T166" s="16"/>
      <c r="U166" s="3" t="s">
        <v>695</v>
      </c>
      <c r="W166" s="57" t="s">
        <v>114</v>
      </c>
      <c r="X166" t="str">
        <f>DataItems3[[#This Row],[Collection]]&amp;DataItems3[[#This Row],[Field]]&amp;DataItems3[[#This Row],[Options for supplying the Field]]&amp;DataItems3[[#This Row],[Fieldname]]&amp;DataItems3[[#This Row],[Parent]]</f>
        <v>StaffCurrent academic discipline 5(CAH1 2019/20 onwards)F_CAD4_CAH1</v>
      </c>
      <c r="Y166" s="4">
        <v>44364</v>
      </c>
      <c r="Z166" t="s">
        <v>135</v>
      </c>
      <c r="AA166" s="28" t="str">
        <f t="shared" si="21"/>
        <v>Case when p.dw_fromdate &lt; 20190801 then 'Not applicable before 2019/20' else isnull(sbj5.[cah1 (code only)],'Not applicable') end</v>
      </c>
      <c r="AB166" s="28" t="str">
        <f t="shared" si="25"/>
        <v>Case when p.dw_fromdate &lt; 20190801 then 'Not applicable before 2019/20' else isnull(sbj5.[cah1],'Not applicable') end</v>
      </c>
      <c r="AC166" s="28" t="str">
        <f t="shared" si="23"/>
        <v/>
      </c>
      <c r="AD166" s="28" t="str">
        <f t="shared" si="26"/>
        <v/>
      </c>
      <c r="AE166" t="str">
        <f t="shared" si="20"/>
        <v>[Current academic discipline 5]</v>
      </c>
    </row>
    <row r="167" spans="1:31" ht="32" x14ac:dyDescent="0.2">
      <c r="A167">
        <v>100808</v>
      </c>
      <c r="B167" s="11" t="str">
        <f>DataItems3[[#This Row],[Field]]&amp;IF(DataItems3[[#This Row],[Options for supplying the Field]]="",""," "&amp;DataItems3[[#This Row],[Options for supplying the Field]])</f>
        <v>Current academic discipline 5 (CAH2 2019/20 onwards)</v>
      </c>
      <c r="C167">
        <v>100808</v>
      </c>
      <c r="D167" s="3" t="s">
        <v>100</v>
      </c>
      <c r="F167" s="3" t="s">
        <v>692</v>
      </c>
      <c r="G167" s="13" t="s">
        <v>601</v>
      </c>
      <c r="H167" s="14" t="s">
        <v>682</v>
      </c>
      <c r="J167" s="3">
        <v>0</v>
      </c>
      <c r="K167" s="3">
        <v>0</v>
      </c>
      <c r="L167" s="3">
        <v>0</v>
      </c>
      <c r="M167" s="3">
        <v>0</v>
      </c>
      <c r="N167" s="3" t="s">
        <v>89</v>
      </c>
      <c r="Q167" s="16" t="s">
        <v>696</v>
      </c>
      <c r="S167" s="16" t="s">
        <v>697</v>
      </c>
      <c r="T167" s="16"/>
      <c r="U167" s="3" t="s">
        <v>695</v>
      </c>
      <c r="W167" s="57" t="s">
        <v>114</v>
      </c>
      <c r="X167" t="str">
        <f>DataItems3[[#This Row],[Collection]]&amp;DataItems3[[#This Row],[Field]]&amp;DataItems3[[#This Row],[Options for supplying the Field]]&amp;DataItems3[[#This Row],[Fieldname]]&amp;DataItems3[[#This Row],[Parent]]</f>
        <v>StaffCurrent academic discipline 5(CAH2 2019/20 onwards)F_CAD4_CAH2</v>
      </c>
      <c r="Y167" s="4">
        <v>44364</v>
      </c>
      <c r="Z167" t="s">
        <v>135</v>
      </c>
      <c r="AA167" s="28" t="str">
        <f t="shared" si="21"/>
        <v>Case when p.dw_fromdate &lt; 20190801 then 'Not applicable before 2019/20' else isnull(sbj5.[cah2 (code only)],'Not applicable') end</v>
      </c>
      <c r="AB167" s="28" t="str">
        <f t="shared" si="25"/>
        <v>Case when p.dw_fromdate &lt; 20190801 then 'Not applicable before 2019/20' else isnull(sbj5.[cah2],'Not applicable') end</v>
      </c>
      <c r="AC167" s="28" t="str">
        <f t="shared" si="23"/>
        <v/>
      </c>
      <c r="AD167" s="28" t="str">
        <f t="shared" si="26"/>
        <v/>
      </c>
      <c r="AE167" t="str">
        <f t="shared" si="20"/>
        <v>[Current academic discipline 5]</v>
      </c>
    </row>
    <row r="168" spans="1:31" ht="32" x14ac:dyDescent="0.2">
      <c r="A168">
        <v>100807</v>
      </c>
      <c r="B168" s="11" t="str">
        <f>DataItems3[[#This Row],[Field]]&amp;IF(DataItems3[[#This Row],[Options for supplying the Field]]="",""," "&amp;DataItems3[[#This Row],[Options for supplying the Field]])</f>
        <v>Current academic discipline 5 (CAH3 2019/20 onwards)</v>
      </c>
      <c r="C168">
        <v>100807</v>
      </c>
      <c r="D168" s="3" t="s">
        <v>100</v>
      </c>
      <c r="F168" s="3" t="s">
        <v>692</v>
      </c>
      <c r="G168" s="13" t="s">
        <v>605</v>
      </c>
      <c r="H168" s="14" t="s">
        <v>685</v>
      </c>
      <c r="J168" s="3">
        <v>0</v>
      </c>
      <c r="K168" s="3">
        <v>0</v>
      </c>
      <c r="L168" s="3">
        <v>0</v>
      </c>
      <c r="M168" s="3">
        <v>0</v>
      </c>
      <c r="N168" s="3" t="s">
        <v>89</v>
      </c>
      <c r="Q168" s="16" t="s">
        <v>698</v>
      </c>
      <c r="S168" s="16" t="s">
        <v>699</v>
      </c>
      <c r="T168" s="16"/>
      <c r="U168" s="3" t="s">
        <v>695</v>
      </c>
      <c r="W168" s="57" t="s">
        <v>114</v>
      </c>
      <c r="X168" t="str">
        <f>DataItems3[[#This Row],[Collection]]&amp;DataItems3[[#This Row],[Field]]&amp;DataItems3[[#This Row],[Options for supplying the Field]]&amp;DataItems3[[#This Row],[Fieldname]]&amp;DataItems3[[#This Row],[Parent]]</f>
        <v>StaffCurrent academic discipline 5(CAH3 2019/20 onwards)F_CAD4_CAH3</v>
      </c>
      <c r="Y168" s="4">
        <v>44364</v>
      </c>
      <c r="Z168" t="s">
        <v>135</v>
      </c>
      <c r="AA168" s="28" t="str">
        <f t="shared" si="21"/>
        <v>Case when p.dw_fromdate &lt; 20190801 then 'Not applicable before 2019/20' else isnull(sbj5.[cah3 (code only)],'Not applicable') end</v>
      </c>
      <c r="AB168" s="28" t="str">
        <f t="shared" si="25"/>
        <v>Case when p.dw_fromdate &lt; 20190801 then 'Not applicable before 2019/20' else isnull(sbj5.[cah3],'Not applicable') end</v>
      </c>
      <c r="AC168" s="28" t="str">
        <f t="shared" si="23"/>
        <v/>
      </c>
      <c r="AD168" s="28" t="str">
        <f t="shared" si="26"/>
        <v/>
      </c>
      <c r="AE168" t="str">
        <f t="shared" si="20"/>
        <v>[Current academic discipline 5]</v>
      </c>
    </row>
    <row r="169" spans="1:31" ht="32" x14ac:dyDescent="0.2">
      <c r="A169">
        <v>100806</v>
      </c>
      <c r="B169" s="11" t="str">
        <f>DataItems3[[#This Row],[Field]]&amp;IF(DataItems3[[#This Row],[Options for supplying the Field]]="",""," "&amp;DataItems3[[#This Row],[Options for supplying the Field]])</f>
        <v>Current academic discipline 5 (HECoS 2019/20 onwards)</v>
      </c>
      <c r="C169">
        <v>100806</v>
      </c>
      <c r="D169" s="3" t="s">
        <v>100</v>
      </c>
      <c r="F169" s="3" t="s">
        <v>692</v>
      </c>
      <c r="G169" s="13" t="s">
        <v>609</v>
      </c>
      <c r="H169" s="14" t="s">
        <v>700</v>
      </c>
      <c r="J169" s="3">
        <v>0</v>
      </c>
      <c r="K169" s="3">
        <v>0</v>
      </c>
      <c r="L169" s="3">
        <v>0</v>
      </c>
      <c r="M169" s="3">
        <v>0</v>
      </c>
      <c r="N169" s="3" t="s">
        <v>89</v>
      </c>
      <c r="Q169" s="16" t="s">
        <v>701</v>
      </c>
      <c r="S169" s="16" t="s">
        <v>702</v>
      </c>
      <c r="T169" s="16"/>
      <c r="U169" s="3" t="s">
        <v>703</v>
      </c>
      <c r="W169" s="57" t="s">
        <v>2908</v>
      </c>
      <c r="X169" t="str">
        <f>DataItems3[[#This Row],[Collection]]&amp;DataItems3[[#This Row],[Field]]&amp;DataItems3[[#This Row],[Options for supplying the Field]]&amp;DataItems3[[#This Row],[Fieldname]]&amp;DataItems3[[#This Row],[Parent]]</f>
        <v>StaffCurrent academic discipline 5(HECoS 2019/20 onwards)F_CAD5_HECOS</v>
      </c>
      <c r="Y169" s="4">
        <v>44364</v>
      </c>
      <c r="Z169" t="s">
        <v>135</v>
      </c>
      <c r="AA169" s="28" t="str">
        <f t="shared" si="21"/>
        <v>Case when p.dw_fromdate &lt; 20190801 then 'Not applicable before 2019/20' else isnull(p.f_curaccdis5,'Not applicable') end</v>
      </c>
      <c r="AB169" s="28" t="str">
        <f t="shared" si="25"/>
        <v>Case when p.dw_fromdate &lt; 20190801 then 'Not applicable before 2019/20' else isnull(hcad5.dw_currentlabel,'Not applicable') end</v>
      </c>
      <c r="AC169" s="28" t="str">
        <f t="shared" si="23"/>
        <v/>
      </c>
      <c r="AD169" s="28" t="str">
        <f t="shared" si="26"/>
        <v/>
      </c>
      <c r="AE169" t="str">
        <f t="shared" si="20"/>
        <v>[Current academic discipline 5]</v>
      </c>
    </row>
    <row r="170" spans="1:31" ht="16" x14ac:dyDescent="0.2">
      <c r="A170">
        <v>100129</v>
      </c>
      <c r="B170" s="11" t="str">
        <f>DataItems3[[#This Row],[Field]]&amp;IF(DataItems3[[#This Row],[Options for supplying the Field]]="",""," "&amp;DataItems3[[#This Row],[Options for supplying the Field]])</f>
        <v>Date appointed at current HE provider (YYYY/MM)</v>
      </c>
      <c r="C170">
        <v>100129</v>
      </c>
      <c r="D170" s="3" t="s">
        <v>100</v>
      </c>
      <c r="F170" s="3" t="s">
        <v>704</v>
      </c>
      <c r="G170" s="13" t="s">
        <v>488</v>
      </c>
      <c r="H170" s="14" t="s">
        <v>705</v>
      </c>
      <c r="J170" s="3">
        <v>3</v>
      </c>
      <c r="K170" s="3">
        <v>3</v>
      </c>
      <c r="L170" s="3">
        <v>2</v>
      </c>
      <c r="M170" s="3">
        <v>0</v>
      </c>
      <c r="N170" s="3" t="s">
        <v>89</v>
      </c>
      <c r="Q170" s="16" t="s">
        <v>706</v>
      </c>
      <c r="R170" s="3" t="s">
        <v>93</v>
      </c>
      <c r="S170" s="16" t="s">
        <v>706</v>
      </c>
      <c r="U170" s="3" t="s">
        <v>93</v>
      </c>
      <c r="V170" s="3" t="s">
        <v>93</v>
      </c>
      <c r="W170" s="57" t="s">
        <v>94</v>
      </c>
      <c r="X170" t="str">
        <f>DataItems3[[#This Row],[Collection]]&amp;DataItems3[[#This Row],[Field]]&amp;DataItems3[[#This Row],[Options for supplying the Field]]&amp;DataItems3[[#This Row],[Fieldname]]&amp;DataItems3[[#This Row],[Parent]]</f>
        <v>StaffDate appointed at current HE provider(YYYY/MM)F_DATEFHEI</v>
      </c>
      <c r="Y170" s="15">
        <v>43395</v>
      </c>
      <c r="Z170" t="s">
        <v>102</v>
      </c>
      <c r="AA170" s="28" t="str">
        <f t="shared" si="21"/>
        <v>SUBSTRING(CAST(P.F_DATEFHEI AS VARCHAR(10)),1,4)+'/'+SUBSTRING(CAST(P.F_DATEFHEI AS VARCHAR(10)),6,2)</v>
      </c>
      <c r="AB170" s="28" t="str">
        <f t="shared" si="25"/>
        <v>SUBSTRING(CAST(P.F_DATEFHEI AS VARCHAR(10)),1,4)+'/'+SUBSTRING(CAST(P.F_DATEFHEI AS VARCHAR(10)),6,2)</v>
      </c>
      <c r="AC170" s="28" t="str">
        <f t="shared" si="23"/>
        <v/>
      </c>
      <c r="AD170" s="28" t="str">
        <f t="shared" si="26"/>
        <v/>
      </c>
      <c r="AE170" t="str">
        <f t="shared" si="20"/>
        <v>[Date appointed at current HE provider]</v>
      </c>
    </row>
    <row r="171" spans="1:31" ht="16" x14ac:dyDescent="0.2">
      <c r="A171">
        <v>100130</v>
      </c>
      <c r="B171" s="11" t="str">
        <f>DataItems3[[#This Row],[Field]]&amp;IF(DataItems3[[#This Row],[Options for supplying the Field]]="",""," "&amp;DataItems3[[#This Row],[Options for supplying the Field]])</f>
        <v>Date left HE provider (YYYY/MM)</v>
      </c>
      <c r="C171">
        <v>100130</v>
      </c>
      <c r="D171" s="3" t="s">
        <v>100</v>
      </c>
      <c r="F171" s="3" t="s">
        <v>707</v>
      </c>
      <c r="G171" s="13" t="s">
        <v>488</v>
      </c>
      <c r="H171" s="14" t="s">
        <v>708</v>
      </c>
      <c r="J171" s="3">
        <v>3</v>
      </c>
      <c r="K171" s="3">
        <v>2</v>
      </c>
      <c r="L171" s="3">
        <v>2</v>
      </c>
      <c r="M171" s="3">
        <v>0</v>
      </c>
      <c r="N171" s="3" t="s">
        <v>89</v>
      </c>
      <c r="Q171" s="16" t="s">
        <v>709</v>
      </c>
      <c r="R171" s="3" t="s">
        <v>93</v>
      </c>
      <c r="S171" s="16" t="s">
        <v>709</v>
      </c>
      <c r="U171" s="3" t="s">
        <v>93</v>
      </c>
      <c r="V171" s="3" t="s">
        <v>93</v>
      </c>
      <c r="W171" s="57" t="s">
        <v>94</v>
      </c>
      <c r="X171" t="str">
        <f>DataItems3[[#This Row],[Collection]]&amp;DataItems3[[#This Row],[Field]]&amp;DataItems3[[#This Row],[Options for supplying the Field]]&amp;DataItems3[[#This Row],[Fieldname]]&amp;DataItems3[[#This Row],[Parent]]</f>
        <v>StaffDate left HE provider(YYYY/MM)F_DATELEFT</v>
      </c>
      <c r="Y171" s="15">
        <v>43395</v>
      </c>
      <c r="Z171" t="s">
        <v>102</v>
      </c>
      <c r="AA171" s="28" t="str">
        <f t="shared" si="21"/>
        <v>SUBSTRING(CAST(p.F_DATELEFT AS VARCHAR(10)), 1, 4) + '/' + SUBSTRING(CAST(p.F_DATELEFT AS VARCHAR(10)), 6, 2)</v>
      </c>
      <c r="AB171" s="28" t="str">
        <f t="shared" si="25"/>
        <v>SUBSTRING(CAST(p.F_DATELEFT AS VARCHAR(10)), 1, 4) + '/' + SUBSTRING(CAST(p.F_DATELEFT AS VARCHAR(10)), 6, 2)</v>
      </c>
      <c r="AC171" s="28" t="str">
        <f t="shared" si="23"/>
        <v/>
      </c>
      <c r="AD171" s="28" t="str">
        <f t="shared" si="26"/>
        <v/>
      </c>
      <c r="AE171" t="str">
        <f t="shared" si="20"/>
        <v>[Date left HE provider]</v>
      </c>
    </row>
    <row r="172" spans="1:31" ht="16" x14ac:dyDescent="0.2">
      <c r="A172">
        <v>100756</v>
      </c>
      <c r="B172" s="11" t="str">
        <f>DataItems3[[#This Row],[Field]]&amp;IF(DataItems3[[#This Row],[Options for supplying the Field]]="",""," "&amp;DataItems3[[#This Row],[Options for supplying the Field]])</f>
        <v>Dependants (Full)(F_SDEPEND)</v>
      </c>
      <c r="C172">
        <v>100756</v>
      </c>
      <c r="D172" s="3" t="s">
        <v>86</v>
      </c>
      <c r="F172" s="3" t="s">
        <v>710</v>
      </c>
      <c r="G172" s="13" t="s">
        <v>711</v>
      </c>
      <c r="H172" s="14" t="s">
        <v>712</v>
      </c>
      <c r="I172" s="3" t="s">
        <v>713</v>
      </c>
      <c r="J172" s="3">
        <v>2</v>
      </c>
      <c r="K172" s="3">
        <v>2</v>
      </c>
      <c r="L172" s="3">
        <v>1</v>
      </c>
      <c r="M172" s="3">
        <v>3</v>
      </c>
      <c r="N172" s="3" t="s">
        <v>89</v>
      </c>
      <c r="P172" s="3" t="s">
        <v>714</v>
      </c>
      <c r="Q172" s="16" t="s">
        <v>715</v>
      </c>
      <c r="W172" s="57" t="s">
        <v>145</v>
      </c>
      <c r="X172" t="str">
        <f>DataItems3[[#This Row],[Collection]]&amp;DataItems3[[#This Row],[Field]]&amp;DataItems3[[#This Row],[Options for supplying the Field]]&amp;DataItems3[[#This Row],[Fieldname]]&amp;DataItems3[[#This Row],[Parent]]</f>
        <v>StudentDependants(Full)(F_SDEPEND)F_SDEPENDprovider &gt; student:</v>
      </c>
      <c r="Y172" s="4">
        <v>44218</v>
      </c>
      <c r="Z172" t="s">
        <v>56</v>
      </c>
      <c r="AA172" s="28" t="str">
        <f t="shared" si="21"/>
        <v>CASE WHEN s.F_XINSTC01='S' THEN IIF(stu.F_SDEPEND='', '99', stu.F_SDEPEND) ELSE 'N/A' END F_SDEPEND</v>
      </c>
      <c r="AB172" s="28" t="str">
        <f t="shared" si="25"/>
        <v/>
      </c>
      <c r="AC172" s="28" t="str">
        <f t="shared" si="23"/>
        <v/>
      </c>
      <c r="AD172" s="28" t="str">
        <f t="shared" si="26"/>
        <v/>
      </c>
      <c r="AE172" t="str">
        <f t="shared" si="20"/>
        <v>[Dependants]</v>
      </c>
    </row>
    <row r="173" spans="1:31" ht="32" x14ac:dyDescent="0.2">
      <c r="A173">
        <v>100131</v>
      </c>
      <c r="B173" s="11" t="str">
        <f>DataItems3[[#This Row],[Field]]&amp;IF(DataItems3[[#This Row],[Options for supplying the Field]]="",""," "&amp;DataItems3[[#This Row],[Options for supplying the Field]])</f>
        <v>Designation marker (Designated/ Non-designated)</v>
      </c>
      <c r="C173">
        <v>100131</v>
      </c>
      <c r="D173" s="3" t="s">
        <v>86</v>
      </c>
      <c r="E173" s="3" t="s">
        <v>106</v>
      </c>
      <c r="F173" s="3" t="s">
        <v>716</v>
      </c>
      <c r="G173" s="13" t="s">
        <v>717</v>
      </c>
      <c r="H173" s="14" t="s">
        <v>718</v>
      </c>
      <c r="J173" s="3">
        <v>3</v>
      </c>
      <c r="K173" s="3">
        <v>2</v>
      </c>
      <c r="L173" s="3">
        <v>0</v>
      </c>
      <c r="M173" s="3">
        <v>0</v>
      </c>
      <c r="N173" s="3" t="s">
        <v>89</v>
      </c>
      <c r="R173" s="3" t="s">
        <v>3018</v>
      </c>
      <c r="T173" s="3" t="s">
        <v>719</v>
      </c>
      <c r="U173" s="3" t="s">
        <v>93</v>
      </c>
      <c r="V173" s="3">
        <v>1</v>
      </c>
      <c r="W173" s="57" t="s">
        <v>2661</v>
      </c>
      <c r="X173" t="str">
        <f>DataItems3[[#This Row],[Collection]]&amp;DataItems3[[#This Row],[Field]]&amp;DataItems3[[#This Row],[Options for supplying the Field]]&amp;DataItems3[[#This Row],[Fieldname]]&amp;DataItems3[[#This Row],[Parent]]</f>
        <v>StudentDesignation marker(Designated/ Non-designated)F_XDEISG03</v>
      </c>
      <c r="Y173" s="15">
        <v>43438</v>
      </c>
      <c r="Z173" t="s">
        <v>95</v>
      </c>
      <c r="AA173" s="28" t="str">
        <f t="shared" si="21"/>
        <v/>
      </c>
      <c r="AB173" s="28" t="str">
        <f t="shared" si="25"/>
        <v/>
      </c>
      <c r="AC173" s="28" t="str">
        <f t="shared" si="23"/>
        <v xml:space="preserve"> CASE WHEN S.F_XDESIG03 IN ('1','2','3','4') THEN 'Designated' else 'Non-Designated' end</v>
      </c>
      <c r="AD173" s="28" t="str">
        <f t="shared" si="26"/>
        <v>CASE WHEN S.F_XDESIG03 IN ('1','2','3','4') THEN 'Designated' else 'Non-Designated' end</v>
      </c>
      <c r="AE173" t="str">
        <f t="shared" si="20"/>
        <v>[Designation marker]</v>
      </c>
    </row>
    <row r="174" spans="1:31" ht="32" x14ac:dyDescent="0.2">
      <c r="A174">
        <v>100133</v>
      </c>
      <c r="B174" s="11" t="str">
        <f>DataItems3[[#This Row],[Field]]&amp;IF(DataItems3[[#This Row],[Options for supplying the Field]]="",""," "&amp;DataItems3[[#This Row],[Options for supplying the Field]])</f>
        <v>Different provider [DIFFPROV] -opt in question</v>
      </c>
      <c r="C174">
        <v>100133</v>
      </c>
      <c r="D174" s="3" t="s">
        <v>151</v>
      </c>
      <c r="F174" s="3" t="s">
        <v>720</v>
      </c>
      <c r="G174" s="13" t="s">
        <v>721</v>
      </c>
      <c r="I174" s="3" t="s">
        <v>2991</v>
      </c>
      <c r="J174" s="3">
        <v>1</v>
      </c>
      <c r="K174" s="3">
        <v>2</v>
      </c>
      <c r="L174" s="3">
        <v>0</v>
      </c>
      <c r="M174" s="3">
        <v>0</v>
      </c>
      <c r="P174" s="3" t="s">
        <v>448</v>
      </c>
      <c r="R174" s="3" t="s">
        <v>93</v>
      </c>
      <c r="V174" s="3" t="s">
        <v>93</v>
      </c>
      <c r="W174" s="57" t="s">
        <v>2926</v>
      </c>
      <c r="X174" t="str">
        <f>DataItems3[[#This Row],[Collection]]&amp;DataItems3[[#This Row],[Field]]&amp;DataItems3[[#This Row],[Options for supplying the Field]]&amp;DataItems3[[#This Row],[Fieldname]]&amp;DataItems3[[#This Row],[Parent]]</f>
        <v>Graduate OutcomesDifferent provider[DIFFPROV] -opt in questionProvider &gt; Graduate &gt; Opt in questions:</v>
      </c>
      <c r="Y174" s="15">
        <v>43550</v>
      </c>
      <c r="Z174" t="s">
        <v>159</v>
      </c>
      <c r="AA174" s="28" t="str">
        <f t="shared" si="21"/>
        <v/>
      </c>
      <c r="AB174" s="28" t="str">
        <f t="shared" si="25"/>
        <v/>
      </c>
      <c r="AC174" s="28" t="str">
        <f t="shared" si="23"/>
        <v/>
      </c>
      <c r="AD174" s="28" t="str">
        <f t="shared" si="26"/>
        <v/>
      </c>
      <c r="AE174" t="str">
        <f t="shared" si="20"/>
        <v>[Different provider]</v>
      </c>
    </row>
    <row r="175" spans="1:31" ht="32" x14ac:dyDescent="0.2">
      <c r="A175">
        <v>100134</v>
      </c>
      <c r="B175" s="11" t="str">
        <f>DataItems3[[#This Row],[Field]]&amp;IF(DataItems3[[#This Row],[Options for supplying the Field]]="",""," "&amp;DataItems3[[#This Row],[Options for supplying the Field]])</f>
        <v>Different qualification [DIFFQUAL] -opt in question</v>
      </c>
      <c r="C175">
        <v>100134</v>
      </c>
      <c r="D175" s="3" t="s">
        <v>151</v>
      </c>
      <c r="F175" s="3" t="s">
        <v>722</v>
      </c>
      <c r="G175" s="13" t="s">
        <v>723</v>
      </c>
      <c r="I175" s="3" t="s">
        <v>2991</v>
      </c>
      <c r="J175" s="3">
        <v>1</v>
      </c>
      <c r="K175" s="3">
        <v>2</v>
      </c>
      <c r="L175" s="3">
        <v>0</v>
      </c>
      <c r="M175" s="3">
        <v>0</v>
      </c>
      <c r="P175" s="3" t="s">
        <v>448</v>
      </c>
      <c r="R175" s="3" t="s">
        <v>93</v>
      </c>
      <c r="V175" s="3" t="s">
        <v>93</v>
      </c>
      <c r="W175" s="57" t="s">
        <v>2926</v>
      </c>
      <c r="X175" t="str">
        <f>DataItems3[[#This Row],[Collection]]&amp;DataItems3[[#This Row],[Field]]&amp;DataItems3[[#This Row],[Options for supplying the Field]]&amp;DataItems3[[#This Row],[Fieldname]]&amp;DataItems3[[#This Row],[Parent]]</f>
        <v>Graduate OutcomesDifferent qualification[DIFFQUAL] -opt in questionProvider &gt; Graduate &gt; Opt in questions:</v>
      </c>
      <c r="Y175" s="15">
        <v>43550</v>
      </c>
      <c r="Z175" t="s">
        <v>159</v>
      </c>
      <c r="AA175" s="28" t="str">
        <f t="shared" si="21"/>
        <v/>
      </c>
      <c r="AB175" s="28" t="str">
        <f t="shared" si="25"/>
        <v/>
      </c>
      <c r="AC175" s="28" t="str">
        <f t="shared" si="23"/>
        <v/>
      </c>
      <c r="AD175" s="28" t="str">
        <f t="shared" si="26"/>
        <v/>
      </c>
      <c r="AE175" t="str">
        <f t="shared" si="20"/>
        <v>[Different qualification]</v>
      </c>
    </row>
    <row r="176" spans="1:31" ht="32" x14ac:dyDescent="0.2">
      <c r="A176">
        <v>100135</v>
      </c>
      <c r="B176" s="11" t="str">
        <f>DataItems3[[#This Row],[Field]]&amp;IF(DataItems3[[#This Row],[Options for supplying the Field]]="",""," "&amp;DataItems3[[#This Row],[Options for supplying the Field]])</f>
        <v>Different subject [DIFFSUB] -opt in question</v>
      </c>
      <c r="C176">
        <v>100135</v>
      </c>
      <c r="D176" s="3" t="s">
        <v>151</v>
      </c>
      <c r="F176" s="3" t="s">
        <v>724</v>
      </c>
      <c r="G176" s="13" t="s">
        <v>725</v>
      </c>
      <c r="I176" s="3" t="s">
        <v>2991</v>
      </c>
      <c r="J176" s="3">
        <v>1</v>
      </c>
      <c r="K176" s="3">
        <v>2</v>
      </c>
      <c r="L176" s="3">
        <v>0</v>
      </c>
      <c r="M176" s="3">
        <v>0</v>
      </c>
      <c r="P176" s="3" t="s">
        <v>448</v>
      </c>
      <c r="R176" s="3" t="s">
        <v>93</v>
      </c>
      <c r="V176" s="3" t="s">
        <v>93</v>
      </c>
      <c r="W176" s="57" t="s">
        <v>2926</v>
      </c>
      <c r="X176" t="str">
        <f>DataItems3[[#This Row],[Collection]]&amp;DataItems3[[#This Row],[Field]]&amp;DataItems3[[#This Row],[Options for supplying the Field]]&amp;DataItems3[[#This Row],[Fieldname]]&amp;DataItems3[[#This Row],[Parent]]</f>
        <v>Graduate OutcomesDifferent subject[DIFFSUB] -opt in questionProvider &gt; Graduate &gt; Opt in questions:</v>
      </c>
      <c r="Y176" s="15">
        <v>43550</v>
      </c>
      <c r="Z176" t="s">
        <v>159</v>
      </c>
      <c r="AA176" s="28" t="str">
        <f t="shared" si="21"/>
        <v/>
      </c>
      <c r="AB176" s="28" t="str">
        <f t="shared" si="25"/>
        <v/>
      </c>
      <c r="AC176" s="28" t="str">
        <f t="shared" si="23"/>
        <v/>
      </c>
      <c r="AD176" s="28" t="str">
        <f t="shared" si="26"/>
        <v/>
      </c>
      <c r="AE176" t="str">
        <f t="shared" si="20"/>
        <v>[Different subject]</v>
      </c>
    </row>
    <row r="177" spans="1:32" ht="48" x14ac:dyDescent="0.2">
      <c r="A177">
        <v>100138</v>
      </c>
      <c r="B177" s="11" t="str">
        <f>DataItems3[[#This Row],[Field]]&amp;IF(DataItems3[[#This Row],[Options for supplying the Field]]="",""," "&amp;DataItems3[[#This Row],[Options for supplying the Field]])</f>
        <v>Disability marker (Known disability/ No known disability)</v>
      </c>
      <c r="C177">
        <v>100138</v>
      </c>
      <c r="D177" s="3" t="s">
        <v>86</v>
      </c>
      <c r="F177" s="3" t="s">
        <v>726</v>
      </c>
      <c r="G177" s="13" t="s">
        <v>727</v>
      </c>
      <c r="H177" s="14" t="s">
        <v>728</v>
      </c>
      <c r="I177" s="3" t="s">
        <v>729</v>
      </c>
      <c r="J177" s="3">
        <v>1</v>
      </c>
      <c r="K177" s="3">
        <v>1</v>
      </c>
      <c r="L177" s="3">
        <v>1</v>
      </c>
      <c r="M177" s="3">
        <v>4</v>
      </c>
      <c r="N177" s="3" t="s">
        <v>730</v>
      </c>
      <c r="Q177" s="16" t="s">
        <v>731</v>
      </c>
      <c r="R177" s="3" t="s">
        <v>91</v>
      </c>
      <c r="S177" s="16" t="s">
        <v>732</v>
      </c>
      <c r="U177" s="3" t="s">
        <v>93</v>
      </c>
      <c r="V177" s="3" t="s">
        <v>93</v>
      </c>
      <c r="W177" s="57" t="s">
        <v>114</v>
      </c>
      <c r="X177" t="str">
        <f>DataItems3[[#This Row],[Collection]]&amp;DataItems3[[#This Row],[Field]]&amp;DataItems3[[#This Row],[Options for supplying the Field]]&amp;DataItems3[[#This Row],[Fieldname]]&amp;DataItems3[[#This Row],[Parent]]</f>
        <v>StudentDisabilitymarker (Known disability/ No known disability)DW_ZSTUDIS_MARKER</v>
      </c>
      <c r="Y177" s="15">
        <v>42921</v>
      </c>
      <c r="Z177" t="s">
        <v>139</v>
      </c>
      <c r="AA177" s="28" t="str">
        <f t="shared" si="21"/>
        <v xml:space="preserve">cast(s.dw_zstudis_marker as varchar) </v>
      </c>
      <c r="AB177" s="28" t="str">
        <f t="shared" si="25"/>
        <v xml:space="preserve"> s.dw_zstudis_marker</v>
      </c>
      <c r="AC177" s="28" t="str">
        <f t="shared" si="23"/>
        <v xml:space="preserve"> </v>
      </c>
      <c r="AD177" s="28" t="str">
        <f t="shared" si="26"/>
        <v/>
      </c>
      <c r="AE177" t="str">
        <f t="shared" si="20"/>
        <v>[Disability]</v>
      </c>
    </row>
    <row r="178" spans="1:32" ht="16" x14ac:dyDescent="0.2">
      <c r="A178">
        <v>100136</v>
      </c>
      <c r="B178" s="11" t="str">
        <f>DataItems3[[#This Row],[Field]]&amp;IF(DataItems3[[#This Row],[Options for supplying the Field]]="",""," "&amp;DataItems3[[#This Row],[Options for supplying the Field]])</f>
        <v>Disability (Full)</v>
      </c>
      <c r="C178">
        <v>100136</v>
      </c>
      <c r="D178" s="3" t="s">
        <v>86</v>
      </c>
      <c r="E178" s="3" t="s">
        <v>106</v>
      </c>
      <c r="F178" s="3" t="s">
        <v>726</v>
      </c>
      <c r="G178" s="13" t="s">
        <v>277</v>
      </c>
      <c r="H178" s="14" t="s">
        <v>733</v>
      </c>
      <c r="I178" s="3" t="s">
        <v>729</v>
      </c>
      <c r="J178" s="3">
        <v>1</v>
      </c>
      <c r="K178" s="3">
        <v>2</v>
      </c>
      <c r="L178" s="3">
        <v>2</v>
      </c>
      <c r="M178" s="3">
        <v>8</v>
      </c>
      <c r="N178" s="3" t="s">
        <v>106</v>
      </c>
      <c r="Q178" s="16" t="s">
        <v>734</v>
      </c>
      <c r="R178" s="16" t="s">
        <v>734</v>
      </c>
      <c r="S178" s="16" t="s">
        <v>735</v>
      </c>
      <c r="T178" s="16" t="s">
        <v>735</v>
      </c>
      <c r="U178" s="3" t="s">
        <v>736</v>
      </c>
      <c r="V178" s="3" t="s">
        <v>93</v>
      </c>
      <c r="W178" s="57" t="s">
        <v>109</v>
      </c>
      <c r="X178" t="str">
        <f>DataItems3[[#This Row],[Collection]]&amp;DataItems3[[#This Row],[Field]]&amp;DataItems3[[#This Row],[Options for supplying the Field]]&amp;DataItems3[[#This Row],[Fieldname]]&amp;DataItems3[[#This Row],[Parent]]</f>
        <v>StudentDisability(Full)F_XSTUDIS01</v>
      </c>
      <c r="Y178" s="15">
        <v>43434</v>
      </c>
      <c r="Z178" t="s">
        <v>95</v>
      </c>
      <c r="AA178" s="28" t="str">
        <f t="shared" si="21"/>
        <v>IIF(s.f_xstudis01 in ('L','M','N','X'),'A', s.f_xstudis01)</v>
      </c>
      <c r="AB178" s="28" t="str">
        <f t="shared" si="25"/>
        <v>IIF(s.f_xstudis01 in ('L','M','N','X','A'),'No known disability (including unknowns)', xstudis01.DW_CurrentLabel)</v>
      </c>
      <c r="AC178" s="28" t="str">
        <f t="shared" si="23"/>
        <v>IIF(s.f_xstudis01 in ('L','M','N','X'),'A', s.f_xstudis01)</v>
      </c>
      <c r="AD178" s="28" t="str">
        <f t="shared" si="26"/>
        <v>IIF(s.f_xstudis01 in ('L','M','N','X','A'),'No known disability (including unknowns)', xstudis01.DW_CurrentLabel)</v>
      </c>
      <c r="AE178" t="str">
        <f t="shared" si="20"/>
        <v>[Disability]</v>
      </c>
      <c r="AF178">
        <v>100955</v>
      </c>
    </row>
    <row r="179" spans="1:32" ht="16" x14ac:dyDescent="0.2">
      <c r="A179">
        <v>100137</v>
      </c>
      <c r="B179" s="11" t="str">
        <f>DataItems3[[#This Row],[Field]]&amp;IF(DataItems3[[#This Row],[Options for supplying the Field]]="",""," "&amp;DataItems3[[#This Row],[Options for supplying the Field]])</f>
        <v>Disability (Staff) (Full)</v>
      </c>
      <c r="C179">
        <v>100137</v>
      </c>
      <c r="D179" s="3" t="s">
        <v>100</v>
      </c>
      <c r="F179" s="3" t="s">
        <v>737</v>
      </c>
      <c r="G179" s="13" t="s">
        <v>277</v>
      </c>
      <c r="H179" s="14" t="s">
        <v>738</v>
      </c>
      <c r="I179" s="3" t="s">
        <v>729</v>
      </c>
      <c r="J179" s="3">
        <v>1</v>
      </c>
      <c r="K179" s="3">
        <v>2</v>
      </c>
      <c r="L179" s="3">
        <v>2</v>
      </c>
      <c r="M179" s="3">
        <v>8</v>
      </c>
      <c r="Q179" s="16" t="s">
        <v>739</v>
      </c>
      <c r="R179" s="3" t="s">
        <v>93</v>
      </c>
      <c r="S179" s="16" t="s">
        <v>740</v>
      </c>
      <c r="U179" s="3" t="s">
        <v>741</v>
      </c>
      <c r="V179" s="3" t="s">
        <v>93</v>
      </c>
      <c r="W179" s="57" t="s">
        <v>3019</v>
      </c>
      <c r="X179" t="str">
        <f>DataItems3[[#This Row],[Collection]]&amp;DataItems3[[#This Row],[Field]]&amp;DataItems3[[#This Row],[Options for supplying the Field]]&amp;DataItems3[[#This Row],[Fieldname]]&amp;DataItems3[[#This Row],[Parent]]</f>
        <v>StaffDisability (Staff)(Full)f_disabled</v>
      </c>
      <c r="Y179" s="15">
        <v>43684</v>
      </c>
      <c r="Z179" t="s">
        <v>95</v>
      </c>
      <c r="AA179" s="28" t="str">
        <f t="shared" si="21"/>
        <v>case when p.F_DISABLED  in ( '97' ,'99') then 'Unknown/Not available' else p.F_DISABLED end</v>
      </c>
      <c r="AB179" s="28" t="str">
        <f t="shared" si="25"/>
        <v>case when p.F_DISABLED  in ( '97' ,'99') then 'Unknown/Not available' else  DISABLED.dw_currentlabel end</v>
      </c>
      <c r="AC179" s="28" t="str">
        <f t="shared" si="23"/>
        <v/>
      </c>
      <c r="AD179" s="28" t="str">
        <f t="shared" si="26"/>
        <v/>
      </c>
      <c r="AE179" t="str">
        <f t="shared" si="20"/>
        <v>[Disability (Staff)]</v>
      </c>
    </row>
    <row r="180" spans="1:32" ht="48" x14ac:dyDescent="0.2">
      <c r="A180">
        <v>100139</v>
      </c>
      <c r="B180" s="11" t="str">
        <f>DataItems3[[#This Row],[Field]]&amp;IF(DataItems3[[#This Row],[Options for supplying the Field]]="",""," "&amp;DataItems3[[#This Row],[Options for supplying the Field]])</f>
        <v>Disability (Staff) marker (Known disability/ No known disability)</v>
      </c>
      <c r="C180">
        <v>100139</v>
      </c>
      <c r="D180" s="3" t="s">
        <v>100</v>
      </c>
      <c r="F180" s="3" t="s">
        <v>737</v>
      </c>
      <c r="G180" s="13" t="s">
        <v>727</v>
      </c>
      <c r="H180" s="14" t="s">
        <v>738</v>
      </c>
      <c r="I180" s="3" t="s">
        <v>729</v>
      </c>
      <c r="J180" s="3">
        <v>3</v>
      </c>
      <c r="K180" s="3">
        <v>1</v>
      </c>
      <c r="L180" s="3">
        <v>1</v>
      </c>
      <c r="M180" s="3">
        <v>4</v>
      </c>
      <c r="Q180" s="16" t="s">
        <v>742</v>
      </c>
      <c r="R180" s="3" t="s">
        <v>93</v>
      </c>
      <c r="S180" s="16" t="s">
        <v>743</v>
      </c>
      <c r="U180" s="3" t="s">
        <v>93</v>
      </c>
      <c r="V180" s="3" t="s">
        <v>93</v>
      </c>
      <c r="W180" s="57" t="s">
        <v>3019</v>
      </c>
      <c r="X180" t="str">
        <f>DataItems3[[#This Row],[Collection]]&amp;DataItems3[[#This Row],[Field]]&amp;DataItems3[[#This Row],[Options for supplying the Field]]&amp;DataItems3[[#This Row],[Fieldname]]&amp;DataItems3[[#This Row],[Parent]]</f>
        <v>StaffDisability (Staff)marker (Known disability/ No known disability)f_disabled</v>
      </c>
      <c r="Y180" s="15">
        <v>43684</v>
      </c>
      <c r="Z180" t="s">
        <v>95</v>
      </c>
      <c r="AA180" s="28" t="str">
        <f t="shared" si="21"/>
        <v>CASE WHEN p.dw_fromdate &gt;= 20080801 AND P.F_DISABLED IN ( '00' ) THEN 'No known disability' WHEN p.DW_FromDate &lt;= 20070801 AND p.F_DISABLED = '1' THEN 'No known disability' WHEN p.dw_fromdate &gt;= 20080801 AND P.F_DISABLED in ( '97' ,'99')THEN 'Unknown/Not available' WHEN p.DW_FromDate &lt;= 20070801 AND p.F_DISABLED = '9' THEN 'Unknown' WHEN p.dw_fromdate &gt;= 20080801 AND P.F_DISABLED IN ( '08', '51', '52', '53', '54', '55', '56', '57', '58', '96', '97' ) THEN 'Known disability' WHEN p.DW_FromDate &lt;= 20070801 AND p.F_DISABLED = '2' THEN'Known disability' ELSE 'error' END</v>
      </c>
      <c r="AB180" s="28" t="str">
        <f t="shared" si="25"/>
        <v>CASE WHEN p.dw_fromdate &gt;= 20080801 AND P.F_DISABLED IN ( '00' ) THEN 'No known disability' WHEN p.DW_FromDate &lt;= 20070801 AND p.F_DISABLED = '1' THEN 'No known disability' WHEN p.dw_fromdate &gt;= 20080801 AND P.F_DISABLED  in ( '97' ,'99') THEN 'Unknown/Not available' WHEN p.DW_FromDate &lt;= 20070801 AND p.F_DISABLED = '9' THEN 'Unknown' WHEN p.dw_fromdate &gt;= 20080801 AND P.F_DISABLED IN ( '08', '51', '52', '53', '54', '55', '56', '57', '58', '96', '97' ) THEN 'Known disability' WHEN p.DW_FromDate &lt;= 20070801 AND p.F_DISABLED = '2' THEN'Known disability' ELSE 'error' END</v>
      </c>
      <c r="AC180" s="28" t="str">
        <f t="shared" si="23"/>
        <v/>
      </c>
      <c r="AD180" s="28" t="str">
        <f t="shared" si="26"/>
        <v/>
      </c>
      <c r="AE180" t="str">
        <f t="shared" si="20"/>
        <v>[Disability (Staff)]</v>
      </c>
    </row>
    <row r="181" spans="1:32" ht="16" x14ac:dyDescent="0.2">
      <c r="A181">
        <v>100140</v>
      </c>
      <c r="B181" s="11" t="str">
        <f>DataItems3[[#This Row],[Field]]&amp;IF(DataItems3[[#This Row],[Options for supplying the Field]]="",""," "&amp;DataItems3[[#This Row],[Options for supplying the Field]])</f>
        <v>Disabled student allowance</v>
      </c>
      <c r="C181">
        <v>100140</v>
      </c>
      <c r="D181" s="3" t="s">
        <v>86</v>
      </c>
      <c r="E181" s="3" t="s">
        <v>106</v>
      </c>
      <c r="F181" s="3" t="s">
        <v>745</v>
      </c>
      <c r="G181" s="13"/>
      <c r="H181" s="14" t="s">
        <v>746</v>
      </c>
      <c r="I181" s="3" t="s">
        <v>439</v>
      </c>
      <c r="J181" s="3">
        <v>1</v>
      </c>
      <c r="K181" s="3">
        <v>1</v>
      </c>
      <c r="L181" s="3">
        <v>0</v>
      </c>
      <c r="M181" s="3">
        <v>4</v>
      </c>
      <c r="N181" s="3" t="s">
        <v>89</v>
      </c>
      <c r="Q181" s="16" t="s">
        <v>747</v>
      </c>
      <c r="R181" s="16" t="s">
        <v>747</v>
      </c>
      <c r="S181" s="16" t="s">
        <v>748</v>
      </c>
      <c r="T181" s="16" t="s">
        <v>748</v>
      </c>
      <c r="U181" s="3" t="s">
        <v>749</v>
      </c>
      <c r="V181" s="3" t="s">
        <v>93</v>
      </c>
      <c r="W181" s="57" t="s">
        <v>150</v>
      </c>
      <c r="X181" t="str">
        <f>DataItems3[[#This Row],[Collection]]&amp;DataItems3[[#This Row],[Field]]&amp;DataItems3[[#This Row],[Options for supplying the Field]]&amp;DataItems3[[#This Row],[Fieldname]]&amp;DataItems3[[#This Row],[Parent]]</f>
        <v>StudentDisabled student allowanceF_DISALL</v>
      </c>
      <c r="Y181" s="15">
        <v>43434</v>
      </c>
      <c r="Z181" t="s">
        <v>95</v>
      </c>
      <c r="AA181" s="28" t="str">
        <f t="shared" si="21"/>
        <v>IIF(S.F_DISALL in (' ','-1'),'9',S.F_DISALL)</v>
      </c>
      <c r="AB181" s="28" t="str">
        <f t="shared" si="25"/>
        <v>DISALL.DW_CurrentLabel</v>
      </c>
      <c r="AC181" s="28" t="str">
        <f t="shared" si="23"/>
        <v>IIF(S.F_DISALL in (' ','-1'),'9',S.F_DISALL)</v>
      </c>
      <c r="AD181" s="28" t="str">
        <f t="shared" si="26"/>
        <v>DISALL.DW_CurrentLabel</v>
      </c>
      <c r="AE181" t="str">
        <f t="shared" si="20"/>
        <v>[Disabled student allowance]</v>
      </c>
    </row>
    <row r="182" spans="1:32" ht="80" x14ac:dyDescent="0.2">
      <c r="A182">
        <v>100141</v>
      </c>
      <c r="B182" s="11" t="str">
        <f>DataItems3[[#This Row],[Field]]&amp;IF(DataItems3[[#This Row],[Options for supplying the Field]]="",""," "&amp;DataItems3[[#This Row],[Options for supplying the Field]])</f>
        <v>Distance learning marker (Distance learning - UK based/ Distance learning - Non-UK based (funded)/ Not a distance learning student)</v>
      </c>
      <c r="C182">
        <v>100141</v>
      </c>
      <c r="D182" s="3" t="s">
        <v>86</v>
      </c>
      <c r="F182" s="3" t="s">
        <v>750</v>
      </c>
      <c r="G182" s="13" t="s">
        <v>751</v>
      </c>
      <c r="H182" s="14" t="s">
        <v>752</v>
      </c>
      <c r="J182" s="3">
        <v>3</v>
      </c>
      <c r="K182" s="3">
        <v>2</v>
      </c>
      <c r="L182" s="3">
        <v>0</v>
      </c>
      <c r="M182" s="3">
        <v>0</v>
      </c>
      <c r="N182" s="3" t="s">
        <v>89</v>
      </c>
      <c r="Q182" s="16" t="s">
        <v>753</v>
      </c>
      <c r="R182" s="3" t="s">
        <v>91</v>
      </c>
      <c r="S182" s="16" t="s">
        <v>3020</v>
      </c>
      <c r="U182" s="3" t="s">
        <v>93</v>
      </c>
      <c r="V182" s="3" t="s">
        <v>93</v>
      </c>
      <c r="W182" s="57" t="s">
        <v>145</v>
      </c>
      <c r="X182" t="str">
        <f>DataItems3[[#This Row],[Collection]]&amp;DataItems3[[#This Row],[Field]]&amp;DataItems3[[#This Row],[Options for supplying the Field]]&amp;DataItems3[[#This Row],[Fieldname]]&amp;DataItems3[[#This Row],[Parent]]</f>
        <v>StudentDistance learning marker(Distance learning - UK based/ Distance learning - Non-UK based (funded)/ Not a distance learning student)DL_MKR</v>
      </c>
      <c r="Y182" s="15">
        <v>43434</v>
      </c>
      <c r="Z182" t="s">
        <v>95</v>
      </c>
      <c r="AA182" s="28" t="str">
        <f t="shared" si="21"/>
        <v>CASE when s.f_locsdy in ('6','9') then s.f_locsdy else 'NDL' end</v>
      </c>
      <c r="AB182" s="28" t="str">
        <f t="shared" si="25"/>
        <v>CASE when s.f_locsdy ='6' then 'Distance learning - UK based student' when s.f_locsdy ='9' then 'Distance learning - Non-UK based student (funded)' else 'Not a distance learning student' end</v>
      </c>
      <c r="AC182" s="28" t="str">
        <f t="shared" si="23"/>
        <v xml:space="preserve"> </v>
      </c>
      <c r="AD182" s="28" t="str">
        <f t="shared" si="26"/>
        <v/>
      </c>
      <c r="AE182" t="str">
        <f t="shared" si="20"/>
        <v>[Distance learning marker]</v>
      </c>
    </row>
    <row r="183" spans="1:32" ht="48" x14ac:dyDescent="0.2">
      <c r="A183">
        <v>100142</v>
      </c>
      <c r="B183" s="11" t="str">
        <f>DataItems3[[#This Row],[Field]]&amp;IF(DataItems3[[#This Row],[Options for supplying the Field]]="",""," "&amp;DataItems3[[#This Row],[Options for supplying the Field]])</f>
        <v>Distance learning marker (Distance learning student/ Not a distance learning student)</v>
      </c>
      <c r="C183">
        <v>100142</v>
      </c>
      <c r="D183" s="3" t="s">
        <v>86</v>
      </c>
      <c r="F183" s="3" t="s">
        <v>750</v>
      </c>
      <c r="G183" s="13" t="s">
        <v>754</v>
      </c>
      <c r="H183" s="14" t="s">
        <v>752</v>
      </c>
      <c r="J183" s="3">
        <v>2</v>
      </c>
      <c r="K183" s="3">
        <v>1</v>
      </c>
      <c r="L183" s="3">
        <v>0</v>
      </c>
      <c r="M183" s="3">
        <v>0</v>
      </c>
      <c r="N183" s="3" t="s">
        <v>89</v>
      </c>
      <c r="Q183" s="16" t="s">
        <v>755</v>
      </c>
      <c r="R183" s="3" t="s">
        <v>91</v>
      </c>
      <c r="S183" s="16" t="s">
        <v>756</v>
      </c>
      <c r="U183" s="3" t="s">
        <v>93</v>
      </c>
      <c r="V183" s="3" t="s">
        <v>93</v>
      </c>
      <c r="W183" s="57" t="s">
        <v>145</v>
      </c>
      <c r="X183" t="str">
        <f>DataItems3[[#This Row],[Collection]]&amp;DataItems3[[#This Row],[Field]]&amp;DataItems3[[#This Row],[Options for supplying the Field]]&amp;DataItems3[[#This Row],[Fieldname]]&amp;DataItems3[[#This Row],[Parent]]</f>
        <v>StudentDistance learning marker(Distance learning student/ Not a distance learning student)DL_MKR</v>
      </c>
      <c r="Y183" s="15">
        <v>43234</v>
      </c>
      <c r="Z183" t="s">
        <v>102</v>
      </c>
      <c r="AA183" s="28" t="str">
        <f t="shared" si="21"/>
        <v>CASE when s.f_locsdy in ('6','9') then 'DL' else 'NDL' end</v>
      </c>
      <c r="AB183" s="28" t="str">
        <f t="shared" si="25"/>
        <v>CASE when s.f_locsdy in ('6','9') then 'Distance learning student' else 'Not a distance learning student' end</v>
      </c>
      <c r="AC183" s="28" t="str">
        <f t="shared" si="23"/>
        <v xml:space="preserve"> </v>
      </c>
      <c r="AD183" s="28" t="str">
        <f t="shared" si="26"/>
        <v/>
      </c>
      <c r="AE183" t="str">
        <f t="shared" si="20"/>
        <v>[Distance learning marker]</v>
      </c>
    </row>
    <row r="184" spans="1:32" ht="32" x14ac:dyDescent="0.2">
      <c r="A184">
        <v>100144</v>
      </c>
      <c r="B184" s="11" t="str">
        <f>DataItems3[[#This Row],[Field]]&amp;IF(DataItems3[[#This Row],[Options for supplying the Field]]="",""," "&amp;DataItems3[[#This Row],[Options for supplying the Field]])</f>
        <v>Distance travelled⁽¹⁾ (Domicile postcode to employment postcode)</v>
      </c>
      <c r="C184">
        <v>100144</v>
      </c>
      <c r="D184" s="3" t="s">
        <v>146</v>
      </c>
      <c r="F184" s="3" t="str">
        <f t="shared" ref="F184:F190" si="27">"Distance travelled"&amp;"⁽"&amp;CHAR(185)&amp;"⁾"</f>
        <v>Distance travelled⁽¹⁾</v>
      </c>
      <c r="G184" s="13" t="s">
        <v>757</v>
      </c>
      <c r="H184" s="14" t="s">
        <v>93</v>
      </c>
      <c r="J184" s="3">
        <v>10</v>
      </c>
      <c r="K184" s="3">
        <v>8</v>
      </c>
      <c r="L184" s="3">
        <v>0</v>
      </c>
      <c r="M184" s="3">
        <v>0</v>
      </c>
      <c r="N184" s="3" t="s">
        <v>89</v>
      </c>
      <c r="Q184" s="16" t="s">
        <v>93</v>
      </c>
      <c r="R184" s="3" t="s">
        <v>93</v>
      </c>
      <c r="S184" s="16" t="s">
        <v>93</v>
      </c>
      <c r="U184" s="3" t="s">
        <v>93</v>
      </c>
      <c r="V184" s="3" t="s">
        <v>93</v>
      </c>
      <c r="W184" s="57" t="s">
        <v>2926</v>
      </c>
      <c r="X184" t="str">
        <f>DataItems3[[#This Row],[Collection]]&amp;DataItems3[[#This Row],[Field]]&amp;DataItems3[[#This Row],[Options for supplying the Field]]&amp;DataItems3[[#This Row],[Fieldname]]&amp;DataItems3[[#This Row],[Parent]]</f>
        <v>DLHEDistance travelled⁽¹⁾(Domicile postcode to employment postcode)</v>
      </c>
      <c r="Y184" s="15">
        <v>43909</v>
      </c>
      <c r="Z184" t="s">
        <v>159</v>
      </c>
      <c r="AA184" s="28" t="str">
        <f t="shared" si="21"/>
        <v/>
      </c>
      <c r="AB184" s="28" t="str">
        <f t="shared" si="25"/>
        <v/>
      </c>
      <c r="AC184" s="28" t="str">
        <f t="shared" si="23"/>
        <v/>
      </c>
      <c r="AD184" s="28" t="str">
        <f t="shared" si="26"/>
        <v/>
      </c>
      <c r="AE184" t="str">
        <f t="shared" si="20"/>
        <v>[Distance travelled]</v>
      </c>
    </row>
    <row r="185" spans="1:32" ht="32" x14ac:dyDescent="0.2">
      <c r="A185">
        <v>100147</v>
      </c>
      <c r="B185" s="11" t="str">
        <f>DataItems3[[#This Row],[Field]]&amp;IF(DataItems3[[#This Row],[Options for supplying the Field]]="",""," "&amp;DataItems3[[#This Row],[Options for supplying the Field]])</f>
        <v>Distance travelled⁽¹⁾ (Term time postcode to employment postcode)</v>
      </c>
      <c r="C185">
        <v>100147</v>
      </c>
      <c r="D185" s="3" t="s">
        <v>146</v>
      </c>
      <c r="F185" s="3" t="str">
        <f t="shared" si="27"/>
        <v>Distance travelled⁽¹⁾</v>
      </c>
      <c r="G185" s="13" t="s">
        <v>758</v>
      </c>
      <c r="H185" s="14" t="s">
        <v>93</v>
      </c>
      <c r="J185" s="3">
        <v>10</v>
      </c>
      <c r="K185" s="3">
        <v>8</v>
      </c>
      <c r="L185" s="3">
        <v>0</v>
      </c>
      <c r="M185" s="3">
        <v>0</v>
      </c>
      <c r="N185" s="3" t="s">
        <v>89</v>
      </c>
      <c r="Q185" s="16" t="s">
        <v>93</v>
      </c>
      <c r="R185" s="3" t="s">
        <v>93</v>
      </c>
      <c r="S185" s="16" t="s">
        <v>93</v>
      </c>
      <c r="U185" s="3" t="s">
        <v>93</v>
      </c>
      <c r="V185" s="3" t="s">
        <v>93</v>
      </c>
      <c r="W185" s="57" t="s">
        <v>2926</v>
      </c>
      <c r="X185" t="str">
        <f>DataItems3[[#This Row],[Collection]]&amp;DataItems3[[#This Row],[Field]]&amp;DataItems3[[#This Row],[Options for supplying the Field]]&amp;DataItems3[[#This Row],[Fieldname]]&amp;DataItems3[[#This Row],[Parent]]</f>
        <v>DLHEDistance travelled⁽¹⁾(Term time postcode to employment postcode)</v>
      </c>
      <c r="Y185" s="15">
        <v>43909</v>
      </c>
      <c r="Z185" t="s">
        <v>159</v>
      </c>
      <c r="AA185" s="28" t="str">
        <f t="shared" si="21"/>
        <v/>
      </c>
      <c r="AB185" s="28" t="str">
        <f t="shared" si="25"/>
        <v/>
      </c>
      <c r="AC185" s="28" t="str">
        <f t="shared" si="23"/>
        <v/>
      </c>
      <c r="AD185" s="28" t="str">
        <f t="shared" si="26"/>
        <v/>
      </c>
      <c r="AE185" t="str">
        <f t="shared" si="20"/>
        <v>[Distance travelled]</v>
      </c>
    </row>
    <row r="186" spans="1:32" ht="32" x14ac:dyDescent="0.2">
      <c r="A186">
        <v>100143</v>
      </c>
      <c r="B186" s="11" t="str">
        <f>DataItems3[[#This Row],[Field]]&amp;IF(DataItems3[[#This Row],[Options for supplying the Field]]="",""," "&amp;DataItems3[[#This Row],[Options for supplying the Field]])</f>
        <v>Distance travelled⁽¹⁾ (Domicile postcode to campus postcode)</v>
      </c>
      <c r="C186">
        <v>100143</v>
      </c>
      <c r="D186" s="3" t="s">
        <v>86</v>
      </c>
      <c r="F186" s="3" t="str">
        <f t="shared" si="27"/>
        <v>Distance travelled⁽¹⁾</v>
      </c>
      <c r="G186" s="13" t="s">
        <v>759</v>
      </c>
      <c r="H186" s="14" t="s">
        <v>760</v>
      </c>
      <c r="J186" s="3">
        <v>10</v>
      </c>
      <c r="K186" s="3">
        <v>8</v>
      </c>
      <c r="L186" s="3">
        <v>0</v>
      </c>
      <c r="M186" s="3">
        <v>0</v>
      </c>
      <c r="N186" s="3" t="s">
        <v>89</v>
      </c>
      <c r="Q186" s="16" t="s">
        <v>761</v>
      </c>
      <c r="R186" s="3" t="s">
        <v>91</v>
      </c>
      <c r="S186" s="16" t="s">
        <v>762</v>
      </c>
      <c r="U186" s="3" t="s">
        <v>763</v>
      </c>
      <c r="V186" s="3" t="s">
        <v>93</v>
      </c>
      <c r="W186" s="57" t="s">
        <v>764</v>
      </c>
      <c r="X186" t="str">
        <f>DataItems3[[#This Row],[Collection]]&amp;DataItems3[[#This Row],[Field]]&amp;DataItems3[[#This Row],[Options for supplying the Field]]&amp;DataItems3[[#This Row],[Fieldname]]&amp;DataItems3[[#This Row],[Parent]]</f>
        <v>StudentDistance travelled⁽¹⁾(Domicile postcode to campus postcode)DIST_TRAV</v>
      </c>
      <c r="Y186" s="15">
        <v>43438</v>
      </c>
      <c r="Z186" t="s">
        <v>95</v>
      </c>
      <c r="AA186" s="28" t="str">
        <f t="shared" si="21"/>
        <v>dbo.SP_Distance_NotApplicable(s.f_xdomgr01, pk.f_country, s.f_xinstid01, s.f_xfyrsr01, s.f_locsdy, d.f_zpropfran, dbo.SP_Distance(pk.F_EASTING,pk.F_NORTHING,PC.F_OSEAST1M,PC.F_OSNRTH1M,'M'))</v>
      </c>
      <c r="AB186" s="28" t="str">
        <f t="shared" si="25"/>
        <v>REPLACE(REPLACE(dbo.SP_Distance_NotApplicable(s.F_XDOMGR01, pk.f_country, s.F_XINSTID01, s.F_XFYRSR01, s.F_LOCSDY, d.F_ZPROPFRAN, dbo.SP_Distance(pk.F_EASTING, pk.F_NORTHING, PC.F_OSEAST1M, PC.F_OSNRTH1M, 'M')),-9999,'Unknown'),-8888,'Not applicable')</v>
      </c>
      <c r="AC186" s="28" t="str">
        <f t="shared" si="23"/>
        <v xml:space="preserve"> </v>
      </c>
      <c r="AD186" s="28" t="str">
        <f t="shared" si="26"/>
        <v/>
      </c>
      <c r="AE186" t="str">
        <f t="shared" si="20"/>
        <v>[Distance travelled]</v>
      </c>
    </row>
    <row r="187" spans="1:32" ht="32" x14ac:dyDescent="0.2">
      <c r="A187">
        <v>100145</v>
      </c>
      <c r="B187" s="11" t="str">
        <f>DataItems3[[#This Row],[Field]]&amp;IF(DataItems3[[#This Row],[Options for supplying the Field]]="",""," "&amp;DataItems3[[#This Row],[Options for supplying the Field]])</f>
        <v>Distance travelled⁽¹⁾ (Domicile postcode to HE provider postcode)</v>
      </c>
      <c r="C187">
        <v>100145</v>
      </c>
      <c r="D187" s="3" t="s">
        <v>86</v>
      </c>
      <c r="F187" s="3" t="str">
        <f t="shared" si="27"/>
        <v>Distance travelled⁽¹⁾</v>
      </c>
      <c r="G187" s="13" t="s">
        <v>765</v>
      </c>
      <c r="H187" s="14" t="s">
        <v>760</v>
      </c>
      <c r="J187" s="3">
        <v>10</v>
      </c>
      <c r="K187" s="3">
        <v>8</v>
      </c>
      <c r="L187" s="3">
        <v>0</v>
      </c>
      <c r="M187" s="3">
        <v>0</v>
      </c>
      <c r="N187" s="3" t="s">
        <v>89</v>
      </c>
      <c r="Q187" s="16" t="s">
        <v>766</v>
      </c>
      <c r="R187" s="3" t="s">
        <v>91</v>
      </c>
      <c r="S187" s="16" t="s">
        <v>767</v>
      </c>
      <c r="U187" s="3" t="s">
        <v>768</v>
      </c>
      <c r="V187" s="3" t="s">
        <v>93</v>
      </c>
      <c r="W187" s="57" t="s">
        <v>764</v>
      </c>
      <c r="X187" t="str">
        <f>DataItems3[[#This Row],[Collection]]&amp;DataItems3[[#This Row],[Field]]&amp;DataItems3[[#This Row],[Options for supplying the Field]]&amp;DataItems3[[#This Row],[Fieldname]]&amp;DataItems3[[#This Row],[Parent]]</f>
        <v>StudentDistance travelled⁽¹⁾(Domicile postcode to HE provider postcode)DIST_TRAV</v>
      </c>
      <c r="Y187" s="15">
        <v>43909</v>
      </c>
      <c r="Z187" t="s">
        <v>159</v>
      </c>
      <c r="AA187" s="28" t="str">
        <f t="shared" si="21"/>
        <v>dbo.SP_Distance_NotApplicable(s.f_xdomgr01, s.f_xinstc01, s.f_xinstid01, s.f_xfyrsr01, s.f_locsdy, d.f_zpropfran, dbo.SP_Distance(A.F_EASTING, A.F_NORTHING, PC.F_OSEAST1M, PC.F_OSNRTH1M, 'M'))</v>
      </c>
      <c r="AB187" s="28" t="str">
        <f t="shared" si="25"/>
        <v>REPLACE(REPLACE(dbo.SP_Distance_NotApplicable(s.F_XDOMGR01, s.f_xinstc01, s.F_XINSTID01, s.F_XFYRSR01, s.F_LOCSDY, d.F_ZPROPFRAN, dbo.SP_Distance(a.F_EASTING, a.F_NORTHING, PC.F_OSEAST1M, PC.F_OSNRTH1M, 'M')),-9999,'Unknown'),-8888,'Not applicable')</v>
      </c>
      <c r="AC187" s="28" t="str">
        <f t="shared" si="23"/>
        <v xml:space="preserve"> </v>
      </c>
      <c r="AD187" s="28" t="str">
        <f t="shared" si="26"/>
        <v/>
      </c>
      <c r="AE187" t="str">
        <f t="shared" si="20"/>
        <v>[Distance travelled]</v>
      </c>
    </row>
    <row r="188" spans="1:32" ht="32" x14ac:dyDescent="0.2">
      <c r="A188">
        <v>100146</v>
      </c>
      <c r="B188" s="11" t="str">
        <f>DataItems3[[#This Row],[Field]]&amp;IF(DataItems3[[#This Row],[Options for supplying the Field]]="",""," "&amp;DataItems3[[#This Row],[Options for supplying the Field]])</f>
        <v>Distance travelled⁽¹⁾ (Domicile postcode to term time postcode)</v>
      </c>
      <c r="C188">
        <v>100146</v>
      </c>
      <c r="D188" s="3" t="s">
        <v>86</v>
      </c>
      <c r="F188" s="3" t="str">
        <f t="shared" si="27"/>
        <v>Distance travelled⁽¹⁾</v>
      </c>
      <c r="G188" s="13" t="s">
        <v>769</v>
      </c>
      <c r="H188" s="14" t="s">
        <v>760</v>
      </c>
      <c r="J188" s="3">
        <v>10</v>
      </c>
      <c r="K188" s="3">
        <v>8</v>
      </c>
      <c r="L188" s="3">
        <v>0</v>
      </c>
      <c r="M188" s="3">
        <v>0</v>
      </c>
      <c r="N188" s="3" t="s">
        <v>89</v>
      </c>
      <c r="Q188" s="16" t="s">
        <v>770</v>
      </c>
      <c r="R188" s="3" t="s">
        <v>91</v>
      </c>
      <c r="S188" s="16" t="s">
        <v>771</v>
      </c>
      <c r="U188" s="3" t="s">
        <v>772</v>
      </c>
      <c r="V188" s="3" t="s">
        <v>93</v>
      </c>
      <c r="W188" s="57" t="s">
        <v>764</v>
      </c>
      <c r="X188" t="str">
        <f>DataItems3[[#This Row],[Collection]]&amp;DataItems3[[#This Row],[Field]]&amp;DataItems3[[#This Row],[Options for supplying the Field]]&amp;DataItems3[[#This Row],[Fieldname]]&amp;DataItems3[[#This Row],[Parent]]</f>
        <v>StudentDistance travelled⁽¹⁾(Domicile postcode to term time postcode)DIST_TRAV</v>
      </c>
      <c r="Y188" s="15">
        <v>43909</v>
      </c>
      <c r="Z188" t="s">
        <v>159</v>
      </c>
      <c r="AA188" s="28" t="str">
        <f t="shared" si="21"/>
        <v>dbo.SP_Distance_NotApplicable(  s.F_XDOMGR01,   tt.F_CTRY,    s.F_XINSTID01,  s.F_XFYRSR01, s.F_LOCSDY,  d.F_ZPROPFRAN, dbo.SP_Distance(tt.F_OSEAST1M, tt.F_OSNRTH1M, PC.F_OSEAST1M, PC.F_OSNRTH1M, 'M'))</v>
      </c>
      <c r="AB188" s="28" t="str">
        <f t="shared" si="25"/>
        <v>REPLACE(REPLACE(dbo.SP_Distance_NotApplicable(  s.F_XDOMGR01,   tt.F_CTRY,    s.F_XINSTID01,  s.F_XFYRSR01, s.F_LOCSDY,  d.F_ZPROPFRAN, dbo.SP_Distance(tt.F_OSEAST1M, tt.F_OSNRTH1M, PC.F_OSEAST1M, PC.F_OSNRTH1M, 'M')),-9999,'Unknown'),-8888,'Not applicable')</v>
      </c>
      <c r="AC188" s="28" t="str">
        <f t="shared" si="23"/>
        <v xml:space="preserve"> </v>
      </c>
      <c r="AD188" s="28" t="str">
        <f t="shared" si="26"/>
        <v/>
      </c>
      <c r="AE188" t="str">
        <f t="shared" si="20"/>
        <v>[Distance travelled]</v>
      </c>
    </row>
    <row r="189" spans="1:32" ht="32" x14ac:dyDescent="0.2">
      <c r="A189">
        <v>100761</v>
      </c>
      <c r="B189" s="11" t="str">
        <f>DataItems3[[#This Row],[Field]]&amp;IF(DataItems3[[#This Row],[Options for supplying the Field]]="",""," "&amp;DataItems3[[#This Row],[Options for supplying the Field]])</f>
        <v>Distance travelled⁽¹⁾ (Term time postcode to campus postcode)</v>
      </c>
      <c r="C189">
        <v>100761</v>
      </c>
      <c r="D189" s="3" t="s">
        <v>86</v>
      </c>
      <c r="F189" s="3" t="str">
        <f t="shared" si="27"/>
        <v>Distance travelled⁽¹⁾</v>
      </c>
      <c r="G189" s="13" t="s">
        <v>773</v>
      </c>
      <c r="H189" s="14" t="s">
        <v>760</v>
      </c>
      <c r="J189" s="3">
        <v>10</v>
      </c>
      <c r="K189" s="3">
        <v>8</v>
      </c>
      <c r="L189" s="3">
        <v>0</v>
      </c>
      <c r="M189" s="3">
        <v>0</v>
      </c>
      <c r="N189" s="3" t="s">
        <v>89</v>
      </c>
      <c r="Q189" s="16" t="s">
        <v>774</v>
      </c>
      <c r="R189" s="3" t="s">
        <v>91</v>
      </c>
      <c r="S189" s="16" t="s">
        <v>774</v>
      </c>
      <c r="U189" s="3" t="s">
        <v>775</v>
      </c>
      <c r="W189" s="57" t="s">
        <v>764</v>
      </c>
      <c r="X189" t="str">
        <f>DataItems3[[#This Row],[Collection]]&amp;DataItems3[[#This Row],[Field]]&amp;DataItems3[[#This Row],[Options for supplying the Field]]&amp;DataItems3[[#This Row],[Fieldname]]&amp;DataItems3[[#This Row],[Parent]]</f>
        <v>StudentDistance travelled⁽¹⁾(Term time postcode to campus postcode)DIST_TRAV</v>
      </c>
      <c r="Y189" s="4">
        <v>44236</v>
      </c>
      <c r="Z189" t="s">
        <v>776</v>
      </c>
      <c r="AA189" s="28" t="str">
        <f t="shared" si="21"/>
        <v>dbo.SP_Distance_NotApplicable(pt.f_gor, pk.f_country, s.f_xinstid01, s.f_xfyrsr01, s.f_locsdy, d.f_zpropfran, dbo.SP_Distance(pk.F_EASTING,pk.F_NORTHING,Pt.F_OSEAST1M,Pt.F_OSNRTH1M,'M'))</v>
      </c>
      <c r="AB189" s="28" t="str">
        <f t="shared" si="25"/>
        <v>dbo.SP_Distance_NotApplicable(pt.f_gor, pk.f_country, s.f_xinstid01, s.f_xfyrsr01, s.f_locsdy, d.f_zpropfran, dbo.SP_Distance(pk.F_EASTING,pk.F_NORTHING,Pt.F_OSEAST1M,Pt.F_OSNRTH1M,'M'))</v>
      </c>
      <c r="AC189" s="28" t="str">
        <f t="shared" si="23"/>
        <v xml:space="preserve"> </v>
      </c>
      <c r="AD189" s="28" t="str">
        <f t="shared" si="26"/>
        <v/>
      </c>
      <c r="AE189" t="str">
        <f t="shared" si="20"/>
        <v>[Distance travelled]</v>
      </c>
    </row>
    <row r="190" spans="1:32" ht="32" x14ac:dyDescent="0.2">
      <c r="A190">
        <v>100148</v>
      </c>
      <c r="B190" s="11" t="str">
        <f>DataItems3[[#This Row],[Field]]&amp;IF(DataItems3[[#This Row],[Options for supplying the Field]]="",""," "&amp;DataItems3[[#This Row],[Options for supplying the Field]])</f>
        <v>Distance travelled⁽¹⁾ (Term time postcode to HE provider postcode)</v>
      </c>
      <c r="C190">
        <v>100148</v>
      </c>
      <c r="D190" s="3" t="s">
        <v>86</v>
      </c>
      <c r="F190" s="3" t="str">
        <f t="shared" si="27"/>
        <v>Distance travelled⁽¹⁾</v>
      </c>
      <c r="G190" s="13" t="s">
        <v>777</v>
      </c>
      <c r="H190" s="14" t="s">
        <v>760</v>
      </c>
      <c r="J190" s="3">
        <v>10</v>
      </c>
      <c r="K190" s="3">
        <v>8</v>
      </c>
      <c r="L190" s="3">
        <v>0</v>
      </c>
      <c r="M190" s="3">
        <v>0</v>
      </c>
      <c r="N190" s="3" t="s">
        <v>89</v>
      </c>
      <c r="Q190" s="16" t="s">
        <v>778</v>
      </c>
      <c r="R190" s="3" t="s">
        <v>91</v>
      </c>
      <c r="S190" s="16" t="s">
        <v>779</v>
      </c>
      <c r="U190" s="3" t="s">
        <v>780</v>
      </c>
      <c r="V190" s="3" t="s">
        <v>93</v>
      </c>
      <c r="W190" s="57" t="s">
        <v>764</v>
      </c>
      <c r="X190" t="str">
        <f>DataItems3[[#This Row],[Collection]]&amp;DataItems3[[#This Row],[Field]]&amp;DataItems3[[#This Row],[Options for supplying the Field]]&amp;DataItems3[[#This Row],[Fieldname]]&amp;DataItems3[[#This Row],[Parent]]</f>
        <v>StudentDistance travelled⁽¹⁾(Term time postcode to HE provider postcode)DIST_TRAV</v>
      </c>
      <c r="Y190" s="15">
        <v>43909</v>
      </c>
      <c r="Z190" t="s">
        <v>159</v>
      </c>
      <c r="AA190" s="28" t="str">
        <f t="shared" si="21"/>
        <v>dbo.SP_Distance_NotApplicable(pt.f_gor,  s.f_xinstc01, s.f_xinstid01, s.f_xfyrsr01, s.f_locsdy, d.f_zpropfran, dbo.SP_Distance(a.F_EASTING,a.F_NORTHING,Pt.F_OSEAST1M,Pt.F_OSNRTH1M,'M'))</v>
      </c>
      <c r="AB190" s="28" t="str">
        <f t="shared" si="25"/>
        <v>REPLACE(REPLACE(dbo.SP_Distance_NotApplicable(pt.f_gor,  s.f_xinstc01, s.F_XINSTID01, s.F_XFYRSR01, s.F_LOCSDY, d.F_ZPROPFRAN, dbo.SP_Distance(a.F_EASTING, a.F_NORTHING, Pt.F_OSEAST1M, Pt.F_OSNRTH1M, 'M')),-9999,'Unknown'),-8888,'Not applicable')</v>
      </c>
      <c r="AC190" s="28" t="str">
        <f t="shared" si="23"/>
        <v xml:space="preserve"> </v>
      </c>
      <c r="AD190" s="28" t="str">
        <f t="shared" si="26"/>
        <v/>
      </c>
      <c r="AE190" t="str">
        <f t="shared" ref="AE190:AE253" si="28">IF(F190="","","["&amp;SUBSTITUTE(SUBSTITUTE(SUBSTITUTE(F190,"[","{"),"]","}"),"⁽"&amp;CHAR(185)&amp;"⁾","")&amp;"]")</f>
        <v>[Distance travelled]</v>
      </c>
    </row>
    <row r="191" spans="1:32" ht="16" x14ac:dyDescent="0.2">
      <c r="A191">
        <v>100149</v>
      </c>
      <c r="B191" s="11" t="str">
        <f>DataItems3[[#This Row],[Field]]&amp;IF(DataItems3[[#This Row],[Options for supplying the Field]]="",""," "&amp;DataItems3[[#This Row],[Options for supplying the Field]])</f>
        <v>DLHE Qualification obtained (Full)</v>
      </c>
      <c r="C191">
        <v>100149</v>
      </c>
      <c r="D191" s="3" t="s">
        <v>146</v>
      </c>
      <c r="F191" s="3" t="s">
        <v>781</v>
      </c>
      <c r="G191" s="13" t="s">
        <v>277</v>
      </c>
      <c r="H191" s="14" t="s">
        <v>93</v>
      </c>
      <c r="J191" s="3">
        <v>1</v>
      </c>
      <c r="K191" s="3">
        <v>3</v>
      </c>
      <c r="L191" s="3">
        <v>2</v>
      </c>
      <c r="M191" s="3">
        <v>0</v>
      </c>
      <c r="N191" s="3" t="s">
        <v>89</v>
      </c>
      <c r="Q191" s="16" t="s">
        <v>93</v>
      </c>
      <c r="R191" s="3" t="s">
        <v>93</v>
      </c>
      <c r="S191" s="16" t="s">
        <v>93</v>
      </c>
      <c r="U191" s="3" t="s">
        <v>93</v>
      </c>
      <c r="V191" s="3" t="s">
        <v>93</v>
      </c>
      <c r="W191" s="57" t="s">
        <v>2926</v>
      </c>
      <c r="X191" t="str">
        <f>DataItems3[[#This Row],[Collection]]&amp;DataItems3[[#This Row],[Field]]&amp;DataItems3[[#This Row],[Options for supplying the Field]]&amp;DataItems3[[#This Row],[Fieldname]]&amp;DataItems3[[#This Row],[Parent]]</f>
        <v>DLHEDLHE Qualification obtained(Full)</v>
      </c>
      <c r="Y191" s="15">
        <v>43416</v>
      </c>
      <c r="Z191" t="s">
        <v>95</v>
      </c>
      <c r="AA191" s="28" t="str">
        <f t="shared" si="21"/>
        <v/>
      </c>
      <c r="AB191" s="28" t="str">
        <f t="shared" si="25"/>
        <v/>
      </c>
      <c r="AC191" s="28" t="str">
        <f t="shared" si="23"/>
        <v/>
      </c>
      <c r="AD191" s="28" t="str">
        <f t="shared" si="26"/>
        <v/>
      </c>
      <c r="AE191" t="str">
        <f t="shared" si="28"/>
        <v>[DLHE Qualification obtained]</v>
      </c>
    </row>
    <row r="192" spans="1:32" ht="16" x14ac:dyDescent="0.2">
      <c r="A192">
        <v>100154</v>
      </c>
      <c r="B192" s="11" t="str">
        <f>DataItems3[[#This Row],[Field]]&amp;IF(DataItems3[[#This Row],[Options for supplying the Field]]="",""," "&amp;DataItems3[[#This Row],[Options for supplying the Field]])</f>
        <v>Domicile (Outward postcode)</v>
      </c>
      <c r="C192">
        <v>100154</v>
      </c>
      <c r="D192" s="3" t="s">
        <v>86</v>
      </c>
      <c r="E192" s="3" t="s">
        <v>106</v>
      </c>
      <c r="F192" s="3" t="s">
        <v>782</v>
      </c>
      <c r="G192" s="13" t="s">
        <v>783</v>
      </c>
      <c r="H192" s="14" t="s">
        <v>784</v>
      </c>
      <c r="J192" s="3">
        <v>1</v>
      </c>
      <c r="K192" s="3">
        <v>7</v>
      </c>
      <c r="L192" s="3">
        <v>1</v>
      </c>
      <c r="M192" s="3">
        <v>0</v>
      </c>
      <c r="N192" s="3" t="s">
        <v>106</v>
      </c>
      <c r="Q192" s="16" t="s">
        <v>785</v>
      </c>
      <c r="R192" s="16" t="s">
        <v>785</v>
      </c>
      <c r="S192" s="16" t="s">
        <v>785</v>
      </c>
      <c r="T192" s="16" t="s">
        <v>785</v>
      </c>
      <c r="U192" s="3" t="s">
        <v>93</v>
      </c>
      <c r="V192" s="3">
        <v>1</v>
      </c>
      <c r="W192" s="57" t="s">
        <v>786</v>
      </c>
      <c r="X192" t="str">
        <f>DataItems3[[#This Row],[Collection]]&amp;DataItems3[[#This Row],[Field]]&amp;DataItems3[[#This Row],[Options for supplying the Field]]&amp;DataItems3[[#This Row],[Fieldname]]&amp;DataItems3[[#This Row],[Parent]]</f>
        <v>StudentDomicile(Outward postcode)F_OUTPCODE</v>
      </c>
      <c r="Y192" s="15"/>
      <c r="AA192" s="28" t="str">
        <f t="shared" si="21"/>
        <v>CASE WHEN ltrim(s.f_postcode) IN ('ZZ', 'XK', 'XL', 'IM', 'XF', 'XG', 'XH', 'XI', '99999999')
OR ltrim(s.f_postcode) IS NULL
OR ltrim(s.f_postcode) IN ('',' ') THEN 'Unknown'
WHEN SUBSTRING(ltrim(s.f_postcode), 1, 3)='___'
OR SUBSTRING(ltrim(s.f_postcode), 1, 3)='###'
OR SUBSTRING(ltrim(s.f_postcode), 1, 3)='$$$' THEN 'Unknown'
WHEN CHARINDEX(' ', LTRIM(ltrim(s.f_postcode)))=0 THEN CASE WHEN LEN(ltrim(s.f_postcode))&gt;=5 THEN 'Unknown' ELSE ltrim(s.f_postcode) END
WHEN ((ltrim(s.f_postcode) LIKE '%  %') OR (ltrim(s.f_postcode) LIKE '% %')) THEN SUBSTRING(ltrim(s.f_postcode), 1, CHARINDEX(' ', ltrim(s.f_postcode)) - 1)
ELSE 'Unknown' END</v>
      </c>
      <c r="AB192" s="28" t="str">
        <f t="shared" si="25"/>
        <v>CASE WHEN ltrim(s.f_postcode) IN ('ZZ', 'XK', 'XL', 'IM', 'XF', 'XG', 'XH', 'XI', '99999999')
OR ltrim(s.f_postcode) IS NULL
OR ltrim(s.f_postcode) IN ('',' ') THEN 'Unknown'
WHEN SUBSTRING(ltrim(s.f_postcode), 1, 3)='___'
OR SUBSTRING(ltrim(s.f_postcode), 1, 3)='###'
OR SUBSTRING(ltrim(s.f_postcode), 1, 3)='$$$' THEN 'Unknown'
WHEN CHARINDEX(' ', LTRIM(ltrim(s.f_postcode)))=0 THEN CASE WHEN LEN(ltrim(s.f_postcode))&gt;=5 THEN 'Unknown' ELSE ltrim(s.f_postcode) END
WHEN ((ltrim(s.f_postcode) LIKE '%  %') OR (ltrim(s.f_postcode) LIKE '% %')) THEN SUBSTRING(ltrim(s.f_postcode), 1, CHARINDEX(' ', ltrim(s.f_postcode)) - 1)
ELSE 'Unknown' END</v>
      </c>
      <c r="AC192" s="28" t="str">
        <f t="shared" si="23"/>
        <v>CASE WHEN ltrim(s.f_postcode) IN ('ZZ', 'XK', 'XL', 'IM', 'XF', 'XG', 'XH', 'XI', '99999999')
OR ltrim(s.f_postcode) IS NULL
OR ltrim(s.f_postcode) IN ('',' ') THEN 'Unknown'
WHEN SUBSTRING(ltrim(s.f_postcode), 1, 3)='___'
OR SUBSTRING(ltrim(s.f_postcode), 1, 3)='###'
OR SUBSTRING(ltrim(s.f_postcode), 1, 3)='$$$' THEN 'Unknown'
WHEN CHARINDEX(' ', LTRIM(ltrim(s.f_postcode)))=0 THEN CASE WHEN LEN(ltrim(s.f_postcode))&gt;=5 THEN 'Unknown' ELSE ltrim(s.f_postcode) END
WHEN ((ltrim(s.f_postcode) LIKE '%  %') OR (ltrim(s.f_postcode) LIKE '% %')) THEN SUBSTRING(ltrim(s.f_postcode), 1, CHARINDEX(' ', ltrim(s.f_postcode)) - 1)
ELSE 'Unknown' END</v>
      </c>
      <c r="AD192" s="28" t="str">
        <f t="shared" si="26"/>
        <v>CASE WHEN ltrim(s.f_postcode) IN ('ZZ', 'XK', 'XL', 'IM', 'XF', 'XG', 'XH', 'XI', '99999999')
OR ltrim(s.f_postcode) IS NULL
OR ltrim(s.f_postcode) IN ('',' ') THEN 'Unknown'
WHEN SUBSTRING(ltrim(s.f_postcode), 1, 3)='___'
OR SUBSTRING(ltrim(s.f_postcode), 1, 3)='###'
OR SUBSTRING(ltrim(s.f_postcode), 1, 3)='$$$' THEN 'Unknown'
WHEN CHARINDEX(' ', LTRIM(ltrim(s.f_postcode)))=0 THEN CASE WHEN LEN(ltrim(s.f_postcode))&gt;=5 THEN 'Unknown' ELSE ltrim(s.f_postcode) END
WHEN ((ltrim(s.f_postcode) LIKE '%  %') OR (ltrim(s.f_postcode) LIKE '% %')) THEN SUBSTRING(ltrim(s.f_postcode), 1, CHARINDEX(' ', ltrim(s.f_postcode)) - 1)
ELSE 'Unknown' END</v>
      </c>
      <c r="AE192" t="str">
        <f t="shared" si="28"/>
        <v>[Domicile]</v>
      </c>
    </row>
    <row r="193" spans="1:32" ht="32" x14ac:dyDescent="0.2">
      <c r="A193">
        <v>100164</v>
      </c>
      <c r="B193" s="11" t="str">
        <f>DataItems3[[#This Row],[Field]]&amp;IF(DataItems3[[#This Row],[Options for supplying the Field]]="",""," "&amp;DataItems3[[#This Row],[Options for supplying the Field]])</f>
        <v>Domicile (UK sector postcode/ Non-UK)</v>
      </c>
      <c r="C193">
        <v>100164</v>
      </c>
      <c r="D193" s="3" t="s">
        <v>86</v>
      </c>
      <c r="E193" s="3" t="s">
        <v>106</v>
      </c>
      <c r="F193" s="3" t="s">
        <v>782</v>
      </c>
      <c r="G193" s="13" t="s">
        <v>787</v>
      </c>
      <c r="H193" s="14" t="s">
        <v>788</v>
      </c>
      <c r="J193" s="3">
        <v>3</v>
      </c>
      <c r="K193" s="3">
        <v>8</v>
      </c>
      <c r="L193" s="3">
        <v>2</v>
      </c>
      <c r="M193" s="3">
        <v>0</v>
      </c>
      <c r="N193" s="3" t="s">
        <v>789</v>
      </c>
      <c r="Q193" s="16" t="s">
        <v>790</v>
      </c>
      <c r="R193" s="16" t="s">
        <v>790</v>
      </c>
      <c r="S193" s="16" t="s">
        <v>790</v>
      </c>
      <c r="T193" s="16" t="s">
        <v>790</v>
      </c>
      <c r="U193" s="3" t="s">
        <v>93</v>
      </c>
      <c r="W193" s="57" t="s">
        <v>791</v>
      </c>
      <c r="X193" t="str">
        <f>DataItems3[[#This Row],[Collection]]&amp;DataItems3[[#This Row],[Field]]&amp;DataItems3[[#This Row],[Options for supplying the Field]]&amp;DataItems3[[#This Row],[Fieldname]]&amp;DataItems3[[#This Row],[Parent]]</f>
        <v>StudentDomicile(UK sector postcode/ Non-UK)F_SECTORPCODE</v>
      </c>
      <c r="Y193" s="15">
        <v>43434</v>
      </c>
      <c r="Z193" t="s">
        <v>95</v>
      </c>
      <c r="AA193" s="28" t="str">
        <f t="shared" si="21"/>
        <v xml:space="preserve">case WHEN s.F_XHOOS01='3' THEN 'zzzzUnknown' WHEN s.F_XHOOS01='2' THEN 'Non-UK' WHEN s.F_POSTCODE IN ('ZZ', 'GB', 'JE', 'XL', 'XK', 'GG', 'IM', 'XF', 'XI', 'XH', 'XG', '99999999',  '1782', '2826', '3826', '4826', '5826', '6826', '7826', '8826') OR s.F_POSTCODE IS NULL OR s.F_POSTCODE='' THEN 'zzzzUnknown' WHEN SUBSTRING(s.F_POSTCODE,1,3)='___' OR SUBSTRING(s.F_POSTCODE,1,3)='###' OR SUBSTRING(s.F_POSTCODE,1,3)='$$$' THEN 'zzzzUnknown' WHEN CHARINDEX(' ',s.F_POSTCODE)=0 THEN   CASE WHEN LEN(s.F_POSTCODE)&gt;=5 THEN 'zzzzUnknown' ELSE s.F_POSTCODE END WHEN s.F_POSTCODE LIKE '%  %' THEN CASE WHEN SUBSTRING(s.F_POSTCODE,CHARINDEX(' ',s.F_POSTCODE)+2,1) IN ('0', '1', '2', '3', '4', '5', '6', '7', '8', '9') THEN SUBSTRING(s.F_POSTCODE,1,CHARINDEX(' ',s.F_POSTCODE)-1)+' '+SUBSTRING(s.F_POSTCODE,CHARINDEX(' ',s.F_POSTCODE)+2,1) WHEN SUBSTRING(s.F_POSTCODE,CHARINDEX(' ',s.F_POSTCODE)+2,1)='O' THEN SUBSTRING(s.F_POSTCODE,1,CHARINDEX(' ',s.F_POSTCODE)-1)+' '+'0' ELSE SUBSTRING(s.F_POSTCODE,1,CHARINDEX(' ',s.F_POSTCODE)-1) END WHEN s.F_POSTCODE LIKE '% %' THEN CASE WHEN SUBSTRING(s.F_POSTCODE,CHARINDEX(' ',s.F_POSTCODE)+1,1) IN ('0', '1', '2', '3', '4', '5', '6', '7', '8', '9') THEN SUBSTRING(s.F_POSTCODE,1,CHARINDEX(' ',s.F_POSTCODE)-1)+' '+SUBSTRING(s.F_POSTCODE,CHARINDEX(' ',s.F_POSTCODE)+1,1) WHEN SUBSTRING(s.F_POSTCODE,CHARINDEX(' ',s.F_POSTCODE)+1,1)='O' THEN SUBSTRING(s.F_POSTCODE,1,CHARINDEX(' ',s.F_POSTCODE)-1)+' '+'0' ELSE SUBSTRING(s.F_POSTCODE,1,CHARINDEX(' ',s.F_POSTCODE)-1) END ELSE 'zzzzUnknown' END </v>
      </c>
      <c r="AB193" s="28" t="str">
        <f t="shared" si="25"/>
        <v xml:space="preserve">case WHEN s.F_XHOOS01='3' THEN 'zzzzUnknown' WHEN s.F_XHOOS01='2' THEN 'Non-UK' WHEN s.F_POSTCODE IN ('ZZ', 'GB', 'JE', 'XL', 'XK', 'GG', 'IM', 'XF', 'XI', 'XH', 'XG', '99999999',  '1782', '2826', '3826', '4826', '5826', '6826', '7826', '8826') OR s.F_POSTCODE IS NULL OR s.F_POSTCODE='' THEN 'zzzzUnknown' WHEN SUBSTRING(s.F_POSTCODE,1,3)='___' OR SUBSTRING(s.F_POSTCODE,1,3)='###' OR SUBSTRING(s.F_POSTCODE,1,3)='$$$' THEN 'zzzzUnknown' WHEN CHARINDEX(' ',s.F_POSTCODE)=0 THEN   CASE WHEN LEN(s.F_POSTCODE)&gt;=5 THEN 'zzzzUnknown' ELSE s.F_POSTCODE END WHEN s.F_POSTCODE LIKE '%  %' THEN CASE WHEN SUBSTRING(s.F_POSTCODE,CHARINDEX(' ',s.F_POSTCODE)+2,1) IN ('0', '1', '2', '3', '4', '5', '6', '7', '8', '9') THEN SUBSTRING(s.F_POSTCODE,1,CHARINDEX(' ',s.F_POSTCODE)-1)+' '+SUBSTRING(s.F_POSTCODE,CHARINDEX(' ',s.F_POSTCODE)+2,1) WHEN SUBSTRING(s.F_POSTCODE,CHARINDEX(' ',s.F_POSTCODE)+2,1)='O' THEN SUBSTRING(s.F_POSTCODE,1,CHARINDEX(' ',s.F_POSTCODE)-1)+' '+'0' ELSE SUBSTRING(s.F_POSTCODE,1,CHARINDEX(' ',s.F_POSTCODE)-1) END WHEN s.F_POSTCODE LIKE '% %' THEN CASE WHEN SUBSTRING(s.F_POSTCODE,CHARINDEX(' ',s.F_POSTCODE)+1,1) IN ('0', '1', '2', '3', '4', '5', '6', '7', '8', '9') THEN SUBSTRING(s.F_POSTCODE,1,CHARINDEX(' ',s.F_POSTCODE)-1)+' '+SUBSTRING(s.F_POSTCODE,CHARINDEX(' ',s.F_POSTCODE)+1,1) WHEN SUBSTRING(s.F_POSTCODE,CHARINDEX(' ',s.F_POSTCODE)+1,1)='O' THEN SUBSTRING(s.F_POSTCODE,1,CHARINDEX(' ',s.F_POSTCODE)-1)+' '+'0' ELSE SUBSTRING(s.F_POSTCODE,1,CHARINDEX(' ',s.F_POSTCODE)-1) END ELSE 'zzzzUnknown' END </v>
      </c>
      <c r="AC193" s="28" t="str">
        <f t="shared" si="23"/>
        <v xml:space="preserve">case WHEN s.F_XHOOS01='3' THEN 'zzzzUnknown' WHEN s.F_XHOOS01='2' THEN 'Non-UK' WHEN s.F_POSTCODE IN ('ZZ', 'GB', 'JE', 'XL', 'XK', 'GG', 'IM', 'XF', 'XI', 'XH', 'XG', '99999999',  '1782', '2826', '3826', '4826', '5826', '6826', '7826', '8826') OR s.F_POSTCODE IS NULL OR s.F_POSTCODE='' THEN 'zzzzUnknown' WHEN SUBSTRING(s.F_POSTCODE,1,3)='___' OR SUBSTRING(s.F_POSTCODE,1,3)='###' OR SUBSTRING(s.F_POSTCODE,1,3)='$$$' THEN 'zzzzUnknown' WHEN CHARINDEX(' ',s.F_POSTCODE)=0 THEN   CASE WHEN LEN(s.F_POSTCODE)&gt;=5 THEN 'zzzzUnknown' ELSE s.F_POSTCODE END WHEN s.F_POSTCODE LIKE '%  %' THEN CASE WHEN SUBSTRING(s.F_POSTCODE,CHARINDEX(' ',s.F_POSTCODE)+2,1) IN ('0', '1', '2', '3', '4', '5', '6', '7', '8', '9') THEN SUBSTRING(s.F_POSTCODE,1,CHARINDEX(' ',s.F_POSTCODE)-1)+' '+SUBSTRING(s.F_POSTCODE,CHARINDEX(' ',s.F_POSTCODE)+2,1) WHEN SUBSTRING(s.F_POSTCODE,CHARINDEX(' ',s.F_POSTCODE)+2,1)='O' THEN SUBSTRING(s.F_POSTCODE,1,CHARINDEX(' ',s.F_POSTCODE)-1)+' '+'0' ELSE SUBSTRING(s.F_POSTCODE,1,CHARINDEX(' ',s.F_POSTCODE)-1) END WHEN s.F_POSTCODE LIKE '% %' THEN CASE WHEN SUBSTRING(s.F_POSTCODE,CHARINDEX(' ',s.F_POSTCODE)+1,1) IN ('0', '1', '2', '3', '4', '5', '6', '7', '8', '9') THEN SUBSTRING(s.F_POSTCODE,1,CHARINDEX(' ',s.F_POSTCODE)-1)+' '+SUBSTRING(s.F_POSTCODE,CHARINDEX(' ',s.F_POSTCODE)+1,1) WHEN SUBSTRING(s.F_POSTCODE,CHARINDEX(' ',s.F_POSTCODE)+1,1)='O' THEN SUBSTRING(s.F_POSTCODE,1,CHARINDEX(' ',s.F_POSTCODE)-1)+' '+'0' ELSE SUBSTRING(s.F_POSTCODE,1,CHARINDEX(' ',s.F_POSTCODE)-1) END ELSE 'zzzzUnknown' END </v>
      </c>
      <c r="AD193" s="28" t="str">
        <f t="shared" si="26"/>
        <v xml:space="preserve">case WHEN s.F_XHOOS01='3' THEN 'zzzzUnknown' WHEN s.F_XHOOS01='2' THEN 'Non-UK' WHEN s.F_POSTCODE IN ('ZZ', 'GB', 'JE', 'XL', 'XK', 'GG', 'IM', 'XF', 'XI', 'XH', 'XG', '99999999',  '1782', '2826', '3826', '4826', '5826', '6826', '7826', '8826') OR s.F_POSTCODE IS NULL OR s.F_POSTCODE='' THEN 'zzzzUnknown' WHEN SUBSTRING(s.F_POSTCODE,1,3)='___' OR SUBSTRING(s.F_POSTCODE,1,3)='###' OR SUBSTRING(s.F_POSTCODE,1,3)='$$$' THEN 'zzzzUnknown' WHEN CHARINDEX(' ',s.F_POSTCODE)=0 THEN   CASE WHEN LEN(s.F_POSTCODE)&gt;=5 THEN 'zzzzUnknown' ELSE s.F_POSTCODE END WHEN s.F_POSTCODE LIKE '%  %' THEN CASE WHEN SUBSTRING(s.F_POSTCODE,CHARINDEX(' ',s.F_POSTCODE)+2,1) IN ('0', '1', '2', '3', '4', '5', '6', '7', '8', '9') THEN SUBSTRING(s.F_POSTCODE,1,CHARINDEX(' ',s.F_POSTCODE)-1)+' '+SUBSTRING(s.F_POSTCODE,CHARINDEX(' ',s.F_POSTCODE)+2,1) WHEN SUBSTRING(s.F_POSTCODE,CHARINDEX(' ',s.F_POSTCODE)+2,1)='O' THEN SUBSTRING(s.F_POSTCODE,1,CHARINDEX(' ',s.F_POSTCODE)-1)+' '+'0' ELSE SUBSTRING(s.F_POSTCODE,1,CHARINDEX(' ',s.F_POSTCODE)-1) END WHEN s.F_POSTCODE LIKE '% %' THEN CASE WHEN SUBSTRING(s.F_POSTCODE,CHARINDEX(' ',s.F_POSTCODE)+1,1) IN ('0', '1', '2', '3', '4', '5', '6', '7', '8', '9') THEN SUBSTRING(s.F_POSTCODE,1,CHARINDEX(' ',s.F_POSTCODE)-1)+' '+SUBSTRING(s.F_POSTCODE,CHARINDEX(' ',s.F_POSTCODE)+1,1) WHEN SUBSTRING(s.F_POSTCODE,CHARINDEX(' ',s.F_POSTCODE)+1,1)='O' THEN SUBSTRING(s.F_POSTCODE,1,CHARINDEX(' ',s.F_POSTCODE)-1)+' '+'0' ELSE SUBSTRING(s.F_POSTCODE,1,CHARINDEX(' ',s.F_POSTCODE)-1) END ELSE 'zzzzUnknown' END </v>
      </c>
      <c r="AE193" t="str">
        <f t="shared" si="28"/>
        <v>[Domicile]</v>
      </c>
    </row>
    <row r="194" spans="1:32" ht="32" x14ac:dyDescent="0.2">
      <c r="A194">
        <v>100847</v>
      </c>
      <c r="B194" s="11" t="str">
        <f>DataItems3[[#This Row],[Field]]&amp;IF(DataItems3[[#This Row],[Options for supplying the Field]]="",""," "&amp;DataItems3[[#This Row],[Options for supplying the Field]])</f>
        <v>Domicile⁽¹⁾ (Casward/Non-UK/ Unknown)</v>
      </c>
      <c r="C194">
        <v>100847</v>
      </c>
      <c r="D194" s="3" t="s">
        <v>86</v>
      </c>
      <c r="E194" s="3" t="s">
        <v>106</v>
      </c>
      <c r="F194" s="3" t="str">
        <f t="shared" ref="F194:F211" si="29">"Domicile"&amp;"⁽"&amp;CHAR(185)&amp;"⁾"</f>
        <v>Domicile⁽¹⁾</v>
      </c>
      <c r="G194" s="13" t="s">
        <v>792</v>
      </c>
      <c r="H194" s="14" t="s">
        <v>793</v>
      </c>
      <c r="J194" s="3">
        <v>8</v>
      </c>
      <c r="K194" s="3">
        <v>8</v>
      </c>
      <c r="L194" s="3">
        <v>2</v>
      </c>
      <c r="M194" s="3">
        <v>0</v>
      </c>
      <c r="Q194" s="16" t="s">
        <v>3021</v>
      </c>
      <c r="R194" s="16" t="s">
        <v>3021</v>
      </c>
      <c r="S194" s="16" t="s">
        <v>3021</v>
      </c>
      <c r="T194" s="16" t="s">
        <v>3021</v>
      </c>
      <c r="U194" s="3" t="s">
        <v>794</v>
      </c>
      <c r="W194" s="57" t="s">
        <v>114</v>
      </c>
      <c r="X194" t="str">
        <f>DataItems3[[#This Row],[Collection]]&amp;DataItems3[[#This Row],[Field]]&amp;DataItems3[[#This Row],[Options for supplying the Field]]&amp;DataItems3[[#This Row],[Fieldname]]&amp;DataItems3[[#This Row],[Parent]]</f>
        <v>StudentDomicile⁽¹⁾(Casward/Non-UK/ Unknown)F_CASWARD</v>
      </c>
      <c r="Y194" s="4">
        <v>44617</v>
      </c>
      <c r="Z194" t="s">
        <v>99</v>
      </c>
      <c r="AA194" s="28" t="str">
        <f t="shared" si="21"/>
        <v>CASE WHEN z.f_casward IN ('-3','') THEN 'Unknown' WHEN s.f_xhoos01='1' THEN ISNULL(CAST(z.f_casward AS VARCHAR), 'Unknown')WHEN s.f_xhoos01='2' THEN 'Non-UK' ELSE 'Unknown' END</v>
      </c>
      <c r="AB194" s="28" t="str">
        <f t="shared" si="25"/>
        <v>CASE WHEN z.f_casward IN ('-3','') THEN 'Unknown' WHEN s.f_xhoos01='1' THEN ISNULL(CAST(z.f_casward AS VARCHAR), 'Unknown')WHEN s.f_xhoos01='2' THEN 'Non-UK' ELSE 'Unknown' END</v>
      </c>
      <c r="AC194" s="28" t="str">
        <f t="shared" si="23"/>
        <v>CASE WHEN z.f_casward IN ('-3','') THEN 'Unknown' WHEN s.f_xhoos01='1' THEN ISNULL(CAST(z.f_casward AS VARCHAR), 'Unknown')WHEN s.f_xhoos01='2' THEN 'Non-UK' ELSE 'Unknown' END</v>
      </c>
      <c r="AD194" s="28" t="str">
        <f t="shared" si="26"/>
        <v>CASE WHEN z.f_casward IN ('-3','') THEN 'Unknown' WHEN s.f_xhoos01='1' THEN ISNULL(CAST(z.f_casward AS VARCHAR), 'Unknown')WHEN s.f_xhoos01='2' THEN 'Non-UK' ELSE 'Unknown' END</v>
      </c>
      <c r="AE194" t="str">
        <f t="shared" si="28"/>
        <v>[Domicile]</v>
      </c>
    </row>
    <row r="195" spans="1:32" ht="32" x14ac:dyDescent="0.2">
      <c r="A195">
        <v>100170</v>
      </c>
      <c r="B195" s="11" t="str">
        <f>DataItems3[[#This Row],[Field]]&amp;IF(DataItems3[[#This Row],[Options for supplying the Field]]="",""," "&amp;DataItems3[[#This Row],[Options for supplying the Field]])</f>
        <v>Domicile⁽¹⁾ (Ward/ Non-UK/ Unknown)</v>
      </c>
      <c r="C195">
        <v>100170</v>
      </c>
      <c r="D195" s="3" t="s">
        <v>86</v>
      </c>
      <c r="E195" s="3" t="s">
        <v>106</v>
      </c>
      <c r="F195" s="3" t="str">
        <f t="shared" si="29"/>
        <v>Domicile⁽¹⁾</v>
      </c>
      <c r="G195" s="13" t="s">
        <v>795</v>
      </c>
      <c r="H195" s="14" t="s">
        <v>796</v>
      </c>
      <c r="J195" s="3">
        <v>8</v>
      </c>
      <c r="K195" s="3">
        <v>8</v>
      </c>
      <c r="L195" s="3">
        <v>2</v>
      </c>
      <c r="M195" s="3">
        <v>0</v>
      </c>
      <c r="N195" s="3" t="s">
        <v>89</v>
      </c>
      <c r="Q195" s="16" t="s">
        <v>797</v>
      </c>
      <c r="R195" s="16" t="s">
        <v>797</v>
      </c>
      <c r="S195" s="16" t="s">
        <v>797</v>
      </c>
      <c r="T195" s="16" t="s">
        <v>797</v>
      </c>
      <c r="U195" s="3" t="s">
        <v>794</v>
      </c>
      <c r="V195" s="3" t="s">
        <v>93</v>
      </c>
      <c r="W195" s="57" t="s">
        <v>798</v>
      </c>
      <c r="X195" t="str">
        <f>DataItems3[[#This Row],[Collection]]&amp;DataItems3[[#This Row],[Field]]&amp;DataItems3[[#This Row],[Options for supplying the Field]]&amp;DataItems3[[#This Row],[Fieldname]]&amp;DataItems3[[#This Row],[Parent]]</f>
        <v>StudentDomicile⁽¹⁾(Ward/ Non-UK/ Unknown)F_ELECWARD</v>
      </c>
      <c r="Y195" s="15"/>
      <c r="AA195" s="28" t="str">
        <f t="shared" ref="AA195:AA258" si="30">IF(Q195="","",Q195)</f>
        <v>case when s.f_xhoos01='2' then 'Non-UK'  when ISNULL(z.F_ELECWARD, '') in ('') then 'Unknown' else z.F_ELECWARD end</v>
      </c>
      <c r="AB195" s="28" t="str">
        <f t="shared" si="25"/>
        <v>case when s.f_xhoos01='2' then 'Non-UK'  when ISNULL(z.F_ELECWARD, '') in ('') then 'Unknown' else z.F_ELECWARD end</v>
      </c>
      <c r="AC195" s="28" t="str">
        <f t="shared" si="23"/>
        <v>case when s.f_xhoos01='2' then 'Non-UK'  when ISNULL(z.F_ELECWARD, '') in ('') then 'Unknown' else z.F_ELECWARD end</v>
      </c>
      <c r="AD195" s="28" t="str">
        <f t="shared" si="26"/>
        <v>case when s.f_xhoos01='2' then 'Non-UK'  when ISNULL(z.F_ELECWARD, '') in ('') then 'Unknown' else z.F_ELECWARD end</v>
      </c>
      <c r="AE195" t="str">
        <f t="shared" si="28"/>
        <v>[Domicile]</v>
      </c>
    </row>
    <row r="196" spans="1:32" ht="16" x14ac:dyDescent="0.2">
      <c r="A196">
        <v>100153</v>
      </c>
      <c r="B196" s="11" t="str">
        <f>DataItems3[[#This Row],[Field]]&amp;IF(DataItems3[[#This Row],[Options for supplying the Field]]="",""," "&amp;DataItems3[[#This Row],[Options for supplying the Field]])</f>
        <v>Domicile⁽¹⁾ (Local authority district)</v>
      </c>
      <c r="C196">
        <v>100153</v>
      </c>
      <c r="D196" s="3" t="s">
        <v>86</v>
      </c>
      <c r="E196" s="3" t="s">
        <v>106</v>
      </c>
      <c r="F196" s="3" t="str">
        <f t="shared" si="29"/>
        <v>Domicile⁽¹⁾</v>
      </c>
      <c r="G196" s="13" t="s">
        <v>799</v>
      </c>
      <c r="H196" s="14" t="s">
        <v>800</v>
      </c>
      <c r="J196" s="3">
        <v>8</v>
      </c>
      <c r="K196" s="3">
        <v>5</v>
      </c>
      <c r="L196" s="3">
        <v>0</v>
      </c>
      <c r="M196" s="3">
        <v>0</v>
      </c>
      <c r="N196" s="3" t="s">
        <v>89</v>
      </c>
      <c r="Q196" s="16" t="s">
        <v>801</v>
      </c>
      <c r="R196" s="16" t="s">
        <v>801</v>
      </c>
      <c r="S196" s="16" t="s">
        <v>802</v>
      </c>
      <c r="T196" s="16" t="s">
        <v>802</v>
      </c>
      <c r="U196" s="3" t="s">
        <v>803</v>
      </c>
      <c r="V196" s="3" t="s">
        <v>93</v>
      </c>
      <c r="W196" s="57" t="s">
        <v>798</v>
      </c>
      <c r="X196" t="str">
        <f>DataItems3[[#This Row],[Collection]]&amp;DataItems3[[#This Row],[Field]]&amp;DataItems3[[#This Row],[Options for supplying the Field]]&amp;DataItems3[[#This Row],[Fieldname]]&amp;DataItems3[[#This Row],[Parent]]</f>
        <v>StudentDomicile⁽¹⁾(Local authority district)F_FULL_LAUA</v>
      </c>
      <c r="Y196" s="15">
        <v>42921</v>
      </c>
      <c r="Z196" t="s">
        <v>139</v>
      </c>
      <c r="AA196" s="28" t="str">
        <f t="shared" si="30"/>
        <v>CASE WHEN s.F_XHOOS01 = '2' THEN 'Non-UK' ELSE IIF(z.F_FULL_LAUA = '', 'Unknown', ISNULL(z.F_FULL_LAUA, 'Unknown')) END</v>
      </c>
      <c r="AB196" s="28" t="str">
        <f t="shared" si="25"/>
        <v>CASE WHEN s.F_XHOOS01 = '2' THEN 'Non-UK' ELSE IIF(z.F_FULL_LAUA = '', 'Unknown', ISNULL(ons.label, 'Unknown')) END</v>
      </c>
      <c r="AC196" s="28" t="str">
        <f t="shared" si="23"/>
        <v>CASE WHEN s.F_XHOOS01 = '2' THEN 'Non-UK' ELSE IIF(z.F_FULL_LAUA = '', 'Unknown', ISNULL(z.F_FULL_LAUA, 'Unknown')) END</v>
      </c>
      <c r="AD196" s="28" t="str">
        <f t="shared" si="26"/>
        <v>CASE WHEN s.F_XHOOS01 = '2' THEN 'Non-UK' ELSE IIF(z.F_FULL_LAUA = '', 'Unknown', ISNULL(ons.label, 'Unknown')) END</v>
      </c>
      <c r="AE196" t="str">
        <f t="shared" si="28"/>
        <v>[Domicile]</v>
      </c>
    </row>
    <row r="197" spans="1:32" ht="48" x14ac:dyDescent="0.2">
      <c r="A197">
        <v>100157</v>
      </c>
      <c r="B197" s="11" t="str">
        <f>DataItems3[[#This Row],[Field]]&amp;IF(DataItems3[[#This Row],[Options for supplying the Field]]="",""," "&amp;DataItems3[[#This Row],[Options for supplying the Field]])</f>
        <v>Domicile⁽¹⁾ (UK Lower super output area (LSOA)/ Non-UK/ Unknown)</v>
      </c>
      <c r="C197">
        <v>100157</v>
      </c>
      <c r="D197" s="3" t="s">
        <v>86</v>
      </c>
      <c r="E197" s="3" t="s">
        <v>106</v>
      </c>
      <c r="F197" s="3" t="str">
        <f t="shared" si="29"/>
        <v>Domicile⁽¹⁾</v>
      </c>
      <c r="G197" s="13" t="s">
        <v>804</v>
      </c>
      <c r="H197" s="14" t="s">
        <v>805</v>
      </c>
      <c r="J197" s="3">
        <v>8</v>
      </c>
      <c r="K197" s="3">
        <v>8</v>
      </c>
      <c r="L197" s="3">
        <v>2</v>
      </c>
      <c r="M197" s="3">
        <v>0</v>
      </c>
      <c r="N197" s="3" t="s">
        <v>89</v>
      </c>
      <c r="Q197" s="16" t="s">
        <v>806</v>
      </c>
      <c r="R197" s="16" t="s">
        <v>806</v>
      </c>
      <c r="S197" s="16" t="s">
        <v>807</v>
      </c>
      <c r="T197" s="16" t="s">
        <v>807</v>
      </c>
      <c r="U197" s="3" t="s">
        <v>794</v>
      </c>
      <c r="V197" s="3" t="s">
        <v>93</v>
      </c>
      <c r="W197" s="57" t="s">
        <v>798</v>
      </c>
      <c r="X197" t="str">
        <f>DataItems3[[#This Row],[Collection]]&amp;DataItems3[[#This Row],[Field]]&amp;DataItems3[[#This Row],[Options for supplying the Field]]&amp;DataItems3[[#This Row],[Fieldname]]&amp;DataItems3[[#This Row],[Parent]]</f>
        <v>StudentDomicile⁽¹⁾(UK Lower super output area (LSOA)/ Non-UK/ Unknown)F_LSOA11</v>
      </c>
      <c r="Y197" s="15">
        <v>43895</v>
      </c>
      <c r="Z197" t="s">
        <v>159</v>
      </c>
      <c r="AA197" s="28" t="str">
        <f t="shared" si="30"/>
        <v>CASE when s.f_xhoos01='2' then 'Non-UK' WHEN z.F_LSOA11 IN ('-3') THEN 'Unknown' ELSE ISNULL(z.F_LSOA11,'Unknown') END</v>
      </c>
      <c r="AB197" s="28" t="str">
        <f t="shared" si="25"/>
        <v>CASE when s.f_xhoos01='2' then 'Non-UK'  WHEN z.F_LSOA11 IN ('-3') THEN 'Unknown' ELSE ISNULL(z.F_LSOA11,'Unknown') END</v>
      </c>
      <c r="AC197" s="28" t="str">
        <f t="shared" ref="AC197:AC216" si="31">IF(R197="","",R197)</f>
        <v>CASE when s.f_xhoos01='2' then 'Non-UK' WHEN z.F_LSOA11 IN ('-3') THEN 'Unknown' ELSE ISNULL(z.F_LSOA11,'Unknown') END</v>
      </c>
      <c r="AD197" s="28" t="str">
        <f t="shared" si="26"/>
        <v>CASE when s.f_xhoos01='2' then 'Non-UK'  WHEN z.F_LSOA11 IN ('-3') THEN 'Unknown' ELSE ISNULL(z.F_LSOA11,'Unknown') END</v>
      </c>
      <c r="AE197" t="str">
        <f t="shared" si="28"/>
        <v>[Domicile]</v>
      </c>
    </row>
    <row r="198" spans="1:32" ht="48" x14ac:dyDescent="0.2">
      <c r="A198">
        <v>100158</v>
      </c>
      <c r="B198" s="11" t="str">
        <f>DataItems3[[#This Row],[Field]]&amp;IF(DataItems3[[#This Row],[Options for supplying the Field]]="",""," "&amp;DataItems3[[#This Row],[Options for supplying the Field]])</f>
        <v>Domicile⁽¹⁾ (UK Middle super output area (MSOA)/ Non-UK/ Unknown)</v>
      </c>
      <c r="C198">
        <v>100158</v>
      </c>
      <c r="D198" s="3" t="s">
        <v>86</v>
      </c>
      <c r="E198" s="3" t="s">
        <v>106</v>
      </c>
      <c r="F198" s="3" t="str">
        <f t="shared" si="29"/>
        <v>Domicile⁽¹⁾</v>
      </c>
      <c r="G198" s="13" t="s">
        <v>808</v>
      </c>
      <c r="H198" s="14" t="s">
        <v>809</v>
      </c>
      <c r="J198" s="3">
        <v>8</v>
      </c>
      <c r="K198" s="3">
        <v>6</v>
      </c>
      <c r="L198" s="3">
        <v>1</v>
      </c>
      <c r="M198" s="3">
        <v>0</v>
      </c>
      <c r="N198" s="3" t="s">
        <v>89</v>
      </c>
      <c r="Q198" s="16" t="s">
        <v>810</v>
      </c>
      <c r="R198" s="16" t="s">
        <v>810</v>
      </c>
      <c r="S198" s="16" t="s">
        <v>810</v>
      </c>
      <c r="T198" s="16" t="s">
        <v>810</v>
      </c>
      <c r="U198" s="3" t="s">
        <v>794</v>
      </c>
      <c r="V198" s="3" t="s">
        <v>93</v>
      </c>
      <c r="W198" s="57" t="s">
        <v>798</v>
      </c>
      <c r="X198" t="str">
        <f>DataItems3[[#This Row],[Collection]]&amp;DataItems3[[#This Row],[Field]]&amp;DataItems3[[#This Row],[Options for supplying the Field]]&amp;DataItems3[[#This Row],[Fieldname]]&amp;DataItems3[[#This Row],[Parent]]</f>
        <v>StudentDomicile⁽¹⁾(UK Middle super output area (MSOA)/ Non-UK/ Unknown)F_MSOA11</v>
      </c>
      <c r="Y198" s="15">
        <v>43895</v>
      </c>
      <c r="Z198" t="s">
        <v>159</v>
      </c>
      <c r="AA198" s="28" t="str">
        <f t="shared" si="30"/>
        <v>CASE when s.f_xhoos01='2' then 'Non-UK'  WHEN z.F_MSOA11 IN ('-3') THEN 'Unknown' ELSE ISNULL(z.F_MSOA11,'Unknown') END</v>
      </c>
      <c r="AB198" s="28" t="str">
        <f t="shared" si="25"/>
        <v>CASE when s.f_xhoos01='2' then 'Non-UK'  WHEN z.F_MSOA11 IN ('-3') THEN 'Unknown' ELSE ISNULL(z.F_MSOA11,'Unknown') END</v>
      </c>
      <c r="AC198" s="28" t="str">
        <f t="shared" si="31"/>
        <v>CASE when s.f_xhoos01='2' then 'Non-UK'  WHEN z.F_MSOA11 IN ('-3') THEN 'Unknown' ELSE ISNULL(z.F_MSOA11,'Unknown') END</v>
      </c>
      <c r="AD198" s="28" t="str">
        <f t="shared" si="26"/>
        <v>CASE when s.f_xhoos01='2' then 'Non-UK'  WHEN z.F_MSOA11 IN ('-3') THEN 'Unknown' ELSE ISNULL(z.F_MSOA11,'Unknown') END</v>
      </c>
      <c r="AE198" t="str">
        <f t="shared" si="28"/>
        <v>[Domicile]</v>
      </c>
    </row>
    <row r="199" spans="1:32" ht="32" x14ac:dyDescent="0.2">
      <c r="A199">
        <v>100160</v>
      </c>
      <c r="B199" s="11" t="str">
        <f>DataItems3[[#This Row],[Field]]&amp;IF(DataItems3[[#This Row],[Options for supplying the Field]]="",""," "&amp;DataItems3[[#This Row],[Options for supplying the Field]])</f>
        <v>Domicile⁽¹⁾ (UK NUTS 2/ Non-UK/ Unknown)</v>
      </c>
      <c r="C199">
        <v>100160</v>
      </c>
      <c r="D199" s="3" t="s">
        <v>86</v>
      </c>
      <c r="F199" s="3" t="str">
        <f t="shared" si="29"/>
        <v>Domicile⁽¹⁾</v>
      </c>
      <c r="G199" s="13" t="s">
        <v>811</v>
      </c>
      <c r="H199" s="14" t="s">
        <v>812</v>
      </c>
      <c r="J199" s="3">
        <v>8</v>
      </c>
      <c r="K199" s="3">
        <v>4</v>
      </c>
      <c r="L199" s="3">
        <v>0</v>
      </c>
      <c r="M199" s="3">
        <v>0</v>
      </c>
      <c r="N199" s="3" t="s">
        <v>89</v>
      </c>
      <c r="Q199" s="16" t="s">
        <v>813</v>
      </c>
      <c r="R199" s="3" t="s">
        <v>91</v>
      </c>
      <c r="S199" s="16" t="s">
        <v>813</v>
      </c>
      <c r="U199" s="3" t="s">
        <v>814</v>
      </c>
      <c r="V199" s="3" t="s">
        <v>93</v>
      </c>
      <c r="W199" s="57" t="s">
        <v>764</v>
      </c>
      <c r="X199" t="str">
        <f>DataItems3[[#This Row],[Collection]]&amp;DataItems3[[#This Row],[Field]]&amp;DataItems3[[#This Row],[Options for supplying the Field]]&amp;DataItems3[[#This Row],[Fieldname]]&amp;DataItems3[[#This Row],[Parent]]</f>
        <v>StudentDomicile⁽¹⁾(UK NUTS 2/ Non-UK/ Unknown)F_NUTS2</v>
      </c>
      <c r="Y199" s="15">
        <v>43908</v>
      </c>
      <c r="Z199" t="s">
        <v>159</v>
      </c>
      <c r="AA199" s="28" t="str">
        <f t="shared" si="30"/>
        <v>CASE WHEN s.F_XHOOS01 = '2' THEN 'Non-UK' ELSE ISNULL(ndom.f_nuts2, 'Unknown') END</v>
      </c>
      <c r="AB199" s="28" t="str">
        <f t="shared" si="25"/>
        <v>CASE WHEN s.F_XHOOS01 = '2' THEN 'Non-UK' ELSE ISNULL(ndom.f_nuts2, 'Unknown') END</v>
      </c>
      <c r="AC199" s="28" t="str">
        <f t="shared" si="31"/>
        <v xml:space="preserve"> </v>
      </c>
      <c r="AD199" s="28" t="str">
        <f t="shared" si="26"/>
        <v/>
      </c>
      <c r="AE199" t="str">
        <f t="shared" si="28"/>
        <v>[Domicile]</v>
      </c>
    </row>
    <row r="200" spans="1:32" ht="32" x14ac:dyDescent="0.2">
      <c r="A200">
        <v>100161</v>
      </c>
      <c r="B200" s="11" t="str">
        <f>DataItems3[[#This Row],[Field]]&amp;IF(DataItems3[[#This Row],[Options for supplying the Field]]="",""," "&amp;DataItems3[[#This Row],[Options for supplying the Field]])</f>
        <v>Domicile⁽¹⁾ (UK NUTS 3/ Non-UK/ Unknown)</v>
      </c>
      <c r="C200">
        <v>100161</v>
      </c>
      <c r="D200" s="3" t="s">
        <v>86</v>
      </c>
      <c r="F200" s="3" t="str">
        <f t="shared" si="29"/>
        <v>Domicile⁽¹⁾</v>
      </c>
      <c r="G200" s="13" t="s">
        <v>815</v>
      </c>
      <c r="H200" s="14" t="s">
        <v>816</v>
      </c>
      <c r="J200" s="3">
        <v>8</v>
      </c>
      <c r="K200" s="3">
        <v>5</v>
      </c>
      <c r="L200" s="3">
        <v>0</v>
      </c>
      <c r="M200" s="3">
        <v>0</v>
      </c>
      <c r="N200" s="3" t="s">
        <v>89</v>
      </c>
      <c r="Q200" s="16" t="s">
        <v>3022</v>
      </c>
      <c r="R200" s="3" t="s">
        <v>91</v>
      </c>
      <c r="S200" s="16" t="s">
        <v>3022</v>
      </c>
      <c r="U200" s="3" t="s">
        <v>814</v>
      </c>
      <c r="V200" s="3" t="s">
        <v>93</v>
      </c>
      <c r="W200" s="57" t="s">
        <v>764</v>
      </c>
      <c r="X200" t="str">
        <f>DataItems3[[#This Row],[Collection]]&amp;DataItems3[[#This Row],[Field]]&amp;DataItems3[[#This Row],[Options for supplying the Field]]&amp;DataItems3[[#This Row],[Fieldname]]&amp;DataItems3[[#This Row],[Parent]]</f>
        <v>StudentDomicile⁽¹⁾(UK NUTS 3/ Non-UK/ Unknown)F_NUTS3</v>
      </c>
      <c r="Y200" s="15">
        <v>43908</v>
      </c>
      <c r="Z200" t="s">
        <v>159</v>
      </c>
      <c r="AA200" s="28" t="str">
        <f t="shared" si="30"/>
        <v>CASE WHEN s.F_XHOOS01 = '2' THEN 'Non-UK' WHEN ISNULL(ndom.f_nuts3, '...') = '…' THEN 'Unknown' ELSE ISNULL(ndom.f_nuts3, 'Unknown') END</v>
      </c>
      <c r="AB200" s="28" t="str">
        <f t="shared" si="25"/>
        <v>CASE WHEN s.F_XHOOS01 = '2' THEN 'Non-UK' WHEN ISNULL(ndom.f_nuts3, '...') = '…' THEN 'Unknown' ELSE ISNULL(ndom.f_nuts3, 'Unknown') END</v>
      </c>
      <c r="AC200" s="28" t="str">
        <f t="shared" si="31"/>
        <v xml:space="preserve"> </v>
      </c>
      <c r="AD200" s="28" t="str">
        <f t="shared" si="26"/>
        <v/>
      </c>
      <c r="AE200" t="str">
        <f t="shared" si="28"/>
        <v>[Domicile]</v>
      </c>
    </row>
    <row r="201" spans="1:32" ht="16" x14ac:dyDescent="0.2">
      <c r="A201">
        <v>100151</v>
      </c>
      <c r="B201" s="11" t="str">
        <f>DataItems3[[#This Row],[Field]]&amp;IF(DataItems3[[#This Row],[Options for supplying the Field]]="",""," "&amp;DataItems3[[#This Row],[Options for supplying the Field]])</f>
        <v>Domicile⁽¹⁾ (Country)</v>
      </c>
      <c r="C201">
        <v>100151</v>
      </c>
      <c r="D201" s="3" t="s">
        <v>86</v>
      </c>
      <c r="E201" s="3" t="s">
        <v>106</v>
      </c>
      <c r="F201" s="3" t="str">
        <f t="shared" si="29"/>
        <v>Domicile⁽¹⁾</v>
      </c>
      <c r="G201" s="13" t="s">
        <v>817</v>
      </c>
      <c r="H201" s="14" t="s">
        <v>818</v>
      </c>
      <c r="J201" s="3">
        <v>2</v>
      </c>
      <c r="K201" s="3">
        <v>4</v>
      </c>
      <c r="L201" s="3">
        <v>2</v>
      </c>
      <c r="M201" s="3">
        <v>0</v>
      </c>
      <c r="N201" s="3" t="s">
        <v>819</v>
      </c>
      <c r="Q201" s="16" t="s">
        <v>820</v>
      </c>
      <c r="R201" s="16" t="s">
        <v>820</v>
      </c>
      <c r="S201" s="16" t="s">
        <v>821</v>
      </c>
      <c r="T201" s="16" t="s">
        <v>821</v>
      </c>
      <c r="U201" s="3" t="s">
        <v>822</v>
      </c>
      <c r="V201" s="3" t="s">
        <v>93</v>
      </c>
      <c r="W201" s="57" t="s">
        <v>482</v>
      </c>
      <c r="X201" t="str">
        <f>DataItems3[[#This Row],[Collection]]&amp;DataItems3[[#This Row],[Field]]&amp;DataItems3[[#This Row],[Options for supplying the Field]]&amp;DataItems3[[#This Row],[Fieldname]]&amp;DataItems3[[#This Row],[Parent]]</f>
        <v>StudentDomicile⁽¹⁾(Country)F_XDOM</v>
      </c>
      <c r="Y201" s="15">
        <v>43209</v>
      </c>
      <c r="Z201" t="s">
        <v>102</v>
      </c>
      <c r="AA201" s="28" t="str">
        <f t="shared" si="30"/>
        <v>case WHEN s.F_XDOMREG01 ='XL' THEN 'XL' when s.f_xhoos01 = 1 then s.F_XDOMREG01 else s.F_XDOMUC01 END</v>
      </c>
      <c r="AB201" s="28" t="str">
        <f t="shared" si="25"/>
        <v>case WHEN s.F_XDOMREG01 ='XL' THEN 'Channel Islands'  when s.f_xhoos01='1' then xdomreg01.dw_currentlabel when s.F_XDOMREG01 = 'XK' then 'United Kingdom, not otherwise specified' ELSE xdomuc01.DW_CurrentLabel end</v>
      </c>
      <c r="AC201" s="28" t="str">
        <f t="shared" si="31"/>
        <v>case WHEN s.F_XDOMREG01 ='XL' THEN 'XL' when s.f_xhoos01 = 1 then s.F_XDOMREG01 else s.F_XDOMUC01 END</v>
      </c>
      <c r="AD201" s="28" t="str">
        <f t="shared" si="26"/>
        <v>case WHEN s.F_XDOMREG01 ='XL' THEN 'Channel Islands'  when s.f_xhoos01='1' then xdomreg01.dw_currentlabel when s.F_XDOMREG01 = 'XK' then 'United Kingdom, not otherwise specified' ELSE xdomuc01.DW_CurrentLabel end</v>
      </c>
      <c r="AE201" t="str">
        <f t="shared" si="28"/>
        <v>[Domicile]</v>
      </c>
    </row>
    <row r="202" spans="1:32" ht="16" x14ac:dyDescent="0.2">
      <c r="A202">
        <v>100155</v>
      </c>
      <c r="B202" s="11" t="str">
        <f>DataItems3[[#This Row],[Field]]&amp;IF(DataItems3[[#This Row],[Options for supplying the Field]]="",""," "&amp;DataItems3[[#This Row],[Options for supplying the Field]])</f>
        <v>Domicile⁽¹⁾ (Region)</v>
      </c>
      <c r="C202">
        <v>100155</v>
      </c>
      <c r="D202" s="3" t="s">
        <v>86</v>
      </c>
      <c r="E202" s="3" t="s">
        <v>106</v>
      </c>
      <c r="F202" s="3" t="str">
        <f t="shared" si="29"/>
        <v>Domicile⁽¹⁾</v>
      </c>
      <c r="G202" s="13" t="s">
        <v>823</v>
      </c>
      <c r="H202" s="14" t="s">
        <v>824</v>
      </c>
      <c r="J202" s="3">
        <v>1</v>
      </c>
      <c r="K202" s="3">
        <v>3</v>
      </c>
      <c r="L202" s="3">
        <v>0</v>
      </c>
      <c r="M202" s="3">
        <v>0</v>
      </c>
      <c r="N202" s="3" t="s">
        <v>825</v>
      </c>
      <c r="Q202" s="16" t="s">
        <v>826</v>
      </c>
      <c r="R202" s="16" t="s">
        <v>826</v>
      </c>
      <c r="S202" s="16" t="s">
        <v>827</v>
      </c>
      <c r="T202" s="16" t="s">
        <v>827</v>
      </c>
      <c r="U202" s="3" t="s">
        <v>93</v>
      </c>
      <c r="V202" s="3" t="s">
        <v>93</v>
      </c>
      <c r="W202" s="57" t="s">
        <v>482</v>
      </c>
      <c r="X202" t="str">
        <f>DataItems3[[#This Row],[Collection]]&amp;DataItems3[[#This Row],[Field]]&amp;DataItems3[[#This Row],[Options for supplying the Field]]&amp;DataItems3[[#This Row],[Fieldname]]&amp;DataItems3[[#This Row],[Parent]]</f>
        <v>StudentDomicile⁽¹⁾(Region)F_XDOMGR01</v>
      </c>
      <c r="Y202" s="15">
        <v>43395</v>
      </c>
      <c r="Z202" t="s">
        <v>828</v>
      </c>
      <c r="AA202" s="28" t="str">
        <f t="shared" si="30"/>
        <v>s.F_XDOMGR01</v>
      </c>
      <c r="AB202" s="28" t="str">
        <f t="shared" si="25"/>
        <v xml:space="preserve"> s.F_XDOMGR01</v>
      </c>
      <c r="AC202" s="28" t="str">
        <f t="shared" si="31"/>
        <v>s.F_XDOMGR01</v>
      </c>
      <c r="AD202" s="28" t="str">
        <f t="shared" si="26"/>
        <v xml:space="preserve"> s.F_XDOMGR01</v>
      </c>
      <c r="AE202" t="str">
        <f t="shared" si="28"/>
        <v>[Domicile]</v>
      </c>
    </row>
    <row r="203" spans="1:32" ht="15" customHeight="1" x14ac:dyDescent="0.2">
      <c r="A203">
        <v>100167</v>
      </c>
      <c r="B203" s="11" t="str">
        <f>DataItems3[[#This Row],[Field]]&amp;IF(DataItems3[[#This Row],[Options for supplying the Field]]="",""," "&amp;DataItems3[[#This Row],[Options for supplying the Field]])</f>
        <v>Domicile⁽¹⁾ (UK/ EU/ Non EU/ Unknown)</v>
      </c>
      <c r="C203">
        <v>100167</v>
      </c>
      <c r="D203" s="3" t="s">
        <v>86</v>
      </c>
      <c r="E203" s="3" t="s">
        <v>106</v>
      </c>
      <c r="F203" s="3" t="str">
        <f t="shared" si="29"/>
        <v>Domicile⁽¹⁾</v>
      </c>
      <c r="G203" s="13" t="s">
        <v>829</v>
      </c>
      <c r="H203" s="14" t="s">
        <v>830</v>
      </c>
      <c r="J203" s="3">
        <v>1</v>
      </c>
      <c r="K203" s="3">
        <v>2</v>
      </c>
      <c r="L203" s="3">
        <v>0</v>
      </c>
      <c r="M203" s="3">
        <v>0</v>
      </c>
      <c r="N203" s="3" t="s">
        <v>106</v>
      </c>
      <c r="Q203" s="16" t="s">
        <v>831</v>
      </c>
      <c r="R203" s="16" t="s">
        <v>831</v>
      </c>
      <c r="S203" s="16" t="s">
        <v>832</v>
      </c>
      <c r="T203" s="16" t="s">
        <v>832</v>
      </c>
      <c r="U203" s="3" t="s">
        <v>93</v>
      </c>
      <c r="V203" s="3" t="s">
        <v>93</v>
      </c>
      <c r="W203" s="57" t="s">
        <v>109</v>
      </c>
      <c r="X203" t="str">
        <f>DataItems3[[#This Row],[Collection]]&amp;DataItems3[[#This Row],[Field]]&amp;DataItems3[[#This Row],[Options for supplying the Field]]&amp;DataItems3[[#This Row],[Fieldname]]&amp;DataItems3[[#This Row],[Parent]]</f>
        <v>StudentDomicile⁽¹⁾(UK/ EU/ Non EU/ Unknown)F_XDOMGR401</v>
      </c>
      <c r="Y203" s="15"/>
      <c r="AA203" s="28" t="str">
        <f t="shared" si="30"/>
        <v>s.F_XDOMGR401</v>
      </c>
      <c r="AB203" s="28" t="str">
        <f>IF(S203="","",IF(IFERROR(SEARCH("select",S203)&gt;0,0),IF(U203="",IF(MID(S203,SEARCH(H203,S203)-4,1)=" ",MID(S203,SEARCH(H203,S203)-2,LEN(#REF!)+2),MID(S203,SEARCH(H203,S203)-3,LEN(H203)+3)),U203&amp;"."&amp;H203),S203))</f>
        <v xml:space="preserve"> s.f_XDOMGR401</v>
      </c>
      <c r="AC203" s="28" t="str">
        <f t="shared" si="31"/>
        <v>s.F_XDOMGR401</v>
      </c>
      <c r="AD203" s="28" t="str">
        <f>IF(T203="","",IF(IFERROR(SEARCH("select",T203)&gt;0,0),IF(U203="",IF(MID(T203,SEARCH(H203,T203)-4,1)=" ",MID(T203,SEARCH(H203,T203)-2,LEN(#REF!)+2),MID(T203,SEARCH(H203,T203)-3,LEN(H203)+3)),U203&amp;"."&amp;H203),T203))</f>
        <v xml:space="preserve"> s.f_XDOMGR401</v>
      </c>
      <c r="AE203" t="str">
        <f t="shared" si="28"/>
        <v>[Domicile]</v>
      </c>
    </row>
    <row r="204" spans="1:32" ht="32" x14ac:dyDescent="0.2">
      <c r="A204">
        <v>100163</v>
      </c>
      <c r="B204" s="11" t="str">
        <f>DataItems3[[#This Row],[Field]]&amp;IF(DataItems3[[#This Row],[Options for supplying the Field]]="",""," "&amp;DataItems3[[#This Row],[Options for supplying the Field]])</f>
        <v>Domicile⁽¹⁾ (UK region/ EU/ Non-EU/ Unknown)</v>
      </c>
      <c r="C204">
        <v>100163</v>
      </c>
      <c r="D204" s="3" t="s">
        <v>86</v>
      </c>
      <c r="E204" s="3" t="s">
        <v>106</v>
      </c>
      <c r="F204" s="3" t="str">
        <f t="shared" si="29"/>
        <v>Domicile⁽¹⁾</v>
      </c>
      <c r="G204" s="13" t="s">
        <v>833</v>
      </c>
      <c r="H204" s="14" t="s">
        <v>834</v>
      </c>
      <c r="J204" s="3">
        <v>2</v>
      </c>
      <c r="K204" s="3">
        <v>3</v>
      </c>
      <c r="L204" s="3">
        <v>0</v>
      </c>
      <c r="M204" s="3">
        <v>0</v>
      </c>
      <c r="N204" s="3" t="s">
        <v>835</v>
      </c>
      <c r="Q204" s="16" t="s">
        <v>836</v>
      </c>
      <c r="R204" s="16" t="s">
        <v>836</v>
      </c>
      <c r="S204" s="16" t="s">
        <v>837</v>
      </c>
      <c r="T204" s="16" t="s">
        <v>837</v>
      </c>
      <c r="U204" s="3" t="s">
        <v>838</v>
      </c>
      <c r="V204" s="3" t="s">
        <v>93</v>
      </c>
      <c r="W204" s="57" t="s">
        <v>114</v>
      </c>
      <c r="X204" t="str">
        <f>DataItems3[[#This Row],[Collection]]&amp;DataItems3[[#This Row],[Field]]&amp;DataItems3[[#This Row],[Options for supplying the Field]]&amp;DataItems3[[#This Row],[Fieldname]]&amp;DataItems3[[#This Row],[Parent]]</f>
        <v>StudentDomicile⁽¹⁾(UK region/ EU/ Non-EU/ Unknown)F_XDOMREG01</v>
      </c>
      <c r="Y204" s="15"/>
      <c r="AA204" s="28" t="str">
        <f t="shared" si="30"/>
        <v>case when s.f_xhoos01='1' then s.f_xdomgr01 else CAST(s.f_xdomgr401 AS VARCHAR) end</v>
      </c>
      <c r="AB204" s="28" t="str">
        <f>IF(S204="","",IF(IFERROR(SEARCH("select",S204)&gt;0,0),IF(U204="",IF(MID(S204,SEARCH(H204,S204)-4,1)=" ",MID(S204,SEARCH(H204,S204)-2,LEN(O212)+2),MID(S204,SEARCH(H204,S204)-3,LEN(H204)+3)),U204&amp;"."&amp;H204),S204))</f>
        <v>case when s.f_xhoos01='1' then xdomgr01.dw_currentlabel else CAST(s.f_xdomgr401 AS VARCHAR) end</v>
      </c>
      <c r="AC204" s="28" t="str">
        <f t="shared" si="31"/>
        <v>case when s.f_xhoos01='1' then s.f_xdomgr01 else CAST(s.f_xdomgr401 AS VARCHAR) end</v>
      </c>
      <c r="AD204" s="28" t="str">
        <f>IF(T204="","",IF(IFERROR(SEARCH("select",T204)&gt;0,0),IF(U204="",IF(MID(T204,SEARCH(H204,T204)-4,1)=" ",MID(T204,SEARCH(H204,T204)-2,LEN(O212)+2),MID(T204,SEARCH(H204,T204)-3,LEN(H204)+3)),U204&amp;"."&amp;H204),T204))</f>
        <v>case when s.f_xhoos01='1' then xdomgr01.dw_currentlabel else CAST(s.f_xdomgr401 AS VARCHAR) end</v>
      </c>
      <c r="AE204" t="str">
        <f t="shared" si="28"/>
        <v>[Domicile]</v>
      </c>
    </row>
    <row r="205" spans="1:32" ht="15" customHeight="1" x14ac:dyDescent="0.2">
      <c r="A205">
        <v>100162</v>
      </c>
      <c r="B205" s="11" t="str">
        <f>DataItems3[[#This Row],[Field]]&amp;IF(DataItems3[[#This Row],[Options for supplying the Field]]="",""," "&amp;DataItems3[[#This Row],[Options for supplying the Field]])</f>
        <v>Domicile⁽¹⁾ (UK region/ Non-UK by country/ Unknown)</v>
      </c>
      <c r="C205">
        <v>100162</v>
      </c>
      <c r="D205" s="3" t="s">
        <v>86</v>
      </c>
      <c r="E205" s="3" t="s">
        <v>106</v>
      </c>
      <c r="F205" s="3" t="str">
        <f t="shared" si="29"/>
        <v>Domicile⁽¹⁾</v>
      </c>
      <c r="G205" s="13" t="s">
        <v>839</v>
      </c>
      <c r="H205" s="14" t="s">
        <v>3023</v>
      </c>
      <c r="J205" s="3">
        <v>2</v>
      </c>
      <c r="K205" s="3">
        <v>6</v>
      </c>
      <c r="L205" s="3">
        <v>2</v>
      </c>
      <c r="M205" s="3">
        <v>0</v>
      </c>
      <c r="N205" s="3" t="s">
        <v>840</v>
      </c>
      <c r="Q205" s="16" t="s">
        <v>841</v>
      </c>
      <c r="R205" s="16" t="s">
        <v>841</v>
      </c>
      <c r="S205" s="16" t="s">
        <v>3024</v>
      </c>
      <c r="T205" s="16" t="s">
        <v>3024</v>
      </c>
      <c r="U205" s="3" t="s">
        <v>842</v>
      </c>
      <c r="V205" s="3" t="s">
        <v>93</v>
      </c>
      <c r="W205" s="57" t="s">
        <v>94</v>
      </c>
      <c r="X205" t="str">
        <f>DataItems3[[#This Row],[Collection]]&amp;DataItems3[[#This Row],[Field]]&amp;DataItems3[[#This Row],[Options for supplying the Field]]&amp;DataItems3[[#This Row],[Fieldname]]&amp;DataItems3[[#This Row],[Parent]]</f>
        <v>StudentDomicile⁽¹⁾(UK region/ Non-UK by country/ Unknown)F_XDOMRC01</v>
      </c>
      <c r="Y205" s="15"/>
      <c r="AA205" s="28" t="str">
        <f t="shared" si="30"/>
        <v>CASE WHEN s.F_XHOOS01 = '1' THEN s.F_XDOMGR01 WHEN s.F_XHOOS01 = '2' THEN s.F_XDOMUC01 ELSE 'Unknown' END</v>
      </c>
      <c r="AB205" s="28" t="str">
        <f>IF(S205="","",IF(IFERROR(SEARCH("select",S205)&gt;0,0),IF(U205="",IF(MID(S205,SEARCH(H205,S205)-4,1)=" ",MID(S205,SEARCH(H205,S205)-2,LEN(O213)+2),MID(S205,SEARCH(H205,S205)-3,LEN(H205)+3)),U205&amp;"."&amp;H205),S205))</f>
        <v>CASE WHEN s.F_XHOOS01 = '1' THEN XDOMGR01.DW_CurrentLabel when  s.F_XHOOS01='2' THEN xdomrc.DW_CurrentLabel ELSE 'Unknown' END</v>
      </c>
      <c r="AC205" s="28" t="str">
        <f t="shared" si="31"/>
        <v>CASE WHEN s.F_XHOOS01 = '1' THEN s.F_XDOMGR01 WHEN s.F_XHOOS01 = '2' THEN s.F_XDOMUC01 ELSE 'Unknown' END</v>
      </c>
      <c r="AD205" s="28" t="str">
        <f>IF(T205="","",IF(IFERROR(SEARCH("select",T205)&gt;0,0),IF(U205="",IF(MID(T205,SEARCH(H205,T205)-4,1)=" ",MID(T205,SEARCH(H205,T205)-2,LEN(O213)+2),MID(T205,SEARCH(H205,T205)-3,LEN(H205)+3)),U205&amp;"."&amp;H205),T205))</f>
        <v>CASE WHEN s.F_XHOOS01 = '1' THEN XDOMGR01.DW_CurrentLabel when  s.F_XHOOS01='2' THEN xdomrc.DW_CurrentLabel ELSE 'Unknown' END</v>
      </c>
      <c r="AE205" t="str">
        <f t="shared" si="28"/>
        <v>[Domicile]</v>
      </c>
    </row>
    <row r="206" spans="1:32" ht="15" customHeight="1" x14ac:dyDescent="0.2">
      <c r="A206">
        <v>100169</v>
      </c>
      <c r="B206" s="11" t="str">
        <f>DataItems3[[#This Row],[Field]]&amp;IF(DataItems3[[#This Row],[Options for supplying the Field]]="",""," "&amp;DataItems3[[#This Row],[Options for supplying the Field]])</f>
        <v>Domicile⁽¹⁾ (UK: England/ Wales/ Scotland/ Northern Ireland/ Non UK: Country)</v>
      </c>
      <c r="C206">
        <v>100169</v>
      </c>
      <c r="D206" s="3" t="s">
        <v>86</v>
      </c>
      <c r="E206" s="3" t="s">
        <v>106</v>
      </c>
      <c r="F206" s="3" t="str">
        <f t="shared" si="29"/>
        <v>Domicile⁽¹⁾</v>
      </c>
      <c r="G206" s="13" t="s">
        <v>843</v>
      </c>
      <c r="H206" s="14" t="s">
        <v>834</v>
      </c>
      <c r="J206" s="3">
        <v>2</v>
      </c>
      <c r="K206" s="3">
        <v>5</v>
      </c>
      <c r="L206" s="3">
        <v>0</v>
      </c>
      <c r="M206" s="3">
        <v>0</v>
      </c>
      <c r="N206" s="3" t="s">
        <v>840</v>
      </c>
      <c r="Q206" s="16" t="s">
        <v>3025</v>
      </c>
      <c r="R206" s="16" t="s">
        <v>3025</v>
      </c>
      <c r="S206" s="16" t="s">
        <v>3026</v>
      </c>
      <c r="T206" s="16" t="s">
        <v>3026</v>
      </c>
      <c r="U206" s="3" t="s">
        <v>822</v>
      </c>
      <c r="V206" s="3" t="s">
        <v>93</v>
      </c>
      <c r="W206" s="57" t="s">
        <v>482</v>
      </c>
      <c r="X206" t="str">
        <f>DataItems3[[#This Row],[Collection]]&amp;DataItems3[[#This Row],[Field]]&amp;DataItems3[[#This Row],[Options for supplying the Field]]&amp;DataItems3[[#This Row],[Fieldname]]&amp;DataItems3[[#This Row],[Parent]]</f>
        <v>StudentDomicile⁽¹⁾(UK: England/ Wales/ Scotland/ Northern Ireland/ Non UK: Country)F_XDOMREG01</v>
      </c>
      <c r="Y206" s="15">
        <v>43398</v>
      </c>
      <c r="Z206" t="s">
        <v>828</v>
      </c>
      <c r="AA206" s="28" t="str">
        <f t="shared" si="30"/>
        <v>case WHEN s.F_XDOMREG01 ='XL' THEN 'XL' when s.f_xhoos01 = 1 then s.F_XDOMREG01 WHEN s.F_XDOMREG01 = 'NOTK' THEN 'NOTK' else s.F_XDOMUC01 END</v>
      </c>
      <c r="AB206" s="28" t="str">
        <f>IF(S206="","",IF(IFERROR(SEARCH("select",S206)&gt;0,0),IF(U206="",IF(MID(S206,SEARCH(H206,S206)-4,1)=" ",MID(S206,SEARCH(H206,S206)-2,LEN(O214)+2),MID(S206,SEARCH(H206,S206)-3,LEN(H206)+3)),U206&amp;"."&amp;H206),S206))</f>
        <v>case WHEN s.F_XDOMREG01 ='XL' THEN 'Channel Islands'  when s.F_XDOMREG01 = 'XK' then 'United Kingdom, not otherwise specified'  when s.f_xhoos01 = 1 then s.f_xdomreg01 WHEN s.F_XDOMREG01 = 'NOTK' THEN 'Not known' ELSE xdomuc01.DW_CurrentLabel end</v>
      </c>
      <c r="AC206" s="28" t="str">
        <f t="shared" si="31"/>
        <v>case WHEN s.F_XDOMREG01 ='XL' THEN 'XL' when s.f_xhoos01 = 1 then s.F_XDOMREG01 WHEN s.F_XDOMREG01 = 'NOTK' THEN 'NOTK' else s.F_XDOMUC01 END</v>
      </c>
      <c r="AD206" s="28" t="str">
        <f>IF(T206="","",IF(IFERROR(SEARCH("select",T206)&gt;0,0),IF(U206="",IF(MID(T206,SEARCH(H206,T206)-4,1)=" ",MID(T206,SEARCH(H206,T206)-2,LEN(O214)+2),MID(T206,SEARCH(H206,T206)-3,LEN(H206)+3)),U206&amp;"."&amp;H206),T206))</f>
        <v>case WHEN s.F_XDOMREG01 ='XL' THEN 'Channel Islands'  when s.F_XDOMREG01 = 'XK' then 'United Kingdom, not otherwise specified'  when s.f_xhoos01 = 1 then s.f_xdomreg01 WHEN s.F_XDOMREG01 = 'NOTK' THEN 'Not known' ELSE xdomuc01.DW_CurrentLabel end</v>
      </c>
      <c r="AE206" t="str">
        <f t="shared" si="28"/>
        <v>[Domicile]</v>
      </c>
    </row>
    <row r="207" spans="1:32" ht="16.5" customHeight="1" x14ac:dyDescent="0.2">
      <c r="A207">
        <v>100150</v>
      </c>
      <c r="B207" s="11" t="str">
        <f>DataItems3[[#This Row],[Field]]&amp;IF(DataItems3[[#This Row],[Options for supplying the Field]]="",""," "&amp;DataItems3[[#This Row],[Options for supplying the Field]])</f>
        <v>Domicile⁽¹⁾ ([UK county/Unitary authority]/ Non-UK grouped/ Unknown)</v>
      </c>
      <c r="C207">
        <v>100150</v>
      </c>
      <c r="D207" s="3" t="s">
        <v>86</v>
      </c>
      <c r="E207" s="3" t="s">
        <v>106</v>
      </c>
      <c r="F207" s="3" t="str">
        <f t="shared" si="29"/>
        <v>Domicile⁽¹⁾</v>
      </c>
      <c r="G207" s="13" t="s">
        <v>844</v>
      </c>
      <c r="H207" s="14" t="s">
        <v>845</v>
      </c>
      <c r="J207" s="3">
        <v>2</v>
      </c>
      <c r="K207" s="3">
        <v>4</v>
      </c>
      <c r="L207" s="3">
        <v>0</v>
      </c>
      <c r="M207" s="3">
        <v>0</v>
      </c>
      <c r="N207" s="3" t="s">
        <v>106</v>
      </c>
      <c r="Q207" s="16" t="s">
        <v>846</v>
      </c>
      <c r="R207" s="16" t="s">
        <v>846</v>
      </c>
      <c r="S207" s="16" t="s">
        <v>3027</v>
      </c>
      <c r="T207" s="16" t="s">
        <v>3027</v>
      </c>
      <c r="U207" s="3" t="s">
        <v>847</v>
      </c>
      <c r="V207" s="3" t="s">
        <v>93</v>
      </c>
      <c r="W207" s="57" t="s">
        <v>549</v>
      </c>
      <c r="X207" t="str">
        <f>DataItems3[[#This Row],[Collection]]&amp;DataItems3[[#This Row],[Field]]&amp;DataItems3[[#This Row],[Options for supplying the Field]]&amp;DataItems3[[#This Row],[Fieldname]]&amp;DataItems3[[#This Row],[Parent]]</f>
        <v>StudentDomicile⁽¹⁾([UK county/Unitary authority]/ Non-UK grouped/ Unknown)F_XDOMUC01</v>
      </c>
      <c r="Y207" s="15"/>
      <c r="AA207" s="28" t="str">
        <f t="shared" si="30"/>
        <v>CASE WHEN s.F_XDOMREG01='XL' THEN 'XL' WHEN s.F_XHOOS01 = 1 THEN s.F_XDOMUC01 WHEN s.F_XHOOS01 = 2 THEN 'Non UK' else 'NOTK' END</v>
      </c>
      <c r="AB207" s="28" t="str">
        <f>IF(S207="","",IF(IFERROR(SEARCH("select",S207)&gt;0,0),IF(U207="",IF(MID(S207,SEARCH(H207,S207)-4,1)=" ",MID(S207,SEARCH(H207,S207)-2,LEN(O215)+2),MID(S207,SEARCH(H207,S207)-3,LEN(H207)+3)),U207&amp;"."&amp;H207),S207))</f>
        <v>CASE WHEN s.f_XDOMUC01 = 'XF' THEN 'England (county/unitary authority unknown)' WHEN s.f_XDOMUC01 = 'XI' THEN 'Wales (unitary authority unknown)' WHEN s.f_xdomuc01 = 'XG' THEN 'Northern Ireland (district council area unknown)' WHEN s.f_xdomuc01 = 'XH' THEN 'Scotland (council area unknown)' WHEN s.F_XDOMREG01 ='XL' THEN 'Channel islands' WHEN s.F_XHOOS01 = 1 THEN domcc.DW_CurrentLabel WHEN s.F_XHOOS01 = 2 THEN 'Non UK' else 'Not known' END</v>
      </c>
      <c r="AC207" s="28" t="str">
        <f t="shared" si="31"/>
        <v>CASE WHEN s.F_XDOMREG01='XL' THEN 'XL' WHEN s.F_XHOOS01 = 1 THEN s.F_XDOMUC01 WHEN s.F_XHOOS01 = 2 THEN 'Non UK' else 'NOTK' END</v>
      </c>
      <c r="AD207" s="28" t="str">
        <f>IF(T207="","",IF(IFERROR(SEARCH("select",T207)&gt;0,0),IF(U207="",IF(MID(T207,SEARCH(H207,T207)-4,1)=" ",MID(T207,SEARCH(H207,T207)-2,LEN(O215)+2),MID(T207,SEARCH(H207,T207)-3,LEN(H207)+3)),U207&amp;"."&amp;H207),T207))</f>
        <v>CASE WHEN s.f_XDOMUC01 = 'XF' THEN 'England (county/unitary authority unknown)' WHEN s.f_XDOMUC01 = 'XI' THEN 'Wales (unitary authority unknown)' WHEN s.f_xdomuc01 = 'XG' THEN 'Northern Ireland (district council area unknown)' WHEN s.f_xdomuc01 = 'XH' THEN 'Scotland (council area unknown)' WHEN s.F_XDOMREG01 ='XL' THEN 'Channel islands' WHEN s.F_XHOOS01 = 1 THEN domcc.DW_CurrentLabel WHEN s.F_XHOOS01 = 2 THEN 'Non UK' else 'Not known' END</v>
      </c>
      <c r="AE207" t="str">
        <f t="shared" si="28"/>
        <v>[Domicile]</v>
      </c>
      <c r="AF207">
        <v>101002</v>
      </c>
    </row>
    <row r="208" spans="1:32" ht="80" x14ac:dyDescent="0.2">
      <c r="A208">
        <v>100152</v>
      </c>
      <c r="B208" s="11" t="str">
        <f>DataItems3[[#This Row],[Field]]&amp;IF(DataItems3[[#This Row],[Options for supplying the Field]]="",""," "&amp;DataItems3[[#This Row],[Options for supplying the Field]])</f>
        <v>Domicile⁽¹⁾ (England/ Wales/ Scotland/ Northern Ireland/ Guernsey, Jersey and the Isle of Man/ EU/ Non-EU/ Unknown)</v>
      </c>
      <c r="C208">
        <v>100152</v>
      </c>
      <c r="D208" s="3" t="s">
        <v>86</v>
      </c>
      <c r="E208" s="3" t="s">
        <v>106</v>
      </c>
      <c r="F208" s="3" t="str">
        <f t="shared" si="29"/>
        <v>Domicile⁽¹⁾</v>
      </c>
      <c r="G208" s="13" t="s">
        <v>849</v>
      </c>
      <c r="H208" s="14" t="s">
        <v>845</v>
      </c>
      <c r="J208" s="3">
        <v>4</v>
      </c>
      <c r="K208" s="3">
        <v>2</v>
      </c>
      <c r="L208" s="3">
        <v>0</v>
      </c>
      <c r="M208" s="3">
        <v>0</v>
      </c>
      <c r="N208" s="3" t="s">
        <v>835</v>
      </c>
      <c r="Q208" s="16" t="s">
        <v>850</v>
      </c>
      <c r="R208" s="16" t="s">
        <v>850</v>
      </c>
      <c r="S208" s="16" t="s">
        <v>851</v>
      </c>
      <c r="T208" s="16" t="s">
        <v>851</v>
      </c>
      <c r="U208" s="3" t="s">
        <v>852</v>
      </c>
      <c r="V208" s="3" t="s">
        <v>93</v>
      </c>
      <c r="W208" s="57" t="s">
        <v>114</v>
      </c>
      <c r="X208" t="str">
        <f>DataItems3[[#This Row],[Collection]]&amp;DataItems3[[#This Row],[Field]]&amp;DataItems3[[#This Row],[Options for supplying the Field]]&amp;DataItems3[[#This Row],[Fieldname]]&amp;DataItems3[[#This Row],[Parent]]</f>
        <v>StudentDomicile⁽¹⁾(England/ Wales/ Scotland/ Northern Ireland/ Guernsey, Jersey and the Isle of Man/ EU/ Non-EU/ Unknown)F_XDOMUC01</v>
      </c>
      <c r="Y208" s="15"/>
      <c r="AA208" s="28" t="str">
        <f t="shared" si="30"/>
        <v>case when s.f_xhoos01='1' then s.f_xdomreg01 else CAST(s.f_XDOMGR401 AS VARCHAR) end</v>
      </c>
      <c r="AB208" s="28" t="str">
        <f>IF(S208="","",IF(IFERROR(SEARCH("select",S208)&gt;0,0),IF(U208="",IF(MID(S208,SEARCH(H208,S208)-4,1)=" ",MID(S208,SEARCH(H208,S208)-2,LEN(O216)+2),MID(S208,SEARCH(H208,S208)-3,LEN(H208)+3)),U208&amp;"."&amp;H208),S208))</f>
        <v>case when s.f_xhoos01='1' then xdomreg01.dw_currentlabel else CAST(s.f_XDOMGR401 AS VARCHAR) end</v>
      </c>
      <c r="AC208" s="28" t="str">
        <f t="shared" si="31"/>
        <v>case when s.f_xhoos01='1' then s.f_xdomreg01 else CAST(s.f_XDOMGR401 AS VARCHAR) end</v>
      </c>
      <c r="AD208" s="28" t="str">
        <f>IF(T208="","",IF(IFERROR(SEARCH("select",T208)&gt;0,0),IF(U208="",IF(MID(T208,SEARCH(H208,T208)-4,1)=" ",MID(T208,SEARCH(H208,T208)-2,LEN(O216)+2),MID(T208,SEARCH(H208,T208)-3,LEN(H208)+3)),U208&amp;"."&amp;H208),T208))</f>
        <v>case when s.f_xhoos01='1' then xdomreg01.dw_currentlabel else CAST(s.f_XDOMGR401 AS VARCHAR) end</v>
      </c>
      <c r="AE208" t="str">
        <f t="shared" si="28"/>
        <v>[Domicile]</v>
      </c>
    </row>
    <row r="209" spans="1:34" ht="32" x14ac:dyDescent="0.2">
      <c r="A209">
        <v>100156</v>
      </c>
      <c r="B209" s="11" t="str">
        <f>DataItems3[[#This Row],[Field]]&amp;IF(DataItems3[[#This Row],[Options for supplying the Field]]="",""," "&amp;DataItems3[[#This Row],[Options for supplying the Field]])</f>
        <v>Domicile⁽¹⁾ (UK county/ Non-UK by country/ Unknown)</v>
      </c>
      <c r="C209">
        <v>100156</v>
      </c>
      <c r="D209" s="3" t="s">
        <v>86</v>
      </c>
      <c r="E209" s="3" t="s">
        <v>106</v>
      </c>
      <c r="F209" s="3" t="str">
        <f t="shared" si="29"/>
        <v>Domicile⁽¹⁾</v>
      </c>
      <c r="G209" s="13" t="s">
        <v>853</v>
      </c>
      <c r="H209" s="14" t="s">
        <v>845</v>
      </c>
      <c r="J209" s="3">
        <v>2</v>
      </c>
      <c r="K209" s="3">
        <v>7</v>
      </c>
      <c r="L209" s="3">
        <v>2</v>
      </c>
      <c r="M209" s="3">
        <v>0</v>
      </c>
      <c r="N209" s="3" t="s">
        <v>840</v>
      </c>
      <c r="Q209" s="16" t="s">
        <v>854</v>
      </c>
      <c r="R209" s="16" t="s">
        <v>854</v>
      </c>
      <c r="S209" s="16" t="s">
        <v>855</v>
      </c>
      <c r="T209" s="16" t="s">
        <v>855</v>
      </c>
      <c r="U209" s="3" t="s">
        <v>847</v>
      </c>
      <c r="V209" s="3" t="s">
        <v>93</v>
      </c>
      <c r="W209" s="57" t="s">
        <v>482</v>
      </c>
      <c r="X209" t="str">
        <f>DataItems3[[#This Row],[Collection]]&amp;DataItems3[[#This Row],[Field]]&amp;DataItems3[[#This Row],[Options for supplying the Field]]&amp;DataItems3[[#This Row],[Fieldname]]&amp;DataItems3[[#This Row],[Parent]]</f>
        <v>StudentDomicile⁽¹⁾(UK county/ Non-UK by country/ Unknown)F_XDOMUC01</v>
      </c>
      <c r="Y209" s="15"/>
      <c r="AA209" s="28" t="str">
        <f t="shared" si="30"/>
        <v>CASE when  s.F_XDOMREG01 ='XL' THEN 'XL' ELSE s.F_XDOMUC01 END</v>
      </c>
      <c r="AB209" s="28" t="str">
        <f>IF(S209="","",IF(IFERROR(SEARCH("select",S209)&gt;0,0),IF(U209="",IF(MID(S209,SEARCH(H209,S209)-4,1)=" ",MID(S209,SEARCH(H209,S209)-2,LEN(O218)+2),MID(S209,SEARCH(H209,S209)-3,LEN(H209)+3)),U209&amp;"."&amp;H209),S209))</f>
        <v>case WHEN s.f_XDOMUC01 = 'XF' THEN 'England (county/unitary authority unknown)' WHEN s.f_XDOMUC01 = 'XI' THEN 'Wales (unitary authority unknown)' WHEN s.f_xdomuc01 = 'XH' THEN 'Scotland (council area unknown)' WHEN s.f_xdomuc01 = 'XG' THEN 'Northern Ireland (district council area unknown)' WHEN s.F_XDOMREG01 ='XL' THEN 'Channel islands' else XDOMUC01.DW_CurrentLabel END</v>
      </c>
      <c r="AC209" s="28" t="str">
        <f t="shared" si="31"/>
        <v>CASE when  s.F_XDOMREG01 ='XL' THEN 'XL' ELSE s.F_XDOMUC01 END</v>
      </c>
      <c r="AD209" s="28" t="str">
        <f>IF(T209="","",IF(IFERROR(SEARCH("select",T209)&gt;0,0),IF(U209="",IF(MID(T209,SEARCH(H209,T209)-4,1)=" ",MID(T209,SEARCH(H209,T209)-2,LEN(O218)+2),MID(T209,SEARCH(H209,T209)-3,LEN(H209)+3)),U209&amp;"."&amp;H209),T209))</f>
        <v>case WHEN s.f_XDOMUC01 = 'XF' THEN 'England (county/unitary authority unknown)' WHEN s.f_XDOMUC01 = 'XI' THEN 'Wales (unitary authority unknown)' WHEN s.f_xdomuc01 = 'XH' THEN 'Scotland (council area unknown)' WHEN s.f_xdomuc01 = 'XG' THEN 'Northern Ireland (district council area unknown)' WHEN s.F_XDOMREG01 ='XL' THEN 'Channel islands' else XDOMUC01.DW_CurrentLabel END</v>
      </c>
      <c r="AE209" t="str">
        <f t="shared" si="28"/>
        <v>[Domicile]</v>
      </c>
    </row>
    <row r="210" spans="1:34" ht="32" x14ac:dyDescent="0.2">
      <c r="A210">
        <v>100165</v>
      </c>
      <c r="B210" s="11" t="str">
        <f>DataItems3[[#This Row],[Field]]&amp;IF(DataItems3[[#This Row],[Options for supplying the Field]]="",""," "&amp;DataItems3[[#This Row],[Options for supplying the Field]])</f>
        <v>Domicile⁽¹⁾ (UK/ Non-UK by country/ Unknown)</v>
      </c>
      <c r="C210">
        <v>100165</v>
      </c>
      <c r="D210" s="3" t="s">
        <v>86</v>
      </c>
      <c r="E210" s="3" t="s">
        <v>106</v>
      </c>
      <c r="F210" s="3" t="str">
        <f t="shared" si="29"/>
        <v>Domicile⁽¹⁾</v>
      </c>
      <c r="G210" s="13" t="s">
        <v>856</v>
      </c>
      <c r="H210" s="14" t="s">
        <v>845</v>
      </c>
      <c r="J210" s="3">
        <v>2</v>
      </c>
      <c r="K210" s="3">
        <v>5</v>
      </c>
      <c r="L210" s="3">
        <v>2</v>
      </c>
      <c r="M210" s="3">
        <v>0</v>
      </c>
      <c r="N210" s="3" t="s">
        <v>840</v>
      </c>
      <c r="Q210" s="16" t="s">
        <v>857</v>
      </c>
      <c r="R210" s="16" t="s">
        <v>857</v>
      </c>
      <c r="S210" s="16" t="s">
        <v>858</v>
      </c>
      <c r="T210" s="16" t="s">
        <v>858</v>
      </c>
      <c r="U210" s="3" t="s">
        <v>847</v>
      </c>
      <c r="V210" s="3" t="s">
        <v>93</v>
      </c>
      <c r="W210" s="57" t="s">
        <v>482</v>
      </c>
      <c r="X210" t="str">
        <f>DataItems3[[#This Row],[Collection]]&amp;DataItems3[[#This Row],[Field]]&amp;DataItems3[[#This Row],[Options for supplying the Field]]&amp;DataItems3[[#This Row],[Fieldname]]&amp;DataItems3[[#This Row],[Parent]]</f>
        <v>StudentDomicile⁽¹⁾(UK/ Non-UK by country/ Unknown)F_XDOMUC01</v>
      </c>
      <c r="Y210" s="15">
        <v>43895</v>
      </c>
      <c r="Z210" t="s">
        <v>159</v>
      </c>
      <c r="AA210" s="28" t="str">
        <f t="shared" si="30"/>
        <v>case WHEN s.F_XDOMREG01 ='XL' THEN 'XL' when s.f_xhoos01 = 1 then 'UK' else s.F_XDOMUC01 END</v>
      </c>
      <c r="AB210" s="28" t="str">
        <f>IF(S210="","",IF(IFERROR(SEARCH("select",S210)&gt;0,0),IF(U210="",IF(MID(S210,SEARCH(H210,S210)-4,1)=" ",MID(S210,SEARCH(H210,S210)-2,LEN(O219)+2),MID(S210,SEARCH(H210,S210)-3,LEN(H210)+3)),U210&amp;"."&amp;H210),S210))</f>
        <v>case WHEN s.F_XDOMREG01 ='XL' THEN 'Channel Islands' when s.f_xhoos01 = 1 then 'UK Total' ELSE xdomuc01.DW_CurrentLabel end</v>
      </c>
      <c r="AC210" s="28" t="str">
        <f t="shared" si="31"/>
        <v>case WHEN s.F_XDOMREG01 ='XL' THEN 'XL' when s.f_xhoos01 = 1 then 'UK' else s.F_XDOMUC01 END</v>
      </c>
      <c r="AD210" s="28" t="str">
        <f>IF(T210="","",IF(IFERROR(SEARCH("select",T210)&gt;0,0),IF(U210="",IF(MID(T210,SEARCH(H210,T210)-4,1)=" ",MID(T210,SEARCH(H210,T210)-2,LEN(O219)+2),MID(T210,SEARCH(H210,T210)-3,LEN(H210)+3)),U210&amp;"."&amp;H210),T210))</f>
        <v>case WHEN s.F_XDOMREG01 ='XL' THEN 'Channel Islands' when s.f_xhoos01 = 1 then 'UK Total' ELSE xdomuc01.DW_CurrentLabel end</v>
      </c>
      <c r="AE210" t="str">
        <f t="shared" si="28"/>
        <v>[Domicile]</v>
      </c>
    </row>
    <row r="211" spans="1:34" ht="15" customHeight="1" x14ac:dyDescent="0.2">
      <c r="A211">
        <v>100166</v>
      </c>
      <c r="B211" s="11" t="str">
        <f>DataItems3[[#This Row],[Field]]&amp;IF(DataItems3[[#This Row],[Options for supplying the Field]]="",""," "&amp;DataItems3[[#This Row],[Options for supplying the Field]])</f>
        <v>Domicile⁽¹⁾ (UK/ Non-UK/ Unknown)</v>
      </c>
      <c r="C211">
        <v>100166</v>
      </c>
      <c r="D211" s="3" t="s">
        <v>86</v>
      </c>
      <c r="E211" s="3" t="s">
        <v>106</v>
      </c>
      <c r="F211" s="3" t="str">
        <f t="shared" si="29"/>
        <v>Domicile⁽¹⁾</v>
      </c>
      <c r="G211" s="13" t="s">
        <v>859</v>
      </c>
      <c r="H211" s="14" t="s">
        <v>860</v>
      </c>
      <c r="J211" s="3">
        <v>1</v>
      </c>
      <c r="K211" s="3">
        <v>1</v>
      </c>
      <c r="L211" s="3">
        <v>0</v>
      </c>
      <c r="M211" s="3">
        <v>0</v>
      </c>
      <c r="N211" s="3" t="s">
        <v>861</v>
      </c>
      <c r="Q211" s="16" t="s">
        <v>862</v>
      </c>
      <c r="R211" s="16" t="s">
        <v>862</v>
      </c>
      <c r="S211" s="16" t="s">
        <v>863</v>
      </c>
      <c r="T211" s="16" t="s">
        <v>863</v>
      </c>
      <c r="U211" s="3" t="s">
        <v>93</v>
      </c>
      <c r="V211" s="3" t="s">
        <v>93</v>
      </c>
      <c r="W211" s="57" t="s">
        <v>114</v>
      </c>
      <c r="X211" t="str">
        <f>DataItems3[[#This Row],[Collection]]&amp;DataItems3[[#This Row],[Field]]&amp;DataItems3[[#This Row],[Options for supplying the Field]]&amp;DataItems3[[#This Row],[Fieldname]]&amp;DataItems3[[#This Row],[Parent]]</f>
        <v>StudentDomicile⁽¹⁾(UK/ Non-UK/ Unknown)F_XHOOS01</v>
      </c>
      <c r="Y211" s="15"/>
      <c r="AA211" s="28" t="str">
        <f t="shared" si="30"/>
        <v>cast(s.F_XHOOS01 as varchar)</v>
      </c>
      <c r="AB211" s="28" t="str">
        <f>IF(S211="","",IF(IFERROR(SEARCH("select",S211)&gt;0,0),IF(U211="",IF(MID(S211,SEARCH(H211,S211)-4,1)=" ",MID(S211,SEARCH(H211,S211)-2,LEN(O220)+2),MID(S211,SEARCH(H211,S211)-3,LEN(H211)+3)),U211&amp;"."&amp;H211),S211))</f>
        <v xml:space="preserve"> s.f_xhoos01</v>
      </c>
      <c r="AC211" s="28" t="str">
        <f t="shared" si="31"/>
        <v>cast(s.F_XHOOS01 as varchar)</v>
      </c>
      <c r="AD211" s="28" t="str">
        <f>IF(T211="","",IF(IFERROR(SEARCH("select",T211)&gt;0,0),IF(U211="",IF(MID(T211,SEARCH(H211,T211)-4,1)=" ",MID(T211,SEARCH(H211,T211)-2,LEN(O220)+2),MID(T211,SEARCH(H211,T211)-3,LEN(H211)+3)),U211&amp;"."&amp;H211),T211))</f>
        <v xml:space="preserve"> s.f_xhoos01</v>
      </c>
      <c r="AE211" t="str">
        <f t="shared" si="28"/>
        <v>[Domicile]</v>
      </c>
      <c r="AF211">
        <v>101003</v>
      </c>
    </row>
    <row r="212" spans="1:34" ht="14.5" customHeight="1" x14ac:dyDescent="0.25">
      <c r="A212">
        <v>100838</v>
      </c>
      <c r="B212" s="11" t="str">
        <f>DataItems3[[#This Row],[Field]]&amp;IF(DataItems3[[#This Row],[Options for supplying the Field]]="",""," "&amp;DataItems3[[#This Row],[Options for supplying the Field]])</f>
        <v>Early career research status (2012/13, 2013/14 and 2019/20 only)</v>
      </c>
      <c r="C212">
        <v>100838</v>
      </c>
      <c r="D212" s="3" t="s">
        <v>100</v>
      </c>
      <c r="F212" s="3" t="s">
        <v>865</v>
      </c>
      <c r="G212" s="13" t="s">
        <v>866</v>
      </c>
      <c r="H212" s="12" t="s">
        <v>867</v>
      </c>
      <c r="J212" s="3">
        <v>1</v>
      </c>
      <c r="K212" s="3">
        <v>2</v>
      </c>
      <c r="L212" s="3">
        <v>0</v>
      </c>
      <c r="M212" s="3">
        <v>0</v>
      </c>
      <c r="Q212" s="16" t="s">
        <v>3028</v>
      </c>
      <c r="S212" s="16" t="s">
        <v>3029</v>
      </c>
      <c r="U212" s="3" t="s">
        <v>868</v>
      </c>
      <c r="W212" s="57" t="s">
        <v>114</v>
      </c>
      <c r="X212" t="str">
        <f>DataItems3[[#This Row],[Collection]]&amp;DataItems3[[#This Row],[Field]]&amp;DataItems3[[#This Row],[Options for supplying the Field]]&amp;DataItems3[[#This Row],[Fieldname]]&amp;DataItems3[[#This Row],[Parent]]</f>
        <v>StaffEarly career research status(2012/13, 2013/14 and 2019/20 only)F_ECRSTAT</v>
      </c>
      <c r="Y212" s="4">
        <v>44494</v>
      </c>
      <c r="Z212" t="s">
        <v>135</v>
      </c>
      <c r="AA212" s="28" t="str">
        <f t="shared" si="30"/>
        <v>case when c.dw_fromdate in (20120801, 20130801, 20190801) then isnull(c.f_ECRSTAT,'Unknown') else 'Not applicable' end</v>
      </c>
      <c r="AB212" s="28" t="str">
        <f>IF(S212="","",IF(IFERROR(SEARCH("select",S212)&gt;0,0),IF(U212="",IF(MID(S212,SEARCH(H212,S212)-4,1)=" ",MID(S212,SEARCH(H212,S212)-2,LEN(O222)+2),MID(S212,SEARCH(H212,S212)-3,LEN(H212)+3)),U212&amp;"."&amp;H212),S212))</f>
        <v>case when c.dw_fromdate in (20120801, 20130801, 20190801) then case when c.f_ECRSTAT is null then 'Unknown' else ECRSTAT.label END  else 'Not applicable' end</v>
      </c>
      <c r="AC212" s="28" t="str">
        <f t="shared" si="31"/>
        <v/>
      </c>
      <c r="AD212" s="28" t="str">
        <f>IF(T212="","",IF(IFERROR(SEARCH("select",T212)&gt;0,0),IF(U212="",IF(MID(T212,SEARCH(H212,T212)-4,1)=" ",MID(T212,SEARCH(H212,T212)-2,LEN(O222)+2),MID(T212,SEARCH(H212,T212)-3,LEN(H212)+3)),U212&amp;"."&amp;H212),T212))</f>
        <v/>
      </c>
      <c r="AE212" t="str">
        <f t="shared" si="28"/>
        <v>[Early career research status]</v>
      </c>
    </row>
    <row r="213" spans="1:34" ht="16" x14ac:dyDescent="0.2">
      <c r="A213">
        <v>100172</v>
      </c>
      <c r="B213" s="11" t="str">
        <f>DataItems3[[#This Row],[Field]]&amp;IF(DataItems3[[#This Row],[Options for supplying the Field]]="",""," "&amp;DataItems3[[#This Row],[Options for supplying the Field]])</f>
        <v>Employed as a teacher</v>
      </c>
      <c r="C213">
        <v>100172</v>
      </c>
      <c r="D213" s="3" t="s">
        <v>146</v>
      </c>
      <c r="F213" s="3" t="s">
        <v>869</v>
      </c>
      <c r="G213" s="13"/>
      <c r="H213" s="14" t="s">
        <v>93</v>
      </c>
      <c r="J213" s="3">
        <v>1</v>
      </c>
      <c r="K213" s="3">
        <v>1</v>
      </c>
      <c r="L213" s="3">
        <v>0</v>
      </c>
      <c r="M213" s="3">
        <v>0</v>
      </c>
      <c r="N213" s="3" t="s">
        <v>89</v>
      </c>
      <c r="Q213" s="16" t="s">
        <v>93</v>
      </c>
      <c r="R213" s="3" t="s">
        <v>93</v>
      </c>
      <c r="S213" s="16" t="s">
        <v>93</v>
      </c>
      <c r="U213" s="3" t="s">
        <v>93</v>
      </c>
      <c r="V213" s="3" t="s">
        <v>93</v>
      </c>
      <c r="W213" s="57" t="s">
        <v>2926</v>
      </c>
      <c r="X213" t="str">
        <f>DataItems3[[#This Row],[Collection]]&amp;DataItems3[[#This Row],[Field]]&amp;DataItems3[[#This Row],[Options for supplying the Field]]&amp;DataItems3[[#This Row],[Fieldname]]&amp;DataItems3[[#This Row],[Parent]]</f>
        <v>DLHEEmployed as a teacher</v>
      </c>
      <c r="Y213" s="15">
        <v>43416</v>
      </c>
      <c r="Z213" t="s">
        <v>95</v>
      </c>
      <c r="AA213" s="28" t="str">
        <f t="shared" si="30"/>
        <v/>
      </c>
      <c r="AB213" s="28" t="str">
        <f>IF(S213="","",IF(IFERROR(SEARCH("select",S213)&gt;0,0),IF(U213="",IF(MID(S213,SEARCH(H213,S213)-4,1)=" ",MID(S213,SEARCH(H213,S213)-2,LEN(O223)+2),MID(S213,SEARCH(H213,S213)-3,LEN(H213)+3)),U213&amp;"."&amp;H213),S213))</f>
        <v/>
      </c>
      <c r="AC213" s="28" t="str">
        <f t="shared" si="31"/>
        <v/>
      </c>
      <c r="AD213" s="28" t="str">
        <f>IF(T213="","",IF(IFERROR(SEARCH("select",T213)&gt;0,0),IF(U213="",IF(MID(T213,SEARCH(H213,T213)-4,1)=" ",MID(T213,SEARCH(H213,T213)-2,LEN(O223)+2),MID(T213,SEARCH(H213,T213)-3,LEN(H213)+3)),U213&amp;"."&amp;H213),T213))</f>
        <v/>
      </c>
      <c r="AE213" t="str">
        <f t="shared" si="28"/>
        <v>[Employed as a teacher]</v>
      </c>
    </row>
    <row r="214" spans="1:34" ht="32" x14ac:dyDescent="0.2">
      <c r="A214">
        <v>100171</v>
      </c>
      <c r="B214" s="11" t="str">
        <f>DataItems3[[#This Row],[Field]]&amp;IF(DataItems3[[#This Row],[Options for supplying the Field]]="",""," "&amp;DataItems3[[#This Row],[Options for supplying the Field]])</f>
        <v>Employed as a teacher [EMPLDTEACH] -opt in question</v>
      </c>
      <c r="C214">
        <v>100171</v>
      </c>
      <c r="D214" s="3" t="s">
        <v>151</v>
      </c>
      <c r="F214" s="3" t="s">
        <v>869</v>
      </c>
      <c r="G214" s="13" t="s">
        <v>870</v>
      </c>
      <c r="I214" s="3" t="s">
        <v>2991</v>
      </c>
      <c r="J214" s="3">
        <v>1</v>
      </c>
      <c r="K214" s="3">
        <v>2</v>
      </c>
      <c r="L214" s="3">
        <v>0</v>
      </c>
      <c r="M214" s="3">
        <v>0</v>
      </c>
      <c r="P214" s="3" t="s">
        <v>448</v>
      </c>
      <c r="R214" s="3" t="s">
        <v>93</v>
      </c>
      <c r="V214" s="3" t="s">
        <v>93</v>
      </c>
      <c r="W214" s="57" t="s">
        <v>2926</v>
      </c>
      <c r="X214" t="str">
        <f>DataItems3[[#This Row],[Collection]]&amp;DataItems3[[#This Row],[Field]]&amp;DataItems3[[#This Row],[Options for supplying the Field]]&amp;DataItems3[[#This Row],[Fieldname]]&amp;DataItems3[[#This Row],[Parent]]</f>
        <v>Graduate OutcomesEmployed as a teacher[EMPLDTEACH] -opt in questionProvider &gt; Graduate &gt; Opt in questions:</v>
      </c>
      <c r="Y214" s="15">
        <v>43550</v>
      </c>
      <c r="Z214" t="s">
        <v>159</v>
      </c>
      <c r="AA214" s="28" t="str">
        <f t="shared" si="30"/>
        <v/>
      </c>
      <c r="AB214" s="28" t="str">
        <f>IF(S214="","",IF(IFERROR(SEARCH("select",S214)&gt;0,0),IF(U214="",IF(MID(S214,SEARCH(H214,S214)-4,1)=" ",MID(S214,SEARCH(H214,S214)-2,LEN(O224)+2),MID(S214,SEARCH(H214,S214)-3,LEN(H214)+3)),U214&amp;"."&amp;H214),S214))</f>
        <v/>
      </c>
      <c r="AC214" s="28" t="str">
        <f t="shared" si="31"/>
        <v/>
      </c>
      <c r="AD214" s="28" t="str">
        <f>IF(T214="","",IF(IFERROR(SEARCH("select",T214)&gt;0,0),IF(U214="",IF(MID(T214,SEARCH(H214,T214)-4,1)=" ",MID(T214,SEARCH(H214,T214)-2,LEN(O224)+2),MID(T214,SEARCH(H214,T214)-3,LEN(H214)+3)),U214&amp;"."&amp;H214),T214))</f>
        <v/>
      </c>
      <c r="AE214" t="str">
        <f t="shared" si="28"/>
        <v>[Employed as a teacher]</v>
      </c>
    </row>
    <row r="215" spans="1:34" ht="16" x14ac:dyDescent="0.2">
      <c r="A215">
        <v>100173</v>
      </c>
      <c r="B215" s="11" t="str">
        <f>DataItems3[[#This Row],[Field]]&amp;IF(DataItems3[[#This Row],[Options for supplying the Field]]="",""," "&amp;DataItems3[[#This Row],[Options for supplying the Field]])</f>
        <v>Employed during course</v>
      </c>
      <c r="C215">
        <v>100173</v>
      </c>
      <c r="D215" s="3" t="s">
        <v>146</v>
      </c>
      <c r="F215" s="3" t="s">
        <v>871</v>
      </c>
      <c r="G215" s="13"/>
      <c r="H215" s="14" t="s">
        <v>93</v>
      </c>
      <c r="J215" s="3">
        <v>1</v>
      </c>
      <c r="K215" s="3">
        <v>2</v>
      </c>
      <c r="L215" s="3">
        <v>0</v>
      </c>
      <c r="M215" s="3">
        <v>0</v>
      </c>
      <c r="Q215" s="16" t="s">
        <v>93</v>
      </c>
      <c r="R215" s="3" t="s">
        <v>93</v>
      </c>
      <c r="S215" s="16" t="s">
        <v>93</v>
      </c>
      <c r="U215" s="3" t="s">
        <v>93</v>
      </c>
      <c r="V215" s="3" t="s">
        <v>93</v>
      </c>
      <c r="W215" s="57" t="s">
        <v>2926</v>
      </c>
      <c r="X215" t="str">
        <f>DataItems3[[#This Row],[Collection]]&amp;DataItems3[[#This Row],[Field]]&amp;DataItems3[[#This Row],[Options for supplying the Field]]&amp;DataItems3[[#This Row],[Fieldname]]&amp;DataItems3[[#This Row],[Parent]]</f>
        <v>DLHEEmployed during course</v>
      </c>
      <c r="Y215" s="15">
        <v>43909</v>
      </c>
      <c r="Z215" t="s">
        <v>159</v>
      </c>
      <c r="AA215" s="28" t="str">
        <f t="shared" si="30"/>
        <v/>
      </c>
      <c r="AB215" s="28" t="str">
        <f>IF(S215="","",IF(IFERROR(SEARCH("select",S215)&gt;0,0),IF(U215="",IF(MID(S215,SEARCH(H215,S215)-4,1)=" ",MID(S215,SEARCH(H215,S215)-2,LEN(O225)+2),MID(S215,SEARCH(H215,S215)-3,LEN(H215)+3)),U215&amp;"."&amp;H215),S215))</f>
        <v/>
      </c>
      <c r="AC215" s="28" t="str">
        <f t="shared" si="31"/>
        <v/>
      </c>
      <c r="AD215" s="28" t="str">
        <f>IF(T215="","",IF(IFERROR(SEARCH("select",T215)&gt;0,0),IF(U215="",IF(MID(T215,SEARCH(H215,T215)-4,1)=" ",MID(T215,SEARCH(H215,T215)-2,LEN(O225)+2),MID(T215,SEARCH(H215,T215)-3,LEN(H215)+3)),U215&amp;"."&amp;H215),T215))</f>
        <v/>
      </c>
      <c r="AE215" t="str">
        <f t="shared" si="28"/>
        <v>[Employed during course]</v>
      </c>
    </row>
    <row r="216" spans="1:34" ht="32" x14ac:dyDescent="0.2">
      <c r="A216">
        <v>100174</v>
      </c>
      <c r="B216" s="11" t="str">
        <f>DataItems3[[#This Row],[Field]]&amp;IF(DataItems3[[#This Row],[Options for supplying the Field]]="",""," "&amp;DataItems3[[#This Row],[Options for supplying the Field]])</f>
        <v>Employer city [EMPCITY] (2019 and prior)</v>
      </c>
      <c r="C216">
        <v>100174</v>
      </c>
      <c r="D216" s="3" t="s">
        <v>151</v>
      </c>
      <c r="F216" s="3" t="s">
        <v>872</v>
      </c>
      <c r="G216" s="13" t="s">
        <v>3030</v>
      </c>
      <c r="H216" s="3" t="s">
        <v>873</v>
      </c>
      <c r="I216" s="3" t="s">
        <v>378</v>
      </c>
      <c r="J216" s="3">
        <v>2</v>
      </c>
      <c r="K216" s="3">
        <v>3</v>
      </c>
      <c r="L216" s="3">
        <v>2</v>
      </c>
      <c r="M216" s="3">
        <v>0</v>
      </c>
      <c r="P216" s="3" t="s">
        <v>874</v>
      </c>
      <c r="Q216" s="16" t="s">
        <v>3031</v>
      </c>
      <c r="R216" s="3" t="s">
        <v>93</v>
      </c>
      <c r="S216" s="16" t="s">
        <v>3032</v>
      </c>
      <c r="V216" s="3" t="s">
        <v>93</v>
      </c>
      <c r="W216" s="57" t="s">
        <v>1975</v>
      </c>
      <c r="X216" t="str">
        <f>DataItems3[[#This Row],[Collection]]&amp;DataItems3[[#This Row],[Field]]&amp;DataItems3[[#This Row],[Options for supplying the Field]]&amp;DataItems3[[#This Row],[Fieldname]]&amp;DataItems3[[#This Row],[Parent]]</f>
        <v>Graduate OutcomesEmployer city[EMPCITY] (2019 and prior)EMPCITYProvider &gt; Graduate &gt; Employment:</v>
      </c>
      <c r="Y216" s="15">
        <v>43550</v>
      </c>
      <c r="Z216" t="s">
        <v>159</v>
      </c>
      <c r="AA216" s="28" t="str">
        <f t="shared" si="30"/>
        <v>CASE WHEN g.dw_fromdate &gt;= 20200801 then 'N/A after 2020/21' when ISNULL(g.ZRESPSTATUS, '02') = '02' OR ISNULL(g.XACTIVITY, '99') = '99' THEN 'Not in GO publication population' WHEN ISNULL(g.EMPCITY, 'UNK') IN ('UNK', '', ' ') THEN 'Unknown/ not applicable' ELSE g.EMPCITY END</v>
      </c>
      <c r="AB216" s="28" t="str">
        <f>IF(S216="","",IF(IFERROR(SEARCH("select",S216)&gt;0,0),IF(U216="",IF(MID(S216,SEARCH(H216,S216)-4,1)=" ",MID(S216,SEARCH(H216,S216)-2,LEN(O226)+2),MID(S216,SEARCH(H216,S216)-3,LEN(H216)+3)),U216&amp;"."&amp;H216),S216))</f>
        <v>CASE  WHEN g.dw_fromdate &gt;= 20200801 then 'N/A after 2020/21' WHEN ISNULL(g.ZRESPSTATUS, '02') = '02' OR ISNULL(g.XACTIVITY, '99') = '99' THEN 'Not in GO publication population' WHEN ISNULL(g.EMPCITY, 'UNK') IN ('UNK', '', ' ') THEN 'Unknown/ not applicable' ELSE g.EMPCITY END</v>
      </c>
      <c r="AC216" s="28" t="str">
        <f t="shared" si="31"/>
        <v/>
      </c>
      <c r="AD216" s="28" t="str">
        <f>IF(T216="","",IF(IFERROR(SEARCH("select",T216)&gt;0,0),IF(U216="",IF(MID(T216,SEARCH(H216,T216)-4,1)=" ",MID(T216,SEARCH(H216,T216)-2,LEN(O226)+2),MID(T216,SEARCH(H216,T216)-3,LEN(H216)+3)),U216&amp;"."&amp;H216),T216))</f>
        <v/>
      </c>
      <c r="AE216" t="str">
        <f t="shared" si="28"/>
        <v>[Employer city]</v>
      </c>
    </row>
    <row r="217" spans="1:34" ht="32" x14ac:dyDescent="0.2">
      <c r="A217">
        <v>100992</v>
      </c>
      <c r="B217" s="11" t="str">
        <f>DataItems3[[#This Row],[Field]]&amp;IF(DataItems3[[#This Row],[Options for supplying the Field]]="",""," "&amp;DataItems3[[#This Row],[Options for supplying the Field]])</f>
        <v>Employer city [EMPCITY] (2020 and onwards)</v>
      </c>
      <c r="C217">
        <v>100992</v>
      </c>
      <c r="D217" s="3" t="s">
        <v>151</v>
      </c>
      <c r="F217" s="3" t="s">
        <v>872</v>
      </c>
      <c r="G217" s="13" t="s">
        <v>3033</v>
      </c>
      <c r="H217" s="3" t="s">
        <v>873</v>
      </c>
      <c r="I217" s="13"/>
      <c r="J217" s="3">
        <v>2</v>
      </c>
      <c r="K217" s="3">
        <v>3</v>
      </c>
      <c r="L217" s="3">
        <v>2</v>
      </c>
      <c r="M217" s="3">
        <v>0</v>
      </c>
      <c r="P217" s="3" t="s">
        <v>874</v>
      </c>
      <c r="Q217" s="16" t="s">
        <v>3034</v>
      </c>
      <c r="S217" s="16" t="s">
        <v>3035</v>
      </c>
      <c r="U217" s="3" t="s">
        <v>873</v>
      </c>
      <c r="W217" s="57" t="s">
        <v>2958</v>
      </c>
      <c r="X217" t="str">
        <f>DataItems3[[#This Row],[Collection]]&amp;DataItems3[[#This Row],[Field]]&amp;DataItems3[[#This Row],[Options for supplying the Field]]&amp;DataItems3[[#This Row],[Fieldname]]&amp;DataItems3[[#This Row],[Parent]]</f>
        <v>Graduate OutcomesEmployer city[EMPCITY] (2020 and onwards)EMPCITYProvider &gt; Graduate &gt; Employment:</v>
      </c>
      <c r="Y217" s="15">
        <v>45204</v>
      </c>
      <c r="AA217" s="28" t="str">
        <f t="shared" si="30"/>
        <v>CASE WHEN g.dw_fromdate &lt; 20200801 then 'N/A before 2020/21' WHEN ISNULL(g.ZRESPSTATUS, '02') = '02' OR ISNULL(g.XACTIVITY, '99') = '99' THEN 'Not in GO publication population' WHEN ISNULL(g.EMPCITY, 'UNK') IN ('UNK', '', ' ') THEN 'Unknown/ not applicable' ELSE g.EMPCITY END</v>
      </c>
      <c r="AB217" s="28" t="str">
        <f t="shared" ref="AB217:AB229" si="32">IF(S217="","",IF(IFERROR(SEARCH("select",S217)&gt;0,0),IF(U217="",IF(MID(S217,SEARCH(H217,S217)-4,1)=" ",MID(S217,SEARCH(H217,S217)-2,LEN(O226)+2),MID(S217,SEARCH(H217,S217)-3,LEN(H217)+3)),U217&amp;"."&amp;H217),S217))</f>
        <v>CASE  WHEN g.dw_fromdate &lt; 20200801 then 'N/A before 2020/21' WHEN ISNULL(g.ZRESPSTATUS, '02') = '02' OR ISNULL(g.XACTIVITY, '99') = '99' THEN 'Not in GO publication population' WHEN ISNULL(g.EMPCITY, 'UNK') IN ('UNK', '', ' ') THEN 'Unknown/ not applicable' ELSE isnull(EMPCITY.label,g.empcity) END</v>
      </c>
      <c r="AC217" s="28" t="str">
        <f>IF(T217="","",T217)</f>
        <v/>
      </c>
      <c r="AD217" s="28" t="str">
        <f t="shared" ref="AD217:AD229" si="33">IF(T217="","",IF(IFERROR(SEARCH("select",T217)&gt;0,0),IF(U217="",IF(MID(T217,SEARCH(H217,T217)-4,1)=" ",MID(T217,SEARCH(H217,T217)-2,LEN(O226)+2),MID(T217,SEARCH(H217,T217)-3,LEN(H217)+3)),U217&amp;"."&amp;H217),T217))</f>
        <v/>
      </c>
      <c r="AE217" s="28" t="str">
        <f t="shared" si="28"/>
        <v>[Employer city]</v>
      </c>
      <c r="AH217" s="28"/>
    </row>
    <row r="218" spans="1:34" ht="16" x14ac:dyDescent="0.2">
      <c r="A218">
        <v>100175</v>
      </c>
      <c r="B218" s="11" t="str">
        <f>DataItems3[[#This Row],[Field]]&amp;IF(DataItems3[[#This Row],[Options for supplying the Field]]="",""," "&amp;DataItems3[[#This Row],[Options for supplying the Field]])</f>
        <v>Employer country [EMPCOUNTRY]</v>
      </c>
      <c r="C218">
        <v>100175</v>
      </c>
      <c r="D218" s="3" t="s">
        <v>151</v>
      </c>
      <c r="F218" s="3" t="s">
        <v>875</v>
      </c>
      <c r="G218" s="13" t="s">
        <v>876</v>
      </c>
      <c r="H218" s="3" t="s">
        <v>877</v>
      </c>
      <c r="J218" s="3">
        <v>2</v>
      </c>
      <c r="K218" s="3">
        <v>3</v>
      </c>
      <c r="L218" s="3">
        <v>2</v>
      </c>
      <c r="M218" s="3">
        <v>0</v>
      </c>
      <c r="P218" s="3" t="s">
        <v>874</v>
      </c>
      <c r="Q218" s="16" t="s">
        <v>878</v>
      </c>
      <c r="R218" s="3" t="s">
        <v>93</v>
      </c>
      <c r="S218" s="16" t="s">
        <v>879</v>
      </c>
      <c r="U218" s="3" t="s">
        <v>877</v>
      </c>
      <c r="V218" s="3" t="s">
        <v>93</v>
      </c>
      <c r="W218" s="57" t="s">
        <v>2909</v>
      </c>
      <c r="X218" t="str">
        <f>DataItems3[[#This Row],[Collection]]&amp;DataItems3[[#This Row],[Field]]&amp;DataItems3[[#This Row],[Options for supplying the Field]]&amp;DataItems3[[#This Row],[Fieldname]]&amp;DataItems3[[#This Row],[Parent]]</f>
        <v>Graduate OutcomesEmployer country[EMPCOUNTRY]EMPCOUNTRYProvider &gt; Graduate &gt; Employment:</v>
      </c>
      <c r="Y218" s="15">
        <v>43550</v>
      </c>
      <c r="Z218" t="s">
        <v>159</v>
      </c>
      <c r="AA218" s="28" t="str">
        <f t="shared" si="30"/>
        <v>CASE WHEN ISNULL(g.ZRESPSTATUS, '02') = '02' OR ISNULL(g.XACTIVITY, '99') = '99' THEN 'Not in GO publication population' WHEN ISNULL(g.EMPCOUNTRY, 'UNK') IN ('UNK', '', ' ') THEN 'Unknown/ not applicable' ELSE g.EMPCOUNTRY END</v>
      </c>
      <c r="AB218" s="28" t="str">
        <f t="shared" si="32"/>
        <v>CASE WHEN ISNULL(g.ZRESPSTATUS, '02') = '02' OR ISNULL(g.XACTIVITY, '99') = '99' THEN 'Not in GO publication population' WHEN ISNULL(g.EMPCOUNTRY, 'UNK') IN ('UNK', '', ' ') THEN 'Unknown/ not applicable' ELSE EMPCOUNTRY.label END</v>
      </c>
      <c r="AC218" s="28" t="str">
        <f t="shared" ref="AC218:AC237" si="34">IF(R218="","",R218)</f>
        <v/>
      </c>
      <c r="AD218" s="28" t="str">
        <f t="shared" si="33"/>
        <v/>
      </c>
      <c r="AE218" t="str">
        <f t="shared" si="28"/>
        <v>[Employer country]</v>
      </c>
    </row>
    <row r="219" spans="1:34" ht="16" x14ac:dyDescent="0.2">
      <c r="A219">
        <v>100178</v>
      </c>
      <c r="B219" s="11" t="str">
        <f>DataItems3[[#This Row],[Field]]&amp;IF(DataItems3[[#This Row],[Options for supplying the Field]]="",""," "&amp;DataItems3[[#This Row],[Options for supplying the Field]])</f>
        <v>Employer location [EMPPLOC]</v>
      </c>
      <c r="C219">
        <v>100178</v>
      </c>
      <c r="D219" s="3" t="s">
        <v>151</v>
      </c>
      <c r="F219" s="3" t="s">
        <v>880</v>
      </c>
      <c r="G219" s="13" t="s">
        <v>881</v>
      </c>
      <c r="H219" s="3" t="s">
        <v>882</v>
      </c>
      <c r="J219" s="3">
        <v>2</v>
      </c>
      <c r="K219" s="3">
        <v>2</v>
      </c>
      <c r="L219" s="3">
        <v>2</v>
      </c>
      <c r="M219" s="3">
        <v>0</v>
      </c>
      <c r="P219" s="3" t="s">
        <v>874</v>
      </c>
      <c r="Q219" s="16" t="s">
        <v>883</v>
      </c>
      <c r="R219" s="3" t="s">
        <v>93</v>
      </c>
      <c r="S219" s="16" t="s">
        <v>884</v>
      </c>
      <c r="U219" s="3" t="s">
        <v>885</v>
      </c>
      <c r="V219" s="3" t="s">
        <v>93</v>
      </c>
      <c r="W219" s="57" t="s">
        <v>2909</v>
      </c>
      <c r="X219" t="str">
        <f>DataItems3[[#This Row],[Collection]]&amp;DataItems3[[#This Row],[Field]]&amp;DataItems3[[#This Row],[Options for supplying the Field]]&amp;DataItems3[[#This Row],[Fieldname]]&amp;DataItems3[[#This Row],[Parent]]</f>
        <v>Graduate OutcomesEmployer location[EMPPLOC]EMPPLOCProvider &gt; Graduate &gt; Employment:</v>
      </c>
      <c r="Y219" s="15">
        <v>43550</v>
      </c>
      <c r="Z219" t="s">
        <v>159</v>
      </c>
      <c r="AA219" s="28" t="str">
        <f t="shared" si="30"/>
        <v>CASE WHEN ISNULL(g.ZRESPSTATUS, '02')='02' OR ISNULL(g.XACTIVITY, '99')='99' THEN 'Not in GO publication population' else IIF(isnull(g.EMPPLOC,'')='','N/A',g.EMPPLOC) end</v>
      </c>
      <c r="AB219" s="28" t="str">
        <f t="shared" si="32"/>
        <v>CASE WHEN ISNULL(g.ZRESPSTATUS, '02')='02' OR ISNULL(g.XACTIVITY, '99')='99' THEN 'Not in GO publication population' else IIF(isnull(g.EMPPLOC,'')='','N/A',EMPPLOC.label) end</v>
      </c>
      <c r="AC219" s="28" t="str">
        <f t="shared" si="34"/>
        <v/>
      </c>
      <c r="AD219" s="28" t="str">
        <f t="shared" si="33"/>
        <v/>
      </c>
      <c r="AE219" t="str">
        <f t="shared" si="28"/>
        <v>[Employer location]</v>
      </c>
    </row>
    <row r="220" spans="1:34" ht="64" x14ac:dyDescent="0.2">
      <c r="A220">
        <v>100180</v>
      </c>
      <c r="B220" s="11" t="str">
        <f>DataItems3[[#This Row],[Field]]&amp;IF(DataItems3[[#This Row],[Options for supplying the Field]]="",""," "&amp;DataItems3[[#This Row],[Options for supplying the Field]])</f>
        <v>Employer name (restricted to show only those employers with 3 or more leavers in employment)</v>
      </c>
      <c r="C220">
        <v>100180</v>
      </c>
      <c r="D220" s="3" t="s">
        <v>146</v>
      </c>
      <c r="F220" s="3" t="s">
        <v>886</v>
      </c>
      <c r="G220" s="13" t="s">
        <v>887</v>
      </c>
      <c r="H220" s="14" t="s">
        <v>93</v>
      </c>
      <c r="J220" s="3">
        <v>10</v>
      </c>
      <c r="K220" s="3">
        <v>5</v>
      </c>
      <c r="L220" s="3">
        <v>4</v>
      </c>
      <c r="M220" s="3">
        <v>0</v>
      </c>
      <c r="N220" s="3" t="s">
        <v>89</v>
      </c>
      <c r="Q220" s="16" t="s">
        <v>93</v>
      </c>
      <c r="R220" s="3" t="s">
        <v>93</v>
      </c>
      <c r="S220" s="16" t="s">
        <v>93</v>
      </c>
      <c r="U220" s="3" t="s">
        <v>93</v>
      </c>
      <c r="V220" s="3" t="s">
        <v>93</v>
      </c>
      <c r="W220" s="57" t="s">
        <v>2926</v>
      </c>
      <c r="X220" t="str">
        <f>DataItems3[[#This Row],[Collection]]&amp;DataItems3[[#This Row],[Field]]&amp;DataItems3[[#This Row],[Options for supplying the Field]]&amp;DataItems3[[#This Row],[Fieldname]]&amp;DataItems3[[#This Row],[Parent]]</f>
        <v>DLHEEmployer name(restricted to show only those employers with 3 or more leavers in employment)</v>
      </c>
      <c r="Y220" s="15">
        <v>43416</v>
      </c>
      <c r="Z220" t="s">
        <v>95</v>
      </c>
      <c r="AA220" s="28" t="str">
        <f t="shared" si="30"/>
        <v/>
      </c>
      <c r="AB220" s="28" t="str">
        <f t="shared" si="32"/>
        <v/>
      </c>
      <c r="AC220" s="28" t="str">
        <f t="shared" si="34"/>
        <v/>
      </c>
      <c r="AD220" s="28" t="str">
        <f t="shared" si="33"/>
        <v/>
      </c>
      <c r="AE220" t="str">
        <f t="shared" si="28"/>
        <v>[Employer name]</v>
      </c>
    </row>
    <row r="221" spans="1:34" ht="80" x14ac:dyDescent="0.2">
      <c r="A221">
        <v>100179</v>
      </c>
      <c r="B221" s="11" t="str">
        <f>DataItems3[[#This Row],[Field]]&amp;IF(DataItems3[[#This Row],[Options for supplying the Field]]="",""," "&amp;DataItems3[[#This Row],[Options for supplying the Field]])</f>
        <v>Employer name (restricted to show only those employers with 3 or more leavers in employment) [ZSUPEMPNAME]</v>
      </c>
      <c r="C221">
        <v>100179</v>
      </c>
      <c r="D221" s="3" t="s">
        <v>151</v>
      </c>
      <c r="F221" s="3" t="s">
        <v>886</v>
      </c>
      <c r="G221" s="13" t="s">
        <v>888</v>
      </c>
      <c r="H221" s="3" t="s">
        <v>889</v>
      </c>
      <c r="I221" s="3" t="s">
        <v>890</v>
      </c>
      <c r="J221" s="3">
        <v>2</v>
      </c>
      <c r="K221" s="3">
        <v>10</v>
      </c>
      <c r="L221" s="3">
        <v>4</v>
      </c>
      <c r="M221" s="3">
        <v>0</v>
      </c>
      <c r="P221" s="3" t="s">
        <v>874</v>
      </c>
      <c r="Q221" s="16" t="s">
        <v>891</v>
      </c>
      <c r="R221" s="3" t="s">
        <v>93</v>
      </c>
      <c r="S221" s="16" t="s">
        <v>892</v>
      </c>
      <c r="U221" s="3" t="s">
        <v>893</v>
      </c>
      <c r="V221" s="3" t="s">
        <v>93</v>
      </c>
      <c r="W221" s="57" t="s">
        <v>1699</v>
      </c>
      <c r="X221" t="str">
        <f>DataItems3[[#This Row],[Collection]]&amp;DataItems3[[#This Row],[Field]]&amp;DataItems3[[#This Row],[Options for supplying the Field]]&amp;DataItems3[[#This Row],[Fieldname]]&amp;DataItems3[[#This Row],[Parent]]</f>
        <v>Graduate OutcomesEmployer name(restricted to show only those employers with 3 or more leavers in employment) [ZSUPEMPNAME]EMPNAMEProvider &gt; Graduate &gt; Employment:</v>
      </c>
      <c r="Y221" s="15">
        <v>43550</v>
      </c>
      <c r="Z221" t="s">
        <v>159</v>
      </c>
      <c r="AA221" s="28" t="str">
        <f t="shared" si="30"/>
        <v>CASE WHEN ISNULL(g.ZRESPSTATUS, '02')='02' OR ISNULL(g.XACTIVITY, '99')='99' THEN 'Not in GO publication population' WHEN t.counter &gt;= 3 THEN IIF(t.ZSUPEMPNAME='','Not applicable',t.ZSUPEMPNAME) ELSE 'Not applicable' END</v>
      </c>
      <c r="AB221" s="28" t="str">
        <f t="shared" si="32"/>
        <v>CASE WHEN t.counter &gt;= 3 THEN IIF(t.ZSUPEMPNAME='','Not applicable',t.ZSUPEMPNAME) ELSE 'Not applicable' END</v>
      </c>
      <c r="AC221" s="28" t="str">
        <f t="shared" si="34"/>
        <v/>
      </c>
      <c r="AD221" s="28" t="str">
        <f t="shared" si="33"/>
        <v/>
      </c>
      <c r="AE221" t="str">
        <f t="shared" si="28"/>
        <v>[Employer name]</v>
      </c>
    </row>
    <row r="222" spans="1:34" ht="16" x14ac:dyDescent="0.2">
      <c r="A222">
        <v>100181</v>
      </c>
      <c r="B222" s="11" t="str">
        <f>DataItems3[[#This Row],[Field]]&amp;IF(DataItems3[[#This Row],[Options for supplying the Field]]="",""," "&amp;DataItems3[[#This Row],[Options for supplying the Field]])</f>
        <v>Employer postcode [EMPPCODE]</v>
      </c>
      <c r="C222">
        <v>100181</v>
      </c>
      <c r="D222" s="3" t="s">
        <v>151</v>
      </c>
      <c r="F222" s="3" t="s">
        <v>894</v>
      </c>
      <c r="G222" s="13" t="s">
        <v>895</v>
      </c>
      <c r="H222" s="3" t="s">
        <v>896</v>
      </c>
      <c r="I222" s="3" t="s">
        <v>378</v>
      </c>
      <c r="J222" s="3">
        <v>2</v>
      </c>
      <c r="K222" s="3">
        <v>10</v>
      </c>
      <c r="L222" s="3">
        <v>4</v>
      </c>
      <c r="M222" s="3">
        <v>0</v>
      </c>
      <c r="P222" s="3" t="s">
        <v>874</v>
      </c>
      <c r="Q222" s="16" t="s">
        <v>897</v>
      </c>
      <c r="R222" s="3" t="s">
        <v>93</v>
      </c>
      <c r="S222" s="16" t="s">
        <v>898</v>
      </c>
      <c r="U222" s="3" t="s">
        <v>93</v>
      </c>
      <c r="V222" s="3" t="s">
        <v>93</v>
      </c>
      <c r="W222" s="57" t="s">
        <v>2958</v>
      </c>
      <c r="X222" t="str">
        <f>DataItems3[[#This Row],[Collection]]&amp;DataItems3[[#This Row],[Field]]&amp;DataItems3[[#This Row],[Options for supplying the Field]]&amp;DataItems3[[#This Row],[Fieldname]]&amp;DataItems3[[#This Row],[Parent]]</f>
        <v>Graduate OutcomesEmployer postcode[EMPPCODE]EMPPCODEProvider &gt; Graduate &gt; Employment:</v>
      </c>
      <c r="Y222" s="15">
        <v>43550</v>
      </c>
      <c r="Z222" t="s">
        <v>159</v>
      </c>
      <c r="AA222" s="28" t="str">
        <f t="shared" si="30"/>
        <v>CASE WHEN ISNULL(g.ZRESPSTATUS, '02') = '02' OR ISNULL(g.XACTIVITY, '99') = '99' THEN 'Not in GO publication population' WHEN ISNULL(g.EMPPCODE, '99999999') IN ('99999999', '', ' ', '#', '.', '.3.3.3.3','[DC prefers not to say]', ']', 'did not want to reveal the rest','-cb') THEN '99999999' WHEN SUBSTRING(g.EMPPCODE,1,4) = ' Don' THEN '99999999' WHEN SUBSTRING(g.EMPPCODE,1,1) = ' ' THEN SUBSTRING(g.EMPPCODE,2,100) ELSE g.EMPPCODE END</v>
      </c>
      <c r="AB222" s="28" t="str">
        <f t="shared" si="32"/>
        <v>CASE WHEN ISNULL(g.ZRESPSTATUS, '02') = '02' OR ISNULL(g.XACTIVITY, '99') = '99' THEN 'Not in GO publication population' WHEN ISNULL(g.EMPPCODE, '99999999') IN ('99999999', '', ' ', '#', '.', '.3.3.3.3', '[DC prefers not to say]', ']', 'did not want to reveal the rest','-cb') THEN '99999999' WHEN SUBSTRING(g.EMPPCODE,1,4) = ' Don' THEN '99999999' WHEN SUBSTRING(g.EMPPCODE,1,1) = ' ' THEN SUBSTRING(g.EMPPCODE,2,100) ELSE g.EMPPCODE END</v>
      </c>
      <c r="AC222" s="28" t="str">
        <f t="shared" si="34"/>
        <v/>
      </c>
      <c r="AD222" s="28" t="str">
        <f t="shared" si="33"/>
        <v/>
      </c>
      <c r="AE222" t="str">
        <f t="shared" si="28"/>
        <v>[Employer postcode]</v>
      </c>
    </row>
    <row r="223" spans="1:34" ht="32" x14ac:dyDescent="0.2">
      <c r="A223">
        <v>100182</v>
      </c>
      <c r="B223" s="11" t="str">
        <f>DataItems3[[#This Row],[Field]]&amp;IF(DataItems3[[#This Row],[Options for supplying the Field]]="",""," "&amp;DataItems3[[#This Row],[Options for supplying the Field]])</f>
        <v>Employer postcode unknown [EMPPCODE_UNKNOWN]</v>
      </c>
      <c r="C223">
        <v>100182</v>
      </c>
      <c r="D223" s="3" t="s">
        <v>151</v>
      </c>
      <c r="F223" s="3" t="s">
        <v>899</v>
      </c>
      <c r="G223" s="13" t="s">
        <v>900</v>
      </c>
      <c r="H223" s="3" t="s">
        <v>901</v>
      </c>
      <c r="J223" s="3">
        <v>2</v>
      </c>
      <c r="K223" s="3">
        <v>1</v>
      </c>
      <c r="L223" s="3">
        <v>0</v>
      </c>
      <c r="M223" s="3">
        <v>0</v>
      </c>
      <c r="P223" s="3" t="s">
        <v>874</v>
      </c>
      <c r="Q223" s="16" t="s">
        <v>902</v>
      </c>
      <c r="R223" s="3" t="s">
        <v>93</v>
      </c>
      <c r="S223" s="16" t="s">
        <v>903</v>
      </c>
      <c r="U223" s="3" t="s">
        <v>904</v>
      </c>
      <c r="V223" s="3" t="s">
        <v>93</v>
      </c>
      <c r="W223" s="57" t="s">
        <v>2909</v>
      </c>
      <c r="X223" t="str">
        <f>DataItems3[[#This Row],[Collection]]&amp;DataItems3[[#This Row],[Field]]&amp;DataItems3[[#This Row],[Options for supplying the Field]]&amp;DataItems3[[#This Row],[Fieldname]]&amp;DataItems3[[#This Row],[Parent]]</f>
        <v>Graduate OutcomesEmployer postcode unknown[EMPPCODE_UNKNOWN]EMPPCODE_UNKNOWNProvider &gt; Graduate &gt; Employment:</v>
      </c>
      <c r="Y223" s="15">
        <v>43550</v>
      </c>
      <c r="Z223" t="s">
        <v>159</v>
      </c>
      <c r="AA223" s="28" t="str">
        <f t="shared" si="30"/>
        <v>CASE WHEN ISNULL(g.ZRESPSTATUS, '02')='02' OR ISNULL(g.XACTIVITY, '99')='99' THEN 'Not in GO publication population' else IIF(isnull(g.EMPPCODE_UNKNOWN,'')='','N/A',g.EMPPCODE_UNKNOWN) end</v>
      </c>
      <c r="AB223" s="28" t="str">
        <f t="shared" si="32"/>
        <v>CASE WHEN ISNULL(g.ZRESPSTATUS, '02')='02' OR ISNULL(g.XACTIVITY, '99')='99' THEN 'Not in GO publication population' else IIF(isnull(g.EMPPCODE_UNKNOWN,'')='','N/A',EMPPCODE.label) end</v>
      </c>
      <c r="AC223" s="28" t="str">
        <f t="shared" si="34"/>
        <v/>
      </c>
      <c r="AD223" s="28" t="str">
        <f t="shared" si="33"/>
        <v/>
      </c>
      <c r="AE223" t="str">
        <f t="shared" si="28"/>
        <v>[Employer postcode unknown]</v>
      </c>
    </row>
    <row r="224" spans="1:34" ht="16" x14ac:dyDescent="0.2">
      <c r="A224">
        <v>100183</v>
      </c>
      <c r="B224" s="11" t="str">
        <f>DataItems3[[#This Row],[Field]]&amp;IF(DataItems3[[#This Row],[Options for supplying the Field]]="",""," "&amp;DataItems3[[#This Row],[Options for supplying the Field]])</f>
        <v>Employer size</v>
      </c>
      <c r="C224">
        <v>100183</v>
      </c>
      <c r="D224" s="3" t="s">
        <v>146</v>
      </c>
      <c r="F224" s="3" t="s">
        <v>905</v>
      </c>
      <c r="G224" s="13"/>
      <c r="H224" s="14" t="s">
        <v>93</v>
      </c>
      <c r="J224" s="3">
        <v>1</v>
      </c>
      <c r="K224" s="3">
        <v>3</v>
      </c>
      <c r="L224" s="3">
        <v>0</v>
      </c>
      <c r="M224" s="3">
        <v>0</v>
      </c>
      <c r="N224" s="3" t="s">
        <v>89</v>
      </c>
      <c r="Q224" s="16" t="s">
        <v>93</v>
      </c>
      <c r="R224" s="3" t="s">
        <v>93</v>
      </c>
      <c r="S224" s="16" t="s">
        <v>93</v>
      </c>
      <c r="U224" s="3" t="s">
        <v>93</v>
      </c>
      <c r="V224" s="3" t="s">
        <v>93</v>
      </c>
      <c r="W224" s="57" t="s">
        <v>2926</v>
      </c>
      <c r="X224" t="str">
        <f>DataItems3[[#This Row],[Collection]]&amp;DataItems3[[#This Row],[Field]]&amp;DataItems3[[#This Row],[Options for supplying the Field]]&amp;DataItems3[[#This Row],[Fieldname]]&amp;DataItems3[[#This Row],[Parent]]</f>
        <v>DLHEEmployer size</v>
      </c>
      <c r="Y224" s="15">
        <v>43416</v>
      </c>
      <c r="Z224" t="s">
        <v>95</v>
      </c>
      <c r="AA224" s="28" t="str">
        <f t="shared" si="30"/>
        <v/>
      </c>
      <c r="AB224" s="28" t="str">
        <f t="shared" si="32"/>
        <v/>
      </c>
      <c r="AC224" s="28" t="str">
        <f t="shared" si="34"/>
        <v/>
      </c>
      <c r="AD224" s="28" t="str">
        <f t="shared" si="33"/>
        <v/>
      </c>
      <c r="AE224" t="str">
        <f t="shared" si="28"/>
        <v>[Employer size]</v>
      </c>
    </row>
    <row r="225" spans="1:34" ht="16" x14ac:dyDescent="0.2">
      <c r="A225">
        <v>100184</v>
      </c>
      <c r="B225" s="11" t="str">
        <f>DataItems3[[#This Row],[Field]]&amp;IF(DataItems3[[#This Row],[Options for supplying the Field]]="",""," "&amp;DataItems3[[#This Row],[Options for supplying the Field]])</f>
        <v>Employment - Standard Industrial Classification (SIC) 2007⁽¹⁾ (4 digit) [XEMP2007SIC]</v>
      </c>
      <c r="C225">
        <v>100184</v>
      </c>
      <c r="D225" s="3" t="s">
        <v>151</v>
      </c>
      <c r="F225" s="3" t="str">
        <f>"Employment - Standard Industrial Classification (SIC) 2007"&amp;"⁽"&amp;CHAR(185)&amp;"⁾"</f>
        <v>Employment - Standard Industrial Classification (SIC) 2007⁽¹⁾</v>
      </c>
      <c r="G225" s="13" t="s">
        <v>906</v>
      </c>
      <c r="H225" s="3" t="s">
        <v>907</v>
      </c>
      <c r="J225" s="3">
        <v>1</v>
      </c>
      <c r="K225" s="3">
        <v>4</v>
      </c>
      <c r="L225" s="3">
        <v>2</v>
      </c>
      <c r="M225" s="3">
        <v>0</v>
      </c>
      <c r="P225" s="3" t="s">
        <v>323</v>
      </c>
      <c r="Q225" s="16" t="s">
        <v>908</v>
      </c>
      <c r="R225" s="3" t="s">
        <v>93</v>
      </c>
      <c r="S225" s="16" t="s">
        <v>909</v>
      </c>
      <c r="U225" s="3" t="s">
        <v>907</v>
      </c>
      <c r="V225" s="3" t="s">
        <v>93</v>
      </c>
      <c r="W225" s="57" t="s">
        <v>2909</v>
      </c>
      <c r="X225" t="str">
        <f>DataItems3[[#This Row],[Collection]]&amp;DataItems3[[#This Row],[Field]]&amp;DataItems3[[#This Row],[Options for supplying the Field]]&amp;DataItems3[[#This Row],[Fieldname]]&amp;DataItems3[[#This Row],[Parent]]</f>
        <v>Graduate OutcomesEmployment - Standard Industrial Classification (SIC) 2007⁽¹⁾(4 digit) [XEMP2007SIC]XEMP2007SICProvider &gt; Derived Field</v>
      </c>
      <c r="Y225" s="15">
        <v>43550</v>
      </c>
      <c r="Z225" t="s">
        <v>159</v>
      </c>
      <c r="AA225" s="28" t="str">
        <f t="shared" si="30"/>
        <v>CASE WHEN ISNULL(g.ZRESPSTATUS, '02')='02' OR ISNULL(g.XACTIVITY, '99')='99' THEN 'Not in GO publication population' when isnull(g.XEMP2007SIC,'9999') IN ('$$$$','9999') THEN 'NA/UNK' else ISNULL(g.XEMP2007SIC,'NA/UNK') END</v>
      </c>
      <c r="AB225" s="28" t="str">
        <f t="shared" si="32"/>
        <v>CASE WHEN ISNULL(g.ZRESPSTATUS, '02')='02' OR ISNULL(g.XACTIVITY, '99')='99' THEN 'Not in GO publication population' when isnull(g.XEMP2007SIC,'9999') IN ('$$$$','9999') THEN 'NA/UNK' else ISNULL(XEMP2007SIC.label,'NA/UNK') END</v>
      </c>
      <c r="AC225" s="28" t="str">
        <f t="shared" si="34"/>
        <v/>
      </c>
      <c r="AD225" s="28" t="str">
        <f t="shared" si="33"/>
        <v/>
      </c>
      <c r="AE225" t="str">
        <f t="shared" si="28"/>
        <v>[Employment - Standard Industrial Classification (SIC) 2007]</v>
      </c>
    </row>
    <row r="226" spans="1:34" ht="32" x14ac:dyDescent="0.2">
      <c r="A226">
        <v>100185</v>
      </c>
      <c r="B226" s="11" t="str">
        <f>DataItems3[[#This Row],[Field]]&amp;IF(DataItems3[[#This Row],[Options for supplying the Field]]="",""," "&amp;DataItems3[[#This Row],[Options for supplying the Field]])</f>
        <v>Employment - Standard Industrial Classification (SIC) 2007⁽¹⁾ (1 digit) [XEMP2007SIC1]</v>
      </c>
      <c r="C226">
        <v>100185</v>
      </c>
      <c r="D226" s="3" t="s">
        <v>151</v>
      </c>
      <c r="F226" s="3" t="str">
        <f>"Employment - Standard Industrial Classification (SIC) 2007"&amp;"⁽"&amp;CHAR(185)&amp;"⁾"</f>
        <v>Employment - Standard Industrial Classification (SIC) 2007⁽¹⁾</v>
      </c>
      <c r="G226" s="13" t="s">
        <v>910</v>
      </c>
      <c r="H226" s="3" t="s">
        <v>911</v>
      </c>
      <c r="J226" s="3">
        <v>1</v>
      </c>
      <c r="K226" s="3">
        <v>3</v>
      </c>
      <c r="L226" s="3">
        <v>0</v>
      </c>
      <c r="M226" s="3">
        <v>0</v>
      </c>
      <c r="P226" s="3" t="s">
        <v>323</v>
      </c>
      <c r="Q226" s="16" t="s">
        <v>912</v>
      </c>
      <c r="R226" s="3" t="s">
        <v>93</v>
      </c>
      <c r="S226" s="16" t="s">
        <v>3036</v>
      </c>
      <c r="U226" s="3" t="s">
        <v>911</v>
      </c>
      <c r="V226" s="3" t="s">
        <v>93</v>
      </c>
      <c r="W226" s="57" t="s">
        <v>2909</v>
      </c>
      <c r="X226" t="str">
        <f>DataItems3[[#This Row],[Collection]]&amp;DataItems3[[#This Row],[Field]]&amp;DataItems3[[#This Row],[Options for supplying the Field]]&amp;DataItems3[[#This Row],[Fieldname]]&amp;DataItems3[[#This Row],[Parent]]</f>
        <v>Graduate OutcomesEmployment - Standard Industrial Classification (SIC) 2007⁽¹⁾(1 digit) [XEMP2007SIC1]XEMP2007SIC1Provider &gt; Derived Field</v>
      </c>
      <c r="Y226" s="15">
        <v>43550</v>
      </c>
      <c r="Z226" t="s">
        <v>159</v>
      </c>
      <c r="AA226" s="28" t="str">
        <f t="shared" si="30"/>
        <v>CASE WHEN ISNULL(g.ZRESPSTATUS, '02')='02' OR ISNULL(g.XACTIVITY, '99')='99' THEN 'Not in GO publication population' WHEN isnull(g.XEMP2007SIC1,'9') IN ('$','9','_','V') THEN 'V' else ISNULL(g.XEMP2007SIC1,'NA/UNK') END</v>
      </c>
      <c r="AB226" s="28" t="str">
        <f t="shared" si="32"/>
        <v>CASE WHEN ISNULL(g.ZRESPSTATUS, '02')='02' OR ISNULL(g.XACTIVITY, '99')='99' THEN 'Not in GO publication population' WHEN isnull(g.XEMP2007SIC1,'9') IN ('$','9','_','V') THEN '(V) Not known' else ISNULL(XEMP2007SIC1.label,'NA/UNK') END</v>
      </c>
      <c r="AC226" s="28" t="str">
        <f t="shared" si="34"/>
        <v/>
      </c>
      <c r="AD226" s="28" t="str">
        <f t="shared" si="33"/>
        <v/>
      </c>
      <c r="AE226" t="str">
        <f t="shared" si="28"/>
        <v>[Employment - Standard Industrial Classification (SIC) 2007]</v>
      </c>
    </row>
    <row r="227" spans="1:34" ht="32" x14ac:dyDescent="0.2">
      <c r="A227">
        <v>100186</v>
      </c>
      <c r="B227" s="11" t="str">
        <f>DataItems3[[#This Row],[Field]]&amp;IF(DataItems3[[#This Row],[Options for supplying the Field]]="",""," "&amp;DataItems3[[#This Row],[Options for supplying the Field]])</f>
        <v>Employment - Standard Industrial Classification (SIC) 2007⁽¹⁾ (2 digit) [XEMP2007SIC2]</v>
      </c>
      <c r="C227">
        <v>100186</v>
      </c>
      <c r="D227" s="3" t="s">
        <v>151</v>
      </c>
      <c r="F227" s="3" t="str">
        <f>"Employment - Standard Industrial Classification (SIC) 2007"&amp;"⁽"&amp;CHAR(185)&amp;"⁾"</f>
        <v>Employment - Standard Industrial Classification (SIC) 2007⁽¹⁾</v>
      </c>
      <c r="G227" s="13" t="s">
        <v>913</v>
      </c>
      <c r="H227" s="3" t="s">
        <v>914</v>
      </c>
      <c r="J227" s="3">
        <v>1</v>
      </c>
      <c r="K227" s="3">
        <v>3</v>
      </c>
      <c r="L227" s="3">
        <v>0</v>
      </c>
      <c r="M227" s="3">
        <v>0</v>
      </c>
      <c r="P227" s="3" t="s">
        <v>323</v>
      </c>
      <c r="Q227" s="16" t="s">
        <v>915</v>
      </c>
      <c r="R227" s="3" t="s">
        <v>93</v>
      </c>
      <c r="S227" s="16" t="s">
        <v>916</v>
      </c>
      <c r="U227" s="3" t="s">
        <v>914</v>
      </c>
      <c r="V227" s="3" t="s">
        <v>93</v>
      </c>
      <c r="W227" s="57" t="s">
        <v>2909</v>
      </c>
      <c r="X227" t="str">
        <f>DataItems3[[#This Row],[Collection]]&amp;DataItems3[[#This Row],[Field]]&amp;DataItems3[[#This Row],[Options for supplying the Field]]&amp;DataItems3[[#This Row],[Fieldname]]&amp;DataItems3[[#This Row],[Parent]]</f>
        <v>Graduate OutcomesEmployment - Standard Industrial Classification (SIC) 2007⁽¹⁾(2 digit) [XEMP2007SIC2]XEMP2007SIC2Provider &gt; Derived Field</v>
      </c>
      <c r="Y227" s="15">
        <v>43550</v>
      </c>
      <c r="Z227" t="s">
        <v>159</v>
      </c>
      <c r="AA227" s="28" t="str">
        <f t="shared" si="30"/>
        <v>CASE WHEN ISNULL(g.ZRESPSTATUS, '02')='02' OR ISNULL(g.XACTIVITY, '99')='99' THEN 'Not in GO publication population' WHEN isnull(g.XEMP2007SIC2,'__') IN ('$$','__') THEN 'NA/UNK' else ISNULL(g.XEMP2007SIC2,'NA/UNK') END</v>
      </c>
      <c r="AB227" s="28" t="str">
        <f t="shared" si="32"/>
        <v>CASE WHEN ISNULL(g.ZRESPSTATUS, '02')='02' OR ISNULL(g.XACTIVITY, '99')='99' THEN 'Not in GO publication population' WHEN isnull(g.XEMP2007SIC2,'__') IN ('$$','__') THEN 'NA/UNK' else ISNULL(XEMP2007SIC2.label,'NA/UNK') END</v>
      </c>
      <c r="AC227" s="28" t="str">
        <f t="shared" si="34"/>
        <v/>
      </c>
      <c r="AD227" s="28" t="str">
        <f t="shared" si="33"/>
        <v/>
      </c>
      <c r="AE227" t="str">
        <f t="shared" si="28"/>
        <v>[Employment - Standard Industrial Classification (SIC) 2007]</v>
      </c>
    </row>
    <row r="228" spans="1:34" ht="32" x14ac:dyDescent="0.2">
      <c r="A228">
        <v>100187</v>
      </c>
      <c r="B228" s="11" t="str">
        <f>DataItems3[[#This Row],[Field]]&amp;IF(DataItems3[[#This Row],[Options for supplying the Field]]="",""," "&amp;DataItems3[[#This Row],[Options for supplying the Field]])</f>
        <v>Employment - Standard Occupational Classification (SOC) 2010⁽¹⁾ (5 digit) [XEMP2010SOC]</v>
      </c>
      <c r="C228">
        <v>100187</v>
      </c>
      <c r="D228" s="3" t="s">
        <v>151</v>
      </c>
      <c r="F228" s="3" t="str">
        <f>"Employment - Standard Occupational Classification (SOC) 2010"&amp;"⁽"&amp;CHAR(185)&amp;"⁾"</f>
        <v>Employment - Standard Occupational Classification (SOC) 2010⁽¹⁾</v>
      </c>
      <c r="G228" s="13" t="s">
        <v>917</v>
      </c>
      <c r="H228" s="3" t="s">
        <v>918</v>
      </c>
      <c r="J228" s="3">
        <v>1</v>
      </c>
      <c r="K228" s="3">
        <v>4</v>
      </c>
      <c r="L228" s="3">
        <v>4</v>
      </c>
      <c r="M228" s="3">
        <v>2</v>
      </c>
      <c r="P228" s="3" t="s">
        <v>323</v>
      </c>
      <c r="Q228" s="16" t="s">
        <v>919</v>
      </c>
      <c r="R228" s="3" t="s">
        <v>93</v>
      </c>
      <c r="S228" s="16" t="s">
        <v>920</v>
      </c>
      <c r="U228" s="3" t="s">
        <v>918</v>
      </c>
      <c r="V228" s="3" t="s">
        <v>93</v>
      </c>
      <c r="W228" s="57" t="s">
        <v>2909</v>
      </c>
      <c r="X228" t="str">
        <f>DataItems3[[#This Row],[Collection]]&amp;DataItems3[[#This Row],[Field]]&amp;DataItems3[[#This Row],[Options for supplying the Field]]&amp;DataItems3[[#This Row],[Fieldname]]&amp;DataItems3[[#This Row],[Parent]]</f>
        <v>Graduate OutcomesEmployment - Standard Occupational Classification (SOC) 2010⁽¹⁾(5 digit) [XEMP2010SOC]XEMP2010SOCProvider &gt; Derived Field</v>
      </c>
      <c r="Y228" s="15">
        <v>43550</v>
      </c>
      <c r="Z228" t="s">
        <v>159</v>
      </c>
      <c r="AA228" s="28" t="str">
        <f t="shared" si="30"/>
        <v>CASE WHEN ISNULL(g.ZRESPSTATUS, '02')='02' OR ISNULL(g.XACTIVITY, '99')='99' THEN 'Not in GO publication population' WHEN g.DW_FromDate &gt;= 20180801 THEN 'Not applicable 2018/19 onwards' WHEN g.XEMP2010SOC IN ('00010','$$$$$','-3') THEN 'NA/UNK' else ISNULL(g.XEMP2010SOC,'NA/UNK') END</v>
      </c>
      <c r="AB228" s="28" t="str">
        <f t="shared" si="32"/>
        <v>CASE WHEN ISNULL(g.ZRESPSTATUS, '02')='02' OR ISNULL(g.XACTIVITY, '99')='99' THEN 'Not in GO publication population' WHEN g.DW_FromDate &gt;= 20180801 THEN 'Not applicable 2018/19 onwards' WHEN g.XEMP2010SOC IN ('00010','$$$$$','-3') THEN 'NA/UNK' else ISNULL(XEMP2010SOC.label,'NA/UNK') END</v>
      </c>
      <c r="AC228" s="28" t="str">
        <f t="shared" si="34"/>
        <v/>
      </c>
      <c r="AD228" s="28" t="str">
        <f t="shared" si="33"/>
        <v/>
      </c>
      <c r="AE228" t="str">
        <f t="shared" si="28"/>
        <v>[Employment - Standard Occupational Classification (SOC) 2010]</v>
      </c>
    </row>
    <row r="229" spans="1:34" ht="32" x14ac:dyDescent="0.2">
      <c r="A229">
        <v>100188</v>
      </c>
      <c r="B229" s="11" t="str">
        <f>DataItems3[[#This Row],[Field]]&amp;IF(DataItems3[[#This Row],[Options for supplying the Field]]="",""," "&amp;DataItems3[[#This Row],[Options for supplying the Field]])</f>
        <v>Employment - Standard Occupational Classification (SOC) 2010⁽¹⁾ (major grouping) [XEMP2010SOC1]</v>
      </c>
      <c r="C229">
        <v>100188</v>
      </c>
      <c r="D229" s="3" t="s">
        <v>151</v>
      </c>
      <c r="F229" s="3" t="str">
        <f>"Employment - Standard Occupational Classification (SOC) 2010"&amp;"⁽"&amp;CHAR(185)&amp;"⁾"</f>
        <v>Employment - Standard Occupational Classification (SOC) 2010⁽¹⁾</v>
      </c>
      <c r="G229" s="13" t="s">
        <v>921</v>
      </c>
      <c r="H229" s="3" t="s">
        <v>922</v>
      </c>
      <c r="J229" s="3">
        <v>1</v>
      </c>
      <c r="K229" s="3">
        <v>2</v>
      </c>
      <c r="L229" s="3">
        <v>0</v>
      </c>
      <c r="M229" s="3">
        <v>0</v>
      </c>
      <c r="P229" s="3" t="s">
        <v>323</v>
      </c>
      <c r="Q229" s="16" t="s">
        <v>923</v>
      </c>
      <c r="R229" s="3" t="s">
        <v>93</v>
      </c>
      <c r="S229" s="16" t="s">
        <v>924</v>
      </c>
      <c r="U229" s="3" t="s">
        <v>922</v>
      </c>
      <c r="V229" s="3" t="s">
        <v>93</v>
      </c>
      <c r="W229" s="57" t="s">
        <v>2909</v>
      </c>
      <c r="X229" t="str">
        <f>DataItems3[[#This Row],[Collection]]&amp;DataItems3[[#This Row],[Field]]&amp;DataItems3[[#This Row],[Options for supplying the Field]]&amp;DataItems3[[#This Row],[Fieldname]]&amp;DataItems3[[#This Row],[Parent]]</f>
        <v>Graduate OutcomesEmployment - Standard Occupational Classification (SOC) 2010⁽¹⁾(major grouping) [XEMP2010SOC1]XEMP2010SOC1Provider &gt; Derived Field</v>
      </c>
      <c r="Y229" s="15">
        <v>43550</v>
      </c>
      <c r="Z229" t="s">
        <v>159</v>
      </c>
      <c r="AA229" s="28" t="str">
        <f t="shared" si="30"/>
        <v>CASE WHEN ISNULL(g.ZRESPSTATUS, '02')='02' OR ISNULL(g.XACTIVITY, '99')='99' THEN 'Not in GO publication population' WHEN g.DW_FromDate &gt;= 20180801 THEN 'Not applicable 2018/19 onwards' WHEN g.XEMP2010SOC1 = '-3' THEN 'X ' else g.XEMP2010SOC1 end</v>
      </c>
      <c r="AB229" s="28" t="str">
        <f t="shared" si="32"/>
        <v>CASE WHEN ISNULL(g.ZRESPSTATUS, '02')='02' OR ISNULL(g.XACTIVITY, '99')='99' THEN 'Not in GO publication population' WHEN g.DW_FromDate &gt;= 20180801 THEN 'Not applicable 2018/19 onwards' WHEN g.XEMP2010SOC1 = '-3' THEN 'Not known/Not applicable' else XEMP2010SOC1.label end</v>
      </c>
      <c r="AC229" s="28" t="str">
        <f t="shared" si="34"/>
        <v/>
      </c>
      <c r="AD229" s="28" t="str">
        <f t="shared" si="33"/>
        <v/>
      </c>
      <c r="AE229" t="str">
        <f t="shared" si="28"/>
        <v>[Employment - Standard Occupational Classification (SOC) 2010]</v>
      </c>
    </row>
    <row r="230" spans="1:34" ht="32" x14ac:dyDescent="0.2">
      <c r="A230">
        <v>100189</v>
      </c>
      <c r="B230" s="11" t="str">
        <f>DataItems3[[#This Row],[Field]]&amp;IF(DataItems3[[#This Row],[Options for supplying the Field]]="",""," "&amp;DataItems3[[#This Row],[Options for supplying the Field]])</f>
        <v>Employment - Standard Occupational Classification (SOC) 2010⁽¹⁾ (minor grouping) [XEMP2010SOC3]</v>
      </c>
      <c r="C230">
        <v>100189</v>
      </c>
      <c r="D230" s="3" t="s">
        <v>151</v>
      </c>
      <c r="F230" s="3" t="str">
        <f>"Employment - Standard Occupational Classification (SOC) 2010"&amp;"⁽"&amp;CHAR(185)&amp;"⁾"</f>
        <v>Employment - Standard Occupational Classification (SOC) 2010⁽¹⁾</v>
      </c>
      <c r="G230" s="13" t="s">
        <v>925</v>
      </c>
      <c r="H230" s="3" t="s">
        <v>926</v>
      </c>
      <c r="J230" s="3">
        <v>1</v>
      </c>
      <c r="K230" s="3">
        <v>3</v>
      </c>
      <c r="L230" s="3">
        <v>2</v>
      </c>
      <c r="M230" s="3">
        <v>0</v>
      </c>
      <c r="P230" s="3" t="s">
        <v>323</v>
      </c>
      <c r="Q230" s="16" t="s">
        <v>927</v>
      </c>
      <c r="R230" s="3" t="s">
        <v>93</v>
      </c>
      <c r="S230" s="16" t="s">
        <v>928</v>
      </c>
      <c r="U230" s="3" t="s">
        <v>926</v>
      </c>
      <c r="V230" s="3" t="s">
        <v>93</v>
      </c>
      <c r="W230" s="57" t="s">
        <v>2909</v>
      </c>
      <c r="X230" t="str">
        <f>DataItems3[[#This Row],[Collection]]&amp;DataItems3[[#This Row],[Field]]&amp;DataItems3[[#This Row],[Options for supplying the Field]]&amp;DataItems3[[#This Row],[Fieldname]]&amp;DataItems3[[#This Row],[Parent]]</f>
        <v>Graduate OutcomesEmployment - Standard Occupational Classification (SOC) 2010⁽¹⁾(minor grouping) [XEMP2010SOC3]XEMP2010SOC3Provider &gt; Derived Field</v>
      </c>
      <c r="Y230" s="15">
        <v>43550</v>
      </c>
      <c r="Z230" t="s">
        <v>159</v>
      </c>
      <c r="AA230" s="28" t="str">
        <f t="shared" si="30"/>
        <v>CASE WHEN ISNULL(g.ZRESPSTATUS, '02')='02' OR ISNULL(g.XACTIVITY, '99')='99' THEN 'Not in GO publication population'  WHEN g.DW_FromDate &gt;= 20180801 THEN 'Not applicable 2018/19 onwards' WHEN G.XEMP2010SOC3 IN ('$$$','___','-3') THEN 'NA/UNK' else ISNULL(G.XEMP2010SOC3,'NA/UNK') END</v>
      </c>
      <c r="AB230" s="28" t="str">
        <f t="shared" ref="AB230:AB237" si="35">IF(S230="","",IF(IFERROR(SEARCH("select",S230)&gt;0,0),IF(U230="",IF(MID(S230,SEARCH(H230,S230)-4,1)=" ",MID(S230,SEARCH(H230,S230)-2,LEN(O240)+2),MID(S230,SEARCH(H230,S230)-3,LEN(H230)+3)),U230&amp;"."&amp;H230),S230))</f>
        <v>CASE WHEN ISNULL(g.ZRESPSTATUS, '02')='02' OR ISNULL(g.XACTIVITY, '99')='99' THEN 'Not in GO publication population'  WHEN g.DW_FromDate &gt;= 20180801 THEN 'Not applicable 2018/19 onwards' WHEN G.XEMP2010SOC3 IN ('$$$','___','-3') THEN 'NA/UNK' else ISNULL(XEMP2010SOC3.label,'NA/UNK') END</v>
      </c>
      <c r="AC230" s="28" t="str">
        <f t="shared" si="34"/>
        <v/>
      </c>
      <c r="AD230" s="28" t="str">
        <f t="shared" ref="AD230:AD237" si="36">IF(T230="","",IF(IFERROR(SEARCH("select",T230)&gt;0,0),IF(U230="",IF(MID(T230,SEARCH(H230,T230)-4,1)=" ",MID(T230,SEARCH(H230,T230)-2,LEN(O240)+2),MID(T230,SEARCH(H230,T230)-3,LEN(H230)+3)),U230&amp;"."&amp;H230),T230))</f>
        <v/>
      </c>
      <c r="AE230" t="str">
        <f t="shared" si="28"/>
        <v>[Employment - Standard Occupational Classification (SOC) 2010]</v>
      </c>
    </row>
    <row r="231" spans="1:34" ht="32" x14ac:dyDescent="0.2">
      <c r="A231">
        <v>100818</v>
      </c>
      <c r="B231" s="11" t="str">
        <f>DataItems3[[#This Row],[Field]]&amp;IF(DataItems3[[#This Row],[Options for supplying the Field]]="",""," "&amp;DataItems3[[#This Row],[Options for supplying the Field]])</f>
        <v>Employment - Standard Occupational Classification (SOC) 2020⁽¹⁾ (4 digit) [XEMP2020SOC]</v>
      </c>
      <c r="C231">
        <v>100818</v>
      </c>
      <c r="D231" s="3" t="s">
        <v>151</v>
      </c>
      <c r="F231" s="3" t="s">
        <v>929</v>
      </c>
      <c r="G231" s="13" t="s">
        <v>930</v>
      </c>
      <c r="H231" s="14" t="s">
        <v>931</v>
      </c>
      <c r="J231" s="3">
        <v>1</v>
      </c>
      <c r="K231" s="3">
        <v>4</v>
      </c>
      <c r="L231" s="3">
        <v>3</v>
      </c>
      <c r="M231" s="3">
        <v>2</v>
      </c>
      <c r="N231" s="3" t="s">
        <v>89</v>
      </c>
      <c r="Q231" s="16" t="s">
        <v>932</v>
      </c>
      <c r="S231" s="16" t="s">
        <v>933</v>
      </c>
      <c r="U231" s="3" t="s">
        <v>934</v>
      </c>
      <c r="W231" s="57" t="s">
        <v>2909</v>
      </c>
      <c r="X231" t="str">
        <f>DataItems3[[#This Row],[Collection]]&amp;DataItems3[[#This Row],[Field]]&amp;DataItems3[[#This Row],[Options for supplying the Field]]&amp;DataItems3[[#This Row],[Fieldname]]&amp;DataItems3[[#This Row],[Parent]]</f>
        <v>Graduate OutcomesEmployment - Standard Occupational Classification (SOC) 2020⁽¹⁾(4 digit) [XEMP2020SOC]F_XEMP2020SOC</v>
      </c>
      <c r="Y231" s="4">
        <v>44404</v>
      </c>
      <c r="Z231" t="s">
        <v>56</v>
      </c>
      <c r="AA231" s="28" t="str">
        <f t="shared" si="30"/>
        <v xml:space="preserve">CASE WHEN ISNULL(g.ZRESPSTATUS, '02')='02'   OR ISNULL(g.XACTIVITY, '99')='99' THEN 'Not in GO publication population'   WHEN ISNULL(g.Xemp2020SOC, '$') IN ('$', '_','$$','__','$$$$','____','0001') THEN 'NA/UNK'   ELSE ISNULL(g.Xemp2020SOC, 'NA/UNK')END </v>
      </c>
      <c r="AB231" s="28" t="str">
        <f t="shared" si="35"/>
        <v xml:space="preserve">CASE WHEN ISNULL(g.ZRESPSTATUS, '02')='02'   OR ISNULL(g.XACTIVITY, '99')='99' THEN 'Not in GO publication population'   WHEN ISNULL(g.Xemp2020SOC, '$') IN ('$', '_','$$','__','$$$$','____','0001') THEN 'NA/UNK'   ELSE ISNULL(Xemp2020SOC.label, 'NA/UNK')END </v>
      </c>
      <c r="AC231" s="28" t="str">
        <f t="shared" si="34"/>
        <v/>
      </c>
      <c r="AD231" s="28" t="str">
        <f t="shared" si="36"/>
        <v/>
      </c>
      <c r="AE231" t="str">
        <f t="shared" si="28"/>
        <v>[Employment - Standard Occupational Classification (SOC) 2020]</v>
      </c>
    </row>
    <row r="232" spans="1:34" ht="32" x14ac:dyDescent="0.2">
      <c r="A232">
        <v>100819</v>
      </c>
      <c r="B232" s="11" t="str">
        <f>DataItems3[[#This Row],[Field]]&amp;IF(DataItems3[[#This Row],[Options for supplying the Field]]="",""," "&amp;DataItems3[[#This Row],[Options for supplying the Field]])</f>
        <v>Employment - Standard Occupational Classification (SOC) 2020⁽¹⁾ (major grouping) [XEMP2020SOC1]</v>
      </c>
      <c r="C232">
        <v>100819</v>
      </c>
      <c r="D232" s="3" t="s">
        <v>151</v>
      </c>
      <c r="F232" s="3" t="s">
        <v>929</v>
      </c>
      <c r="G232" s="13" t="s">
        <v>935</v>
      </c>
      <c r="H232" s="14" t="s">
        <v>936</v>
      </c>
      <c r="J232" s="3">
        <v>1</v>
      </c>
      <c r="K232" s="3">
        <v>2</v>
      </c>
      <c r="L232" s="3">
        <v>0</v>
      </c>
      <c r="M232" s="3">
        <v>0</v>
      </c>
      <c r="N232" s="3" t="s">
        <v>89</v>
      </c>
      <c r="Q232" s="16" t="s">
        <v>937</v>
      </c>
      <c r="S232" s="16" t="s">
        <v>938</v>
      </c>
      <c r="U232" s="3" t="s">
        <v>939</v>
      </c>
      <c r="W232" s="57" t="s">
        <v>2909</v>
      </c>
      <c r="X232" t="str">
        <f>DataItems3[[#This Row],[Collection]]&amp;DataItems3[[#This Row],[Field]]&amp;DataItems3[[#This Row],[Options for supplying the Field]]&amp;DataItems3[[#This Row],[Fieldname]]&amp;DataItems3[[#This Row],[Parent]]</f>
        <v>Graduate OutcomesEmployment - Standard Occupational Classification (SOC) 2020⁽¹⁾(major grouping) [XEMP2020SOC1]F_XEMP2020SOC1</v>
      </c>
      <c r="Y232" s="4">
        <v>44404</v>
      </c>
      <c r="Z232" t="s">
        <v>56</v>
      </c>
      <c r="AA232" s="28" t="str">
        <f t="shared" si="30"/>
        <v xml:space="preserve">CASE WHEN ISNULL(g.ZRESPSTATUS, '02')='02'   OR ISNULL(g.XACTIVITY, '99')='99' THEN 'Not in GO publication population'  WHEN ISNULL(g.Xemp2020SOC1, '$') IN ('$', '_','$$','__','X') THEN 'NA/UNK'  ELSE ISNULL(g.Xemp2020SOC1, 'NA/UNK')END </v>
      </c>
      <c r="AB232" s="28" t="str">
        <f t="shared" si="35"/>
        <v xml:space="preserve">CASE WHEN ISNULL(g.ZRESPSTATUS, '02')='02'   OR ISNULL(g.XACTIVITY, '99')='99' THEN 'Not in GO publication population'  WHEN ISNULL(g.Xemp2020SOC1, '$') IN ('$', '_','$$','__','X') THEN 'NA/UNK'  ELSE ISNULL(Xemp2020SOC1.label, 'NA/UNK')END </v>
      </c>
      <c r="AC232" s="28" t="str">
        <f t="shared" si="34"/>
        <v/>
      </c>
      <c r="AD232" s="28" t="str">
        <f t="shared" si="36"/>
        <v/>
      </c>
      <c r="AE232" t="str">
        <f t="shared" si="28"/>
        <v>[Employment - Standard Occupational Classification (SOC) 2020]</v>
      </c>
    </row>
    <row r="233" spans="1:34" ht="15" customHeight="1" x14ac:dyDescent="0.2">
      <c r="A233">
        <v>100820</v>
      </c>
      <c r="B233" s="11" t="str">
        <f>DataItems3[[#This Row],[Field]]&amp;IF(DataItems3[[#This Row],[Options for supplying the Field]]="",""," "&amp;DataItems3[[#This Row],[Options for supplying the Field]])</f>
        <v>Employment - Standard Occupational Classification (SOC) 2020⁽¹⁾ (minor grouping) [XEMP2020SOC3]</v>
      </c>
      <c r="C233">
        <v>100820</v>
      </c>
      <c r="D233" s="3" t="s">
        <v>151</v>
      </c>
      <c r="F233" s="3" t="s">
        <v>929</v>
      </c>
      <c r="G233" s="13" t="s">
        <v>940</v>
      </c>
      <c r="H233" s="14" t="s">
        <v>941</v>
      </c>
      <c r="J233" s="3">
        <v>1</v>
      </c>
      <c r="K233" s="3">
        <v>3</v>
      </c>
      <c r="L233" s="3">
        <v>0</v>
      </c>
      <c r="M233" s="3">
        <v>0</v>
      </c>
      <c r="N233" s="3" t="s">
        <v>89</v>
      </c>
      <c r="Q233" s="16" t="s">
        <v>942</v>
      </c>
      <c r="S233" s="16" t="s">
        <v>943</v>
      </c>
      <c r="U233" s="3" t="s">
        <v>944</v>
      </c>
      <c r="W233" s="57" t="s">
        <v>2909</v>
      </c>
      <c r="X233" t="str">
        <f>DataItems3[[#This Row],[Collection]]&amp;DataItems3[[#This Row],[Field]]&amp;DataItems3[[#This Row],[Options for supplying the Field]]&amp;DataItems3[[#This Row],[Fieldname]]&amp;DataItems3[[#This Row],[Parent]]</f>
        <v>Graduate OutcomesEmployment - Standard Occupational Classification (SOC) 2020⁽¹⁾(minor grouping) [XEMP2020SOC3]F_XEMP2020SOC3</v>
      </c>
      <c r="Y233" s="4">
        <v>44404</v>
      </c>
      <c r="Z233" t="s">
        <v>56</v>
      </c>
      <c r="AA233" s="28" t="str">
        <f t="shared" si="30"/>
        <v xml:space="preserve">CASE WHEN ISNULL(g.ZRESPSTATUS, '02')='02'   OR ISNULL(g.XACTIVITY, '99')='99' THEN 'Not in GO publication population'   WHEN ISNULL(g.Xemp2020SOC3, '$') IN ('$', '_','$$','__','$$$','___') THEN 'NA/UNK'   ELSE ISNULL(g.Xemp2020SOC3, 'NA/UNK')END </v>
      </c>
      <c r="AB233" s="28" t="str">
        <f t="shared" si="35"/>
        <v xml:space="preserve">CASE WHEN ISNULL(g.ZRESPSTATUS, '02')='02'   OR ISNULL(g.XACTIVITY, '99')='99' THEN 'Not in GO publication population'   WHEN ISNULL(g.Xemp2020SOC3, '$') IN ('$', '_','$$','__','$$$','___') THEN 'NA/UNK'   ELSE ISNULL(Xemp2020SOC3.label, 'NA/UNK')END </v>
      </c>
      <c r="AC233" s="28" t="str">
        <f t="shared" si="34"/>
        <v/>
      </c>
      <c r="AD233" s="28" t="str">
        <f t="shared" si="36"/>
        <v/>
      </c>
      <c r="AE233" t="str">
        <f t="shared" si="28"/>
        <v>[Employment - Standard Occupational Classification (SOC) 2020]</v>
      </c>
    </row>
    <row r="234" spans="1:34" ht="16" x14ac:dyDescent="0.2">
      <c r="A234">
        <v>100192</v>
      </c>
      <c r="B234" s="11" t="str">
        <f>DataItems3[[#This Row],[Field]]&amp;IF(DataItems3[[#This Row],[Options for supplying the Field]]="",""," "&amp;DataItems3[[#This Row],[Options for supplying the Field]])</f>
        <v>Employment basis</v>
      </c>
      <c r="C234">
        <v>100192</v>
      </c>
      <c r="D234" s="3" t="s">
        <v>146</v>
      </c>
      <c r="F234" s="3" t="s">
        <v>945</v>
      </c>
      <c r="G234" s="13"/>
      <c r="H234" s="14" t="s">
        <v>93</v>
      </c>
      <c r="J234" s="3">
        <v>1</v>
      </c>
      <c r="K234" s="3">
        <v>2</v>
      </c>
      <c r="L234" s="3">
        <v>0</v>
      </c>
      <c r="M234" s="3">
        <v>0</v>
      </c>
      <c r="N234" s="3" t="s">
        <v>106</v>
      </c>
      <c r="Q234" s="16" t="s">
        <v>93</v>
      </c>
      <c r="R234" s="3" t="s">
        <v>93</v>
      </c>
      <c r="S234" s="16" t="s">
        <v>93</v>
      </c>
      <c r="U234" s="3" t="s">
        <v>93</v>
      </c>
      <c r="V234" s="3" t="s">
        <v>93</v>
      </c>
      <c r="W234" s="57" t="s">
        <v>2926</v>
      </c>
      <c r="X234" t="str">
        <f>DataItems3[[#This Row],[Collection]]&amp;DataItems3[[#This Row],[Field]]&amp;DataItems3[[#This Row],[Options for supplying the Field]]&amp;DataItems3[[#This Row],[Fieldname]]&amp;DataItems3[[#This Row],[Parent]]</f>
        <v>DLHEEmployment basis</v>
      </c>
      <c r="Y234" s="15">
        <v>43416</v>
      </c>
      <c r="Z234" t="s">
        <v>95</v>
      </c>
      <c r="AA234" s="28" t="str">
        <f t="shared" si="30"/>
        <v/>
      </c>
      <c r="AB234" s="28" t="str">
        <f t="shared" si="35"/>
        <v/>
      </c>
      <c r="AC234" s="28" t="str">
        <f t="shared" si="34"/>
        <v/>
      </c>
      <c r="AD234" s="28" t="str">
        <f t="shared" si="36"/>
        <v/>
      </c>
      <c r="AE234" t="str">
        <f t="shared" si="28"/>
        <v>[Employment basis]</v>
      </c>
    </row>
    <row r="235" spans="1:34" ht="15" customHeight="1" x14ac:dyDescent="0.2">
      <c r="A235">
        <v>100191</v>
      </c>
      <c r="B235" s="11" t="str">
        <f>DataItems3[[#This Row],[Field]]&amp;IF(DataItems3[[#This Row],[Options for supplying the Field]]="",""," "&amp;DataItems3[[#This Row],[Options for supplying the Field]])</f>
        <v>Employment basis [EMPBASIS]</v>
      </c>
      <c r="C235">
        <v>100191</v>
      </c>
      <c r="D235" s="3" t="s">
        <v>151</v>
      </c>
      <c r="F235" s="3" t="s">
        <v>945</v>
      </c>
      <c r="G235" s="13" t="s">
        <v>946</v>
      </c>
      <c r="H235" s="3" t="s">
        <v>947</v>
      </c>
      <c r="J235" s="3">
        <v>2</v>
      </c>
      <c r="K235" s="3">
        <v>2</v>
      </c>
      <c r="L235" s="3">
        <v>0</v>
      </c>
      <c r="M235" s="3">
        <v>0</v>
      </c>
      <c r="P235" s="3" t="s">
        <v>874</v>
      </c>
      <c r="Q235" s="16" t="s">
        <v>948</v>
      </c>
      <c r="R235" s="3" t="s">
        <v>93</v>
      </c>
      <c r="S235" s="16" t="s">
        <v>949</v>
      </c>
      <c r="U235" s="3" t="s">
        <v>950</v>
      </c>
      <c r="V235" s="3" t="s">
        <v>93</v>
      </c>
      <c r="W235" s="57" t="s">
        <v>2909</v>
      </c>
      <c r="X235" t="str">
        <f>DataItems3[[#This Row],[Collection]]&amp;DataItems3[[#This Row],[Field]]&amp;DataItems3[[#This Row],[Options for supplying the Field]]&amp;DataItems3[[#This Row],[Fieldname]]&amp;DataItems3[[#This Row],[Parent]]</f>
        <v>Graduate OutcomesEmployment basis[EMPBASIS]EMPBASISProvider &gt; Graduate &gt; Employment:</v>
      </c>
      <c r="Y235" s="15">
        <v>43550</v>
      </c>
      <c r="Z235" t="s">
        <v>159</v>
      </c>
      <c r="AA235" s="28" t="str">
        <f t="shared" si="30"/>
        <v>CASE WHEN ISNULL(g.ZRESPSTATUS, '02')='02' OR ISNULL(g.XACTIVITY, '99')='99' THEN 'Not in GO publication population' else IIF(isnull(g.EMPBASIS,'')='', '09', g.EMPBASIS) end</v>
      </c>
      <c r="AB235" s="28" t="str">
        <f t="shared" si="35"/>
        <v>CASE WHEN ISNULL(g.ZRESPSTATUS, '02')='02' OR ISNULL(g.XACTIVITY, '99')='99' THEN 'Not in GO publication population' else IIF(isnull(g.EMPBASIS,'')='','Not known',EMPBASIS.label) end</v>
      </c>
      <c r="AC235" s="28" t="str">
        <f t="shared" si="34"/>
        <v/>
      </c>
      <c r="AD235" s="28" t="str">
        <f t="shared" si="36"/>
        <v/>
      </c>
      <c r="AE235" t="str">
        <f t="shared" si="28"/>
        <v>[Employment basis]</v>
      </c>
    </row>
    <row r="236" spans="1:34" ht="15" customHeight="1" x14ac:dyDescent="0.2">
      <c r="A236">
        <v>100627</v>
      </c>
      <c r="B236" s="19" t="str">
        <f>DataItems3[[#This Row],[Field]]&amp;IF(DataItems3[[#This Row],[Options for supplying the Field]]="",""," "&amp;DataItems3[[#This Row],[Options for supplying the Field]])</f>
        <v>Employment basis [F_XEMPBASIS]</v>
      </c>
      <c r="C236">
        <v>100627</v>
      </c>
      <c r="D236" s="3" t="s">
        <v>151</v>
      </c>
      <c r="F236" s="3" t="s">
        <v>945</v>
      </c>
      <c r="G236" s="13" t="str">
        <f>"["&amp;H236&amp;"]"</f>
        <v>[F_XEMPBASIS]</v>
      </c>
      <c r="H236" s="3" t="s">
        <v>951</v>
      </c>
      <c r="J236" s="3">
        <v>1</v>
      </c>
      <c r="K236" s="3">
        <v>2</v>
      </c>
      <c r="L236" s="3">
        <v>0</v>
      </c>
      <c r="M236" s="3">
        <v>0</v>
      </c>
      <c r="P236" s="3" t="s">
        <v>952</v>
      </c>
      <c r="Q236" s="16" t="s">
        <v>953</v>
      </c>
      <c r="R236" s="3" t="s">
        <v>93</v>
      </c>
      <c r="S236" s="16" t="s">
        <v>954</v>
      </c>
      <c r="U236" s="3" t="s">
        <v>955</v>
      </c>
      <c r="V236" s="3" t="s">
        <v>93</v>
      </c>
      <c r="W236" s="57" t="s">
        <v>2909</v>
      </c>
      <c r="X236" t="str">
        <f>DataItems3[[#This Row],[Collection]]&amp;DataItems3[[#This Row],[Field]]&amp;DataItems3[[#This Row],[Options for supplying the Field]]&amp;DataItems3[[#This Row],[Fieldname]]&amp;DataItems3[[#This Row],[Parent]]</f>
        <v>Graduate OutcomesEmployment basis[F_XEMPBASIS]F_XEMPBASISProvider &gt; Official Stats Derived Field &gt; Work</v>
      </c>
      <c r="Y236" s="15">
        <v>44008</v>
      </c>
      <c r="Z236" t="s">
        <v>159</v>
      </c>
      <c r="AA236" s="28" t="str">
        <f t="shared" si="30"/>
        <v>CASE WHEN ISNULL(g.ZRESPSTATUS, '02')='02' OR ISNULL(g.XACTIVITY, '99')='99' THEN 'Not in GO publication population' else iif(isnull(g.XEMPBASIS,'UN') in ('UN','09'),'Unknown',g.Xempbasis) end</v>
      </c>
      <c r="AB236" s="28" t="str">
        <f t="shared" si="35"/>
        <v>CASE WHEN ISNULL(g.ZRESPSTATUS, '02')='02' OR ISNULL(g.XACTIVITY, '99')='99' THEN 'Not in GO publication population' else iif(g.XEMPBASIS='NA','Not applicable',iif(isnull(g.XEMPBASIS,'99') IN ('UN','09'),'Unknown',XEMPBASIS.label)) end</v>
      </c>
      <c r="AC236" s="28" t="str">
        <f t="shared" si="34"/>
        <v/>
      </c>
      <c r="AD236" s="28" t="str">
        <f t="shared" si="36"/>
        <v/>
      </c>
      <c r="AE236" t="str">
        <f t="shared" si="28"/>
        <v>[Employment basis]</v>
      </c>
    </row>
    <row r="237" spans="1:34" ht="16.5" customHeight="1" x14ac:dyDescent="0.2">
      <c r="A237">
        <v>100193</v>
      </c>
      <c r="B237" s="11" t="str">
        <f>DataItems3[[#This Row],[Field]]&amp;IF(DataItems3[[#This Row],[Options for supplying the Field]]="",""," "&amp;DataItems3[[#This Row],[Options for supplying the Field]])</f>
        <v>Employment intensity [EMPINTENSITY]</v>
      </c>
      <c r="C237">
        <v>100193</v>
      </c>
      <c r="D237" s="3" t="s">
        <v>151</v>
      </c>
      <c r="F237" s="3" t="s">
        <v>956</v>
      </c>
      <c r="G237" s="13" t="s">
        <v>957</v>
      </c>
      <c r="H237" s="3" t="s">
        <v>958</v>
      </c>
      <c r="J237" s="3">
        <v>2</v>
      </c>
      <c r="K237" s="3">
        <v>2</v>
      </c>
      <c r="L237" s="3">
        <v>0</v>
      </c>
      <c r="M237" s="3">
        <v>0</v>
      </c>
      <c r="P237" s="3" t="s">
        <v>874</v>
      </c>
      <c r="Q237" s="16" t="s">
        <v>959</v>
      </c>
      <c r="R237" s="3" t="s">
        <v>93</v>
      </c>
      <c r="S237" s="16" t="s">
        <v>960</v>
      </c>
      <c r="U237" s="3" t="s">
        <v>961</v>
      </c>
      <c r="V237" s="3" t="s">
        <v>93</v>
      </c>
      <c r="W237" s="57" t="s">
        <v>2909</v>
      </c>
      <c r="X237" t="str">
        <f>DataItems3[[#This Row],[Collection]]&amp;DataItems3[[#This Row],[Field]]&amp;DataItems3[[#This Row],[Options for supplying the Field]]&amp;DataItems3[[#This Row],[Fieldname]]&amp;DataItems3[[#This Row],[Parent]]</f>
        <v>Graduate OutcomesEmployment intensity[EMPINTENSITY]EMPINTENSITYProvider &gt; Graduate &gt; Employment:</v>
      </c>
      <c r="Y237" s="15">
        <v>43550</v>
      </c>
      <c r="Z237" t="s">
        <v>159</v>
      </c>
      <c r="AA237" s="28" t="str">
        <f t="shared" si="30"/>
        <v>CASE WHEN ISNULL(g.ZRESPSTATUS, '02')='02' OR ISNULL(g.XACTIVITY, '99')='99' THEN 'Not in GO publication population' else IIF(isnull(g.EMPINTENSITY,'')  IN ('','03'),'N/A',g.EMPINTENSITY) end</v>
      </c>
      <c r="AB237" s="28" t="str">
        <f t="shared" si="35"/>
        <v>CASE WHEN ISNULL(g.ZRESPSTATUS, '02')='02' OR ISNULL(g.XACTIVITY, '99')='99' THEN 'Not in GO publication population' else IIF(isnull(g.EMPINTENSITY,'')  IN ('','03'),'N/A',EMPINTENSITY.label) end</v>
      </c>
      <c r="AC237" s="28" t="str">
        <f t="shared" si="34"/>
        <v/>
      </c>
      <c r="AD237" s="28" t="str">
        <f t="shared" si="36"/>
        <v/>
      </c>
      <c r="AE237" t="str">
        <f t="shared" si="28"/>
        <v>[Employment intensity]</v>
      </c>
    </row>
    <row r="238" spans="1:34" ht="16.5" customHeight="1" x14ac:dyDescent="0.2">
      <c r="A238">
        <v>100993</v>
      </c>
      <c r="B238" s="19" t="str">
        <f>DataItems3[[#This Row],[Field]]&amp;IF(DataItems3[[#This Row],[Options for supplying the Field]]="",""," "&amp;DataItems3[[#This Row],[Options for supplying the Field]])</f>
        <v>Employment length [EMPYEAR - year started employment] (2020/21 and onwards)</v>
      </c>
      <c r="C238">
        <v>100993</v>
      </c>
      <c r="D238" s="3" t="s">
        <v>151</v>
      </c>
      <c r="F238" s="3" t="s">
        <v>962</v>
      </c>
      <c r="G238" s="13" t="s">
        <v>3037</v>
      </c>
      <c r="H238" s="3" t="s">
        <v>963</v>
      </c>
      <c r="I238" s="13" t="s">
        <v>378</v>
      </c>
      <c r="J238" s="3">
        <v>2</v>
      </c>
      <c r="K238" s="3">
        <v>3</v>
      </c>
      <c r="L238" s="3">
        <v>0</v>
      </c>
      <c r="M238" s="3">
        <v>0</v>
      </c>
      <c r="P238" s="3" t="s">
        <v>874</v>
      </c>
      <c r="Q238" s="16" t="s">
        <v>3038</v>
      </c>
      <c r="S238" s="16" t="s">
        <v>3039</v>
      </c>
      <c r="W238" s="57" t="s">
        <v>2909</v>
      </c>
      <c r="X238" t="str">
        <f>DataItems3[[#This Row],[Collection]]&amp;DataItems3[[#This Row],[Field]]&amp;DataItems3[[#This Row],[Options for supplying the Field]]&amp;DataItems3[[#This Row],[Fieldname]]&amp;DataItems3[[#This Row],[Parent]]</f>
        <v>Graduate OutcomesEmployment length[EMPYEAR - year started employment] (2020/21 and onwards)EMPYEARProvider &gt; Graduate &gt; Employment:</v>
      </c>
      <c r="Y238" s="15">
        <v>45204</v>
      </c>
      <c r="Z238" t="s">
        <v>3040</v>
      </c>
      <c r="AA238" s="28" t="str">
        <f t="shared" si="30"/>
        <v>CASE WHEN g.dw_fromdate &lt; '20200801' then 'N/A before 2020/21' when ISNULL(g.ZRESPSTATUS, '02')='02' OR ISNULL(g.XACTIVITY, '99')='99' THEN 'Not in GO publication population' else IIF(isnull(g.EMPYEAR,'')='','N/A',g.EMPYEAR) end</v>
      </c>
      <c r="AB238" s="28" t="str">
        <f>IF(S238="","",IF(IFERROR(SEARCH("select",S238)&gt;0,0),IF(U238="",IF(MID(S238,SEARCH(H238,S238)-4,1)=" ",MID(S238,SEARCH(H238,S238)-2,LEN(O247)+2),MID(S238,SEARCH(H238,S238)-3,LEN(H238)+3)),U238&amp;"."&amp;H238),S238))</f>
        <v>CASE WHEN  g.dw_fromdate &lt; '20200801' then 'N/A before 2020/21' when ISNULL(g.ZRESPSTATUS, '02')='02' OR ISNULL(g.XACTIVITY, '99')='99' THEN 'Not in GO publication population' else IIF(isnull(g.EMPYEAR,'')='','N/A',g.EMPYEAR) end</v>
      </c>
      <c r="AC238" s="28" t="str">
        <f>IF(T238="","",T238)</f>
        <v/>
      </c>
      <c r="AD238" s="28" t="str">
        <f>IF(T238="","",IF(IFERROR(SEARCH("select",T238)&gt;0,0),IF(U238="",IF(MID(T238,SEARCH(H238,T238)-4,1)=" ",MID(T238,SEARCH(H238,T238)-2,LEN(O247)+2),MID(T238,SEARCH(H238,T238)-3,LEN(H238)+3)),U238&amp;"."&amp;H238),T238))</f>
        <v/>
      </c>
      <c r="AE238" s="28" t="str">
        <f t="shared" si="28"/>
        <v>[Employment length]</v>
      </c>
      <c r="AH238" s="28"/>
    </row>
    <row r="239" spans="1:34" ht="32" x14ac:dyDescent="0.2">
      <c r="A239">
        <v>100194</v>
      </c>
      <c r="B239" s="11" t="str">
        <f>DataItems3[[#This Row],[Field]]&amp;IF(DataItems3[[#This Row],[Options for supplying the Field]]="",""," "&amp;DataItems3[[#This Row],[Options for supplying the Field]])</f>
        <v>Employment length [EMPYEAR] (2019/20 and prior)</v>
      </c>
      <c r="C239">
        <v>100194</v>
      </c>
      <c r="D239" s="3" t="s">
        <v>151</v>
      </c>
      <c r="F239" s="3" t="s">
        <v>962</v>
      </c>
      <c r="G239" s="13" t="s">
        <v>3041</v>
      </c>
      <c r="H239" s="3" t="s">
        <v>963</v>
      </c>
      <c r="J239" s="3">
        <v>2</v>
      </c>
      <c r="K239" s="3">
        <v>3</v>
      </c>
      <c r="L239" s="3">
        <v>0</v>
      </c>
      <c r="M239" s="3">
        <v>0</v>
      </c>
      <c r="P239" s="3" t="s">
        <v>874</v>
      </c>
      <c r="Q239" s="16" t="s">
        <v>3042</v>
      </c>
      <c r="R239" s="3" t="s">
        <v>93</v>
      </c>
      <c r="S239" s="16" t="s">
        <v>3043</v>
      </c>
      <c r="U239" s="3" t="s">
        <v>964</v>
      </c>
      <c r="V239" s="3" t="s">
        <v>93</v>
      </c>
      <c r="W239" s="57" t="s">
        <v>2909</v>
      </c>
      <c r="X239" t="str">
        <f>DataItems3[[#This Row],[Collection]]&amp;DataItems3[[#This Row],[Field]]&amp;DataItems3[[#This Row],[Options for supplying the Field]]&amp;DataItems3[[#This Row],[Fieldname]]&amp;DataItems3[[#This Row],[Parent]]</f>
        <v>Graduate OutcomesEmployment length[EMPYEAR] (2019/20 and prior)EMPYEARProvider &gt; Graduate &gt; Employment:</v>
      </c>
      <c r="Y239" s="15">
        <v>43550</v>
      </c>
      <c r="Z239" t="s">
        <v>159</v>
      </c>
      <c r="AA239" s="28" t="str">
        <f t="shared" si="30"/>
        <v>CASE WHEN  g.dw_fromdate &gt;= '20200801' then 'N/A 2020/21 onwards' when ISNULL(g.ZRESPSTATUS, '02')='02' OR ISNULL(g.XACTIVITY, '99')='99' THEN 'Not in GO publication population' else IIF(isnull(g.EMPYEAR,'')='','N/A',g.EMPYEAR) end</v>
      </c>
      <c r="AB239" s="28" t="str">
        <f>IF(S239="","",IF(IFERROR(SEARCH("select",S239)&gt;0,0),IF(U239="",IF(MID(S239,SEARCH(H239,S239)-4,1)=" ",MID(S239,SEARCH(H239,S239)-2,LEN(O249)+2),MID(S239,SEARCH(H239,S239)-3,LEN(H239)+3)),U239&amp;"."&amp;H239),S239))</f>
        <v>CASE WHEN g.dw_fromdate &gt;= '20200801' then 'N/A 2020/21 onwards' when ISNULL(g.ZRESPSTATUS, '02')='02' OR ISNULL(g.XACTIVITY, '99')='99' THEN 'Not in GO publication population' else IIF(isnull(g.EMPYEAR,'')='','N/A',EMPYEAR.label) end</v>
      </c>
      <c r="AC239" s="28" t="str">
        <f t="shared" ref="AC239:AC253" si="37">IF(R239="","",R239)</f>
        <v/>
      </c>
      <c r="AD239" s="28" t="str">
        <f>IF(T239="","",IF(IFERROR(SEARCH("select",T239)&gt;0,0),IF(U239="",IF(MID(T239,SEARCH(H239,T239)-4,1)=" ",MID(T239,SEARCH(H239,T239)-2,LEN(O249)+2),MID(T239,SEARCH(H239,T239)-3,LEN(H239)+3)),U239&amp;"."&amp;H239),T239))</f>
        <v/>
      </c>
      <c r="AE239" t="str">
        <f t="shared" si="28"/>
        <v>[Employment length]</v>
      </c>
    </row>
    <row r="240" spans="1:34" ht="16" x14ac:dyDescent="0.2">
      <c r="A240">
        <v>100623</v>
      </c>
      <c r="B240" s="19" t="str">
        <f>DataItems3[[#This Row],[Field]]&amp;IF(DataItems3[[#This Row],[Options for supplying the Field]]="",""," "&amp;DataItems3[[#This Row],[Options for supplying the Field]])</f>
        <v>Employment marker [F_XWRKMARKER]</v>
      </c>
      <c r="C240">
        <v>100623</v>
      </c>
      <c r="D240" s="3" t="s">
        <v>151</v>
      </c>
      <c r="F240" s="3" t="s">
        <v>965</v>
      </c>
      <c r="G240" s="13" t="str">
        <f>"["&amp;H240&amp;"]"</f>
        <v>[F_XWRKMARKER]</v>
      </c>
      <c r="H240" s="3" t="s">
        <v>966</v>
      </c>
      <c r="J240" s="3">
        <v>1</v>
      </c>
      <c r="K240" s="3">
        <v>2</v>
      </c>
      <c r="L240" s="3">
        <v>0</v>
      </c>
      <c r="M240" s="3">
        <v>0</v>
      </c>
      <c r="P240" s="3" t="s">
        <v>952</v>
      </c>
      <c r="Q240" s="16" t="s">
        <v>967</v>
      </c>
      <c r="R240" s="3" t="s">
        <v>93</v>
      </c>
      <c r="S240" s="16" t="s">
        <v>968</v>
      </c>
      <c r="U240" s="3" t="s">
        <v>969</v>
      </c>
      <c r="V240" s="3" t="s">
        <v>93</v>
      </c>
      <c r="W240" s="57" t="s">
        <v>2909</v>
      </c>
      <c r="X240" t="str">
        <f>DataItems3[[#This Row],[Collection]]&amp;DataItems3[[#This Row],[Field]]&amp;DataItems3[[#This Row],[Options for supplying the Field]]&amp;DataItems3[[#This Row],[Fieldname]]&amp;DataItems3[[#This Row],[Parent]]</f>
        <v>Graduate OutcomesEmployment marker[F_XWRKMARKER]F_XWRKMARKERProvider &gt; Official Stats Derived Field &gt; Work</v>
      </c>
      <c r="Y240" s="15">
        <v>44008</v>
      </c>
      <c r="Z240" t="s">
        <v>159</v>
      </c>
      <c r="AA240" s="28" t="str">
        <f t="shared" si="30"/>
        <v>CASE WHEN ISNULL(g.ZRESPSTATUS, '02')='02' OR ISNULL(g.XACTIVITY, '99')='99' THEN 'Not in GO publication population' else isnull(g.XWRKMARKER,'NA/UNK') end</v>
      </c>
      <c r="AB240" s="28" t="str">
        <f t="shared" ref="AB240:AB276" si="38">IF(S240="","",IF(IFERROR(SEARCH("select",S240)&gt;0,0),IF(U240="",IF(MID(S240,SEARCH(H240,S240)-4,1)=" ",MID(S240,SEARCH(H240,S240)-2,LEN(O249)+2),MID(S240,SEARCH(H240,S240)-3,LEN(H240)+3)),U240&amp;"."&amp;H240),S240))</f>
        <v>CASE WHEN ISNULL(g.ZRESPSTATUS, '02')='02' OR ISNULL(g.XACTIVITY, '99')='99' THEN 'Not in GO publication population' else isnull(XWRKMARKER.label,'NA/UNK') end</v>
      </c>
      <c r="AC240" s="28" t="str">
        <f t="shared" si="37"/>
        <v/>
      </c>
      <c r="AD240" s="28" t="str">
        <f t="shared" ref="AD240:AD253" si="39">IF(T240="","",IF(IFERROR(SEARCH("select",T240)&gt;0,0),IF(U240="",IF(MID(T240,SEARCH(H240,T240)-4,1)=" ",MID(T240,SEARCH(H240,T240)-2,LEN(O249)+2),MID(T240,SEARCH(H240,T240)-3,LEN(H240)+3)),U240&amp;"."&amp;H240),T240))</f>
        <v/>
      </c>
      <c r="AE240" t="str">
        <f t="shared" si="28"/>
        <v>[Employment marker]</v>
      </c>
    </row>
    <row r="241" spans="1:32" ht="16" x14ac:dyDescent="0.2">
      <c r="A241">
        <v>100626</v>
      </c>
      <c r="B241" s="19" t="str">
        <f>DataItems3[[#This Row],[Field]]&amp;IF(DataItems3[[#This Row],[Options for supplying the Field]]="",""," "&amp;DataItems3[[#This Row],[Options for supplying the Field]])</f>
        <v>Employment mode [F_XWRKINTENSITY]</v>
      </c>
      <c r="C241">
        <v>100626</v>
      </c>
      <c r="D241" s="3" t="s">
        <v>151</v>
      </c>
      <c r="F241" s="3" t="s">
        <v>970</v>
      </c>
      <c r="G241" s="13" t="str">
        <f>"["&amp;H241&amp;"]"</f>
        <v>[F_XWRKINTENSITY]</v>
      </c>
      <c r="H241" s="3" t="s">
        <v>971</v>
      </c>
      <c r="J241" s="3">
        <v>1</v>
      </c>
      <c r="K241" s="3">
        <v>2</v>
      </c>
      <c r="L241" s="3">
        <v>0</v>
      </c>
      <c r="M241" s="3">
        <v>0</v>
      </c>
      <c r="P241" s="3" t="s">
        <v>952</v>
      </c>
      <c r="Q241" s="16" t="s">
        <v>972</v>
      </c>
      <c r="R241" s="3" t="s">
        <v>93</v>
      </c>
      <c r="S241" s="16" t="s">
        <v>973</v>
      </c>
      <c r="U241" s="3" t="s">
        <v>974</v>
      </c>
      <c r="V241" s="3" t="s">
        <v>93</v>
      </c>
      <c r="W241" s="57" t="s">
        <v>2909</v>
      </c>
      <c r="X241" t="str">
        <f>DataItems3[[#This Row],[Collection]]&amp;DataItems3[[#This Row],[Field]]&amp;DataItems3[[#This Row],[Options for supplying the Field]]&amp;DataItems3[[#This Row],[Fieldname]]&amp;DataItems3[[#This Row],[Parent]]</f>
        <v>Graduate OutcomesEmployment mode[F_XWRKINTENSITY]F_XWRKINTENSITYProvider &gt; Official Stats Derived Field &gt; Work</v>
      </c>
      <c r="Y241" s="15">
        <v>44008</v>
      </c>
      <c r="Z241" t="s">
        <v>159</v>
      </c>
      <c r="AA241" s="28" t="str">
        <f t="shared" si="30"/>
        <v>CASE WHEN ISNULL(g.ZRESPSTATUS, '02')='02' OR ISNULL(g.XACTIVITY, '99')='99' THEN 'Not in GO publication population' else iif(isnull(g.XWRKINTENSITY,'03') in ('03','na','NR'),'03',g.XWRKINTENSITY) end</v>
      </c>
      <c r="AB241" s="28" t="str">
        <f t="shared" si="38"/>
        <v>CASE WHEN ISNULL(g.ZRESPSTATUS, '02')='02' OR ISNULL(g.XACTIVITY, '99')='99' THEN 'Not in GO publication population' WHEN g.XWRKINTENSITY in ('','NR') or g.XWRKINTENSITY is null then '(NA) Not applicable' else isnull(XWRKINTENSITY.label,'(NA) Not applicable') end</v>
      </c>
      <c r="AC241" s="28" t="str">
        <f t="shared" si="37"/>
        <v/>
      </c>
      <c r="AD241" s="28" t="str">
        <f t="shared" si="39"/>
        <v/>
      </c>
      <c r="AE241" t="str">
        <f t="shared" si="28"/>
        <v>[Employment mode]</v>
      </c>
    </row>
    <row r="242" spans="1:32" ht="16" x14ac:dyDescent="0.2">
      <c r="A242">
        <v>100195</v>
      </c>
      <c r="B242" s="11" t="str">
        <f>DataItems3[[#This Row],[Field]]&amp;IF(DataItems3[[#This Row],[Options for supplying the Field]]="",""," "&amp;DataItems3[[#This Row],[Options for supplying the Field]])</f>
        <v>End date of contract (YYYY/MM)</v>
      </c>
      <c r="C242">
        <v>100195</v>
      </c>
      <c r="D242" s="3" t="s">
        <v>100</v>
      </c>
      <c r="F242" s="3" t="s">
        <v>975</v>
      </c>
      <c r="G242" s="13" t="s">
        <v>488</v>
      </c>
      <c r="H242" s="14" t="s">
        <v>976</v>
      </c>
      <c r="J242" s="3">
        <v>3</v>
      </c>
      <c r="K242" s="3">
        <v>3</v>
      </c>
      <c r="L242" s="3">
        <v>2</v>
      </c>
      <c r="M242" s="3">
        <v>0</v>
      </c>
      <c r="N242" s="3" t="s">
        <v>89</v>
      </c>
      <c r="Q242" s="16" t="s">
        <v>977</v>
      </c>
      <c r="R242" s="3" t="s">
        <v>93</v>
      </c>
      <c r="S242" s="16" t="s">
        <v>3044</v>
      </c>
      <c r="U242" s="3" t="s">
        <v>93</v>
      </c>
      <c r="V242" s="3" t="s">
        <v>93</v>
      </c>
      <c r="W242" s="57" t="s">
        <v>94</v>
      </c>
      <c r="X242" t="str">
        <f>DataItems3[[#This Row],[Collection]]&amp;DataItems3[[#This Row],[Field]]&amp;DataItems3[[#This Row],[Options for supplying the Field]]&amp;DataItems3[[#This Row],[Fieldname]]&amp;DataItems3[[#This Row],[Parent]]</f>
        <v>StaffEnd date of contract(YYYY/MM)F_ENDCON</v>
      </c>
      <c r="Y242" s="15">
        <v>43395</v>
      </c>
      <c r="Z242" t="s">
        <v>102</v>
      </c>
      <c r="AA242" s="28" t="str">
        <f t="shared" si="30"/>
        <v xml:space="preserve">IIF(C.F_ENDCON='', '9999/12', SUBSTRING(CAST(C.F_ENDCON AS VARCHAR(10)), 1, 4) + '/' + SUBSTRING(CAST(C.F_ENDCON AS VARCHAR(10)), 6, 2)) </v>
      </c>
      <c r="AB242" s="28" t="str">
        <f t="shared" si="38"/>
        <v>IIF(C.F_ENDCON='', '9999/12', SUBSTRING(CAST(C.F_ENDCON AS VARCHAR(10)), 1, 4) + '/' + SUBSTRING(CAST(C.F_ENDCON AS VARCHAR(10)), 6, 2))</v>
      </c>
      <c r="AC242" s="28" t="str">
        <f t="shared" si="37"/>
        <v/>
      </c>
      <c r="AD242" s="28" t="str">
        <f t="shared" si="39"/>
        <v/>
      </c>
      <c r="AE242" t="str">
        <f t="shared" si="28"/>
        <v>[End date of contract]</v>
      </c>
    </row>
    <row r="243" spans="1:32" ht="15" customHeight="1" x14ac:dyDescent="0.2">
      <c r="A243">
        <v>100196</v>
      </c>
      <c r="B243" s="11" t="str">
        <f>DataItems3[[#This Row],[Field]]&amp;IF(DataItems3[[#This Row],[Options for supplying the Field]]="",""," "&amp;DataItems3[[#This Row],[Options for supplying the Field]])</f>
        <v>End date of instance (YYYY/MM)</v>
      </c>
      <c r="C243">
        <v>100196</v>
      </c>
      <c r="D243" s="3" t="s">
        <v>86</v>
      </c>
      <c r="F243" s="3" t="s">
        <v>978</v>
      </c>
      <c r="G243" s="13" t="s">
        <v>488</v>
      </c>
      <c r="H243" s="14" t="s">
        <v>979</v>
      </c>
      <c r="J243" s="3">
        <v>2</v>
      </c>
      <c r="K243" s="3">
        <v>2</v>
      </c>
      <c r="L243" s="3">
        <v>2</v>
      </c>
      <c r="M243" s="3">
        <v>0</v>
      </c>
      <c r="Q243" s="16" t="s">
        <v>980</v>
      </c>
      <c r="R243" s="3" t="s">
        <v>91</v>
      </c>
      <c r="S243" s="16" t="s">
        <v>980</v>
      </c>
      <c r="U243" s="3" t="s">
        <v>93</v>
      </c>
      <c r="V243" s="3" t="s">
        <v>93</v>
      </c>
      <c r="W243" s="57" t="s">
        <v>981</v>
      </c>
      <c r="X243" t="str">
        <f>DataItems3[[#This Row],[Collection]]&amp;DataItems3[[#This Row],[Field]]&amp;DataItems3[[#This Row],[Options for supplying the Field]]&amp;DataItems3[[#This Row],[Fieldname]]&amp;DataItems3[[#This Row],[Parent]]</f>
        <v>StudentEnd date of instance(YYYY/MM)F_ENDDATE</v>
      </c>
      <c r="Y243" s="15">
        <v>43438</v>
      </c>
      <c r="Z243" t="s">
        <v>102</v>
      </c>
      <c r="AA243" s="28" t="str">
        <f t="shared" si="30"/>
        <v xml:space="preserve">ISNULL(SUBSTRING(CONVERT(VARCHAR(11),s.f_enddate,101),7,10)+'/'+SUBSTRING(CONVERT(VARCHAR(11),s.f_enddate,101),1,2),'9999/12') </v>
      </c>
      <c r="AB243" s="28" t="str">
        <f t="shared" si="38"/>
        <v xml:space="preserve">ISNULL(SUBSTRING(CONVERT(VARCHAR(11),s.f_enddate,101),7,10)+'/'+SUBSTRING(CONVERT(VARCHAR(11),s.f_enddate,101),1,2),'9999/12') </v>
      </c>
      <c r="AC243" s="28" t="str">
        <f t="shared" si="37"/>
        <v xml:space="preserve"> </v>
      </c>
      <c r="AD243" s="28" t="str">
        <f t="shared" si="39"/>
        <v/>
      </c>
      <c r="AE243" t="str">
        <f t="shared" si="28"/>
        <v>[End date of instance]</v>
      </c>
    </row>
    <row r="244" spans="1:32" ht="14.5" customHeight="1" x14ac:dyDescent="0.25">
      <c r="A244">
        <v>100791</v>
      </c>
      <c r="B244" s="11" t="str">
        <f>DataItems3[[#This Row],[Field]]&amp;IF(DataItems3[[#This Row],[Options for supplying the Field]]="",""," "&amp;DataItems3[[#This Row],[Options for supplying the Field]])</f>
        <v>Entire record (Estates)</v>
      </c>
      <c r="C244">
        <v>100791</v>
      </c>
      <c r="D244" s="3" t="s">
        <v>83</v>
      </c>
      <c r="E244" s="12"/>
      <c r="F244" s="12" t="s">
        <v>982</v>
      </c>
      <c r="G244" s="13"/>
      <c r="J244" s="3">
        <v>0</v>
      </c>
      <c r="K244" s="3">
        <v>12</v>
      </c>
      <c r="L244" s="3">
        <v>0</v>
      </c>
      <c r="M244" s="3">
        <v>0</v>
      </c>
      <c r="W244" s="57"/>
      <c r="X244" t="str">
        <f>DataItems3[[#This Row],[Collection]]&amp;DataItems3[[#This Row],[Field]]&amp;DataItems3[[#This Row],[Options for supplying the Field]]&amp;DataItems3[[#This Row],[Fieldname]]&amp;DataItems3[[#This Row],[Parent]]</f>
        <v>EstatesEntire record (Estates)</v>
      </c>
      <c r="Y244" s="4">
        <v>44272</v>
      </c>
      <c r="Z244" t="s">
        <v>85</v>
      </c>
      <c r="AA244" s="28" t="str">
        <f t="shared" si="30"/>
        <v/>
      </c>
      <c r="AB244" s="28" t="str">
        <f t="shared" si="38"/>
        <v/>
      </c>
      <c r="AC244" s="28" t="str">
        <f t="shared" si="37"/>
        <v/>
      </c>
      <c r="AD244" s="28" t="str">
        <f t="shared" si="39"/>
        <v/>
      </c>
      <c r="AE244" t="str">
        <f t="shared" si="28"/>
        <v>[Entire record (Estates)]</v>
      </c>
    </row>
    <row r="245" spans="1:32" ht="16" x14ac:dyDescent="0.2">
      <c r="A245">
        <v>100852</v>
      </c>
      <c r="B245" s="11" t="str">
        <f>DataItems3[[#This Row],[Field]]&amp;IF(DataItems3[[#This Row],[Options for supplying the Field]]="",""," "&amp;DataItems3[[#This Row],[Options for supplying the Field]])</f>
        <v>Estranged Student</v>
      </c>
      <c r="C245">
        <v>100852</v>
      </c>
      <c r="D245" s="3" t="s">
        <v>86</v>
      </c>
      <c r="F245" s="3" t="s">
        <v>983</v>
      </c>
      <c r="G245" s="13"/>
      <c r="H245" s="3" t="s">
        <v>984</v>
      </c>
      <c r="J245" s="3">
        <v>3</v>
      </c>
      <c r="K245" s="3">
        <v>2</v>
      </c>
      <c r="L245" s="3">
        <v>2</v>
      </c>
      <c r="M245" s="3">
        <v>6</v>
      </c>
      <c r="Q245" s="16" t="s">
        <v>985</v>
      </c>
      <c r="S245" s="16" t="s">
        <v>985</v>
      </c>
      <c r="U245" s="3" t="s">
        <v>144</v>
      </c>
      <c r="W245" s="57" t="s">
        <v>2908</v>
      </c>
      <c r="X245" t="str">
        <f>DataItems3[[#This Row],[Collection]]&amp;DataItems3[[#This Row],[Field]]&amp;DataItems3[[#This Row],[Options for supplying the Field]]&amp;DataItems3[[#This Row],[Fieldname]]&amp;DataItems3[[#This Row],[Parent]]</f>
        <v>StudentEstranged StudentF_ESTRANGED</v>
      </c>
      <c r="Y245" s="4">
        <v>44638</v>
      </c>
      <c r="Z245" t="s">
        <v>135</v>
      </c>
      <c r="AA245" s="28" t="str">
        <f t="shared" si="30"/>
        <v>case when s.dw_fromdate &lt; 20200801 then 'Not applicable before 2020/21' else isnull(e.f_estranged,'99') end</v>
      </c>
      <c r="AB245" s="28" t="str">
        <f t="shared" si="38"/>
        <v>case when s.dw_fromdate &lt; 20200801 then 'Not applicable before 2020/21' else isnull(e.f_estranged,'99') end</v>
      </c>
      <c r="AC245" s="28" t="str">
        <f t="shared" si="37"/>
        <v/>
      </c>
      <c r="AD245" s="28" t="str">
        <f t="shared" si="39"/>
        <v/>
      </c>
      <c r="AE245" t="str">
        <f t="shared" si="28"/>
        <v>[Estranged Student]</v>
      </c>
    </row>
    <row r="246" spans="1:32" ht="48" x14ac:dyDescent="0.2">
      <c r="A246">
        <v>100197</v>
      </c>
      <c r="B246" s="11" t="str">
        <f>DataItems3[[#This Row],[Field]]&amp;IF(DataItems3[[#This Row],[Options for supplying the Field]]="",""," "&amp;DataItems3[[#This Row],[Options for supplying the Field]])</f>
        <v>Ethnicity (White/ Black - Caribbean/ Black - African/ Other Black background/ Asian - Indian/ Asian - Pakistani/ Asian - Bangladeshi/ Chinese/ Other Asian background/ Mixed/ Other/ [Unknown/Not applicable])</v>
      </c>
      <c r="C246">
        <v>100197</v>
      </c>
      <c r="D246" s="3" t="s">
        <v>86</v>
      </c>
      <c r="E246" s="3" t="s">
        <v>106</v>
      </c>
      <c r="F246" s="3" t="s">
        <v>986</v>
      </c>
      <c r="G246" s="3" t="s">
        <v>987</v>
      </c>
      <c r="H246" s="14" t="s">
        <v>988</v>
      </c>
      <c r="I246" s="3" t="s">
        <v>729</v>
      </c>
      <c r="J246" s="3">
        <v>2</v>
      </c>
      <c r="K246" s="3">
        <v>3</v>
      </c>
      <c r="L246" s="3">
        <v>3</v>
      </c>
      <c r="M246" s="3">
        <v>8</v>
      </c>
      <c r="N246" s="3" t="s">
        <v>989</v>
      </c>
      <c r="Q246" s="16" t="s">
        <v>990</v>
      </c>
      <c r="R246" s="16" t="s">
        <v>990</v>
      </c>
      <c r="S246" s="16" t="s">
        <v>991</v>
      </c>
      <c r="T246" s="16" t="s">
        <v>991</v>
      </c>
      <c r="U246" s="3" t="s">
        <v>992</v>
      </c>
      <c r="V246" s="3" t="s">
        <v>93</v>
      </c>
      <c r="W246" s="57" t="s">
        <v>549</v>
      </c>
      <c r="X246" t="str">
        <f>DataItems3[[#This Row],[Collection]]&amp;DataItems3[[#This Row],[Field]]&amp;DataItems3[[#This Row],[Options for supplying the Field]]&amp;DataItems3[[#This Row],[Fieldname]]&amp;DataItems3[[#This Row],[Parent]]</f>
        <v>StudentEthnicity(White/ Black - Caribbean/ Black - African/ Other Black background/ Asian - Indian/ Asian - Pakistani/ Asian - Bangladeshi/ Chinese/ Other Asian background/ Mixed/ Other/ [Unknown/Not applicable])F_ETHNIC</v>
      </c>
      <c r="Y246" s="15"/>
      <c r="AA246" s="28" t="str">
        <f t="shared" si="30"/>
        <v xml:space="preserve">case when s.F_XETHNIC01 in ('-2', '-6','-3','99','UN','NA') then 'UNK/NA' WHEN (s.f_xhoos01 = '1' and s.F_ETHNIC IN ('41','42','43','49')) THEN 'Mixed' when s.f_xethnic01 = '40' then 'Other' else s.F_XETHNIC01 end </v>
      </c>
      <c r="AB246" s="28" t="str">
        <f t="shared" si="38"/>
        <v>case when s.F_XETHNIC01 in ('-2', '-6','-3','99','UN','NA') then 'Unknown/Not applicable' WHEN (s.f_xhoos01 = '1' and s.F_ETHNIC IN ('41','42','43','49')) THEN 'Mixed' when s.f_xethnic01 = '40' then 'Other' else XETHNIC01.dw_currentlabel end</v>
      </c>
      <c r="AC246" s="28" t="str">
        <f t="shared" si="37"/>
        <v xml:space="preserve">case when s.F_XETHNIC01 in ('-2', '-6','-3','99','UN','NA') then 'UNK/NA' WHEN (s.f_xhoos01 = '1' and s.F_ETHNIC IN ('41','42','43','49')) THEN 'Mixed' when s.f_xethnic01 = '40' then 'Other' else s.F_XETHNIC01 end </v>
      </c>
      <c r="AD246" s="28" t="str">
        <f t="shared" si="39"/>
        <v>case when s.F_XETHNIC01 in ('-2', '-6','-3','99','UN','NA') then 'Unknown/Not applicable' WHEN (s.f_xhoos01 = '1' and s.F_ETHNIC IN ('41','42','43','49')) THEN 'Mixed' when s.f_xethnic01 = '40' then 'Other' else XETHNIC01.dw_currentlabel end</v>
      </c>
      <c r="AE246" t="str">
        <f t="shared" si="28"/>
        <v>[Ethnicity]</v>
      </c>
      <c r="AF246">
        <v>101001</v>
      </c>
    </row>
    <row r="247" spans="1:32" ht="64" x14ac:dyDescent="0.2">
      <c r="A247">
        <v>100199</v>
      </c>
      <c r="B247" s="11" t="str">
        <f>DataItems3[[#This Row],[Field]]&amp;IF(DataItems3[[#This Row],[Options for supplying the Field]]="",""," "&amp;DataItems3[[#This Row],[Options for supplying the Field]])</f>
        <v>Ethnicity (White/ Black/ Asian/ Mixed/ Other/ [Unknown/Not applicable])</v>
      </c>
      <c r="C247">
        <v>100199</v>
      </c>
      <c r="D247" s="3" t="s">
        <v>86</v>
      </c>
      <c r="E247" s="3" t="s">
        <v>106</v>
      </c>
      <c r="F247" s="3" t="s">
        <v>986</v>
      </c>
      <c r="G247" s="13" t="s">
        <v>993</v>
      </c>
      <c r="H247" s="14" t="s">
        <v>994</v>
      </c>
      <c r="I247" s="3" t="s">
        <v>729</v>
      </c>
      <c r="J247" s="3">
        <v>3</v>
      </c>
      <c r="K247" s="3">
        <v>2</v>
      </c>
      <c r="L247" s="3">
        <v>2</v>
      </c>
      <c r="M247" s="3">
        <v>6</v>
      </c>
      <c r="N247" s="3" t="s">
        <v>989</v>
      </c>
      <c r="Q247" s="16" t="s">
        <v>995</v>
      </c>
      <c r="R247" s="16" t="s">
        <v>995</v>
      </c>
      <c r="S247" s="16" t="s">
        <v>996</v>
      </c>
      <c r="T247" s="16" t="s">
        <v>996</v>
      </c>
      <c r="U247" s="3" t="s">
        <v>93</v>
      </c>
      <c r="V247" s="3" t="s">
        <v>93</v>
      </c>
      <c r="W247" s="57" t="s">
        <v>997</v>
      </c>
      <c r="X247" t="str">
        <f>DataItems3[[#This Row],[Collection]]&amp;DataItems3[[#This Row],[Field]]&amp;DataItems3[[#This Row],[Options for supplying the Field]]&amp;DataItems3[[#This Row],[Fieldname]]&amp;DataItems3[[#This Row],[Parent]]</f>
        <v>StudentEthnicity(White/ Black/ Asian/ Mixed/ Other/ [Unknown/Not applicable])F_XETHNIC01</v>
      </c>
      <c r="Y247" s="15"/>
      <c r="AA247" s="28" t="str">
        <f t="shared" si="30"/>
        <v>case when s.f_xethnic01 in ('10') then 'W' when s.f_xethnic01 in ('21','22','29') then 'B' when s.f_xethnic01 in ('31','32','33','34','39') then 'A' WHEN (s.f_xhoos01 = '1' and s.F_ETHNIC IN ('41','42','43','49')) THEN 'Mixed' when s.f_xethnic01 in ('40') then 'O' else 'U' end</v>
      </c>
      <c r="AB247" s="28" t="str">
        <f t="shared" si="38"/>
        <v>case when s.f_xethnic01 in ('10') then 'White' when s.f_xethnic01 in ('21','22','29') then 'Black' when s.f_xethnic01 in ('31','32','33','34','39') then 'Asian' WHEN (s.f_xhoos01 = '1' and s.F_ETHNIC IN ('41','42','43','49')) THEN 'Mixed' when s.f_xethnic01 in ('40') then 'Other' else 'Unknown/Not applicable' end</v>
      </c>
      <c r="AC247" s="28" t="str">
        <f t="shared" si="37"/>
        <v>case when s.f_xethnic01 in ('10') then 'W' when s.f_xethnic01 in ('21','22','29') then 'B' when s.f_xethnic01 in ('31','32','33','34','39') then 'A' WHEN (s.f_xhoos01 = '1' and s.F_ETHNIC IN ('41','42','43','49')) THEN 'Mixed' when s.f_xethnic01 in ('40') then 'O' else 'U' end</v>
      </c>
      <c r="AD247" s="28" t="str">
        <f t="shared" si="39"/>
        <v>case when s.f_xethnic01 in ('10') then 'White' when s.f_xethnic01 in ('21','22','29') then 'Black' when s.f_xethnic01 in ('31','32','33','34','39') then 'Asian' WHEN (s.f_xhoos01 = '1' and s.F_ETHNIC IN ('41','42','43','49')) THEN 'Mixed' when s.f_xethnic01 in ('40') then 'Other' else 'Unknown/Not applicable' end</v>
      </c>
      <c r="AE247" t="str">
        <f t="shared" si="28"/>
        <v>[Ethnicity]</v>
      </c>
      <c r="AF247">
        <v>101000</v>
      </c>
    </row>
    <row r="248" spans="1:32" ht="48" x14ac:dyDescent="0.2">
      <c r="A248">
        <v>100201</v>
      </c>
      <c r="B248" s="11" t="str">
        <f>DataItems3[[#This Row],[Field]]&amp;IF(DataItems3[[#This Row],[Options for supplying the Field]]="",""," "&amp;DataItems3[[#This Row],[Options for supplying the Field]])</f>
        <v>Ethnicity (White/ BME/ [Unknown/Not applicable])</v>
      </c>
      <c r="C248">
        <v>100201</v>
      </c>
      <c r="D248" s="3" t="s">
        <v>86</v>
      </c>
      <c r="E248" s="3" t="s">
        <v>106</v>
      </c>
      <c r="F248" s="3" t="s">
        <v>986</v>
      </c>
      <c r="G248" s="13" t="s">
        <v>998</v>
      </c>
      <c r="H248" s="14" t="s">
        <v>994</v>
      </c>
      <c r="I248" s="3" t="s">
        <v>729</v>
      </c>
      <c r="J248" s="3">
        <v>2</v>
      </c>
      <c r="K248" s="3">
        <v>1</v>
      </c>
      <c r="L248" s="3">
        <v>1</v>
      </c>
      <c r="M248" s="3">
        <v>4</v>
      </c>
      <c r="N248" s="3" t="s">
        <v>106</v>
      </c>
      <c r="Q248" s="16" t="s">
        <v>999</v>
      </c>
      <c r="R248" s="16" t="s">
        <v>999</v>
      </c>
      <c r="S248" s="16" t="s">
        <v>1000</v>
      </c>
      <c r="T248" s="16" t="s">
        <v>1000</v>
      </c>
      <c r="U248" s="3" t="s">
        <v>93</v>
      </c>
      <c r="V248" s="3" t="s">
        <v>93</v>
      </c>
      <c r="W248" s="57" t="s">
        <v>145</v>
      </c>
      <c r="X248" t="str">
        <f>DataItems3[[#This Row],[Collection]]&amp;DataItems3[[#This Row],[Field]]&amp;DataItems3[[#This Row],[Options for supplying the Field]]&amp;DataItems3[[#This Row],[Fieldname]]&amp;DataItems3[[#This Row],[Parent]]</f>
        <v>StudentEthnicity(White/ BME/ [Unknown/Not applicable])F_XETHNIC01</v>
      </c>
      <c r="Y248" s="15"/>
      <c r="AA248" s="28" t="str">
        <f t="shared" si="30"/>
        <v>case when s.f_xethnic01 in ('10') then 'W' when s.f_xethnic01 in ('21','22','29') then 'BME' when s.f_xethnic01 in ('31','32','33','34','39') then 'BME' WHEN (s.f_xhoos01 = '1' and s.F_ETHNIC IN ('41','42','43','49')) THEN 'BME' when s.f_xethnic01 in ('40') then 'BME' else 'U' end</v>
      </c>
      <c r="AB248" s="28" t="str">
        <f t="shared" si="38"/>
        <v>case when s.f_xethnic01 in ('10') then 'White' when s.f_xethnic01 in ('21','22','29') then 'BME' when s.f_xethnic01 in ('31','32','33','34','39') then 'BME' WHEN (s.f_xhoos01 = '1' and s.F_ETHNIC IN ('41','42','43','49')) THEN 'BME' when s.f_xethnic01 in ('40') then 'BME' else 'Unknown/Not applicable' end</v>
      </c>
      <c r="AC248" s="28" t="str">
        <f t="shared" si="37"/>
        <v>case when s.f_xethnic01 in ('10') then 'W' when s.f_xethnic01 in ('21','22','29') then 'BME' when s.f_xethnic01 in ('31','32','33','34','39') then 'BME' WHEN (s.f_xhoos01 = '1' and s.F_ETHNIC IN ('41','42','43','49')) THEN 'BME' when s.f_xethnic01 in ('40') then 'BME' else 'U' end</v>
      </c>
      <c r="AD248" s="28" t="str">
        <f t="shared" si="39"/>
        <v>case when s.f_xethnic01 in ('10') then 'White' when s.f_xethnic01 in ('21','22','29') then 'BME' when s.f_xethnic01 in ('31','32','33','34','39') then 'BME' WHEN (s.f_xhoos01 = '1' and s.F_ETHNIC IN ('41','42','43','49')) THEN 'BME' when s.f_xethnic01 in ('40') then 'BME' else 'Unknown/Not applicable' end</v>
      </c>
      <c r="AE248" t="str">
        <f t="shared" si="28"/>
        <v>[Ethnicity]</v>
      </c>
    </row>
    <row r="249" spans="1:32" ht="48" x14ac:dyDescent="0.2">
      <c r="A249">
        <v>100198</v>
      </c>
      <c r="B249" s="11" t="str">
        <f>DataItems3[[#This Row],[Field]]&amp;IF(DataItems3[[#This Row],[Options for supplying the Field]]="",""," "&amp;DataItems3[[#This Row],[Options for supplying the Field]])</f>
        <v>Ethnicity (Staff) (White/ Black - Caribbean/ Black - African/ Other Black background/ Asian - Indian/ Asian - Pakistani/ Asian - Bangladeshi/ Chinese/ Other Asian background/ Mixed/ Other/ [Unknown/Not applicable])</v>
      </c>
      <c r="C249">
        <v>100198</v>
      </c>
      <c r="D249" s="3" t="s">
        <v>100</v>
      </c>
      <c r="F249" s="3" t="s">
        <v>1001</v>
      </c>
      <c r="G249" s="3" t="s">
        <v>987</v>
      </c>
      <c r="H249" s="14" t="s">
        <v>988</v>
      </c>
      <c r="I249" s="3" t="s">
        <v>729</v>
      </c>
      <c r="J249" s="3">
        <v>2</v>
      </c>
      <c r="K249" s="3">
        <v>2</v>
      </c>
      <c r="L249" s="3">
        <v>3</v>
      </c>
      <c r="M249" s="3">
        <v>8</v>
      </c>
      <c r="Q249" s="16" t="s">
        <v>1003</v>
      </c>
      <c r="R249" s="3" t="s">
        <v>93</v>
      </c>
      <c r="S249" s="16" t="s">
        <v>1004</v>
      </c>
      <c r="U249" s="3" t="s">
        <v>1005</v>
      </c>
      <c r="V249" s="3" t="s">
        <v>93</v>
      </c>
      <c r="W249" s="57" t="s">
        <v>114</v>
      </c>
      <c r="X249" t="str">
        <f>DataItems3[[#This Row],[Collection]]&amp;DataItems3[[#This Row],[Field]]&amp;DataItems3[[#This Row],[Options for supplying the Field]]&amp;DataItems3[[#This Row],[Fieldname]]&amp;DataItems3[[#This Row],[Parent]]</f>
        <v>StaffEthnicity (Staff)(White/ Black - Caribbean/ Black - African/ Other Black background/ Asian - Indian/ Asian - Pakistani/ Asian - Bangladeshi/ Chinese/ Other Asian background/ Mixed/ Other/ [Unknown/Not applicable])F_ETHNIC</v>
      </c>
      <c r="Y249" s="15">
        <v>43684</v>
      </c>
      <c r="Z249" t="s">
        <v>95</v>
      </c>
      <c r="AA249" s="28" t="str">
        <f t="shared" si="30"/>
        <v>Case when p.f_ethnic in ('10','13','14','15','19','11','12') then 'White'when p.f_ethnic in ('41','42','43','49') then 'Mixed'when p.f_ethnic in ('50','80') then 'Other'when p.f_ethnic in ('90','98','99') then 'Unknown/Not available'else CAST(p.f_ethnic AS VARCHAR)end</v>
      </c>
      <c r="AB249" s="28" t="str">
        <f t="shared" si="38"/>
        <v>Case when p.f_ethnic in ('10','13','14','15','19','11','12') then 'White'when p.f_ethnic in ('41','42','43','49') then 'Mixed'when p.f_ethnic in ('50','80') then 'Other'when p.f_ethnic in ('90','98','99') then 'Unknown/Not available' else eth.dw_currentlabel end</v>
      </c>
      <c r="AC249" s="28" t="str">
        <f t="shared" si="37"/>
        <v/>
      </c>
      <c r="AD249" s="28" t="str">
        <f t="shared" si="39"/>
        <v/>
      </c>
      <c r="AE249" t="str">
        <f t="shared" si="28"/>
        <v>[Ethnicity (Staff)]</v>
      </c>
    </row>
    <row r="250" spans="1:32" ht="48" x14ac:dyDescent="0.2">
      <c r="A250">
        <v>100202</v>
      </c>
      <c r="B250" s="11" t="str">
        <f>DataItems3[[#This Row],[Field]]&amp;IF(DataItems3[[#This Row],[Options for supplying the Field]]="",""," "&amp;DataItems3[[#This Row],[Options for supplying the Field]])</f>
        <v>Ethnicity (Staff) (White/ BME/ [Unknown/Not applicable])</v>
      </c>
      <c r="C250">
        <v>100202</v>
      </c>
      <c r="D250" s="3" t="s">
        <v>100</v>
      </c>
      <c r="F250" s="3" t="s">
        <v>1001</v>
      </c>
      <c r="G250" s="13" t="s">
        <v>998</v>
      </c>
      <c r="H250" s="14" t="s">
        <v>988</v>
      </c>
      <c r="I250" s="3" t="s">
        <v>729</v>
      </c>
      <c r="J250" s="3">
        <v>3</v>
      </c>
      <c r="K250" s="3">
        <v>1</v>
      </c>
      <c r="L250" s="3">
        <v>1</v>
      </c>
      <c r="M250" s="3">
        <v>4</v>
      </c>
      <c r="Q250" s="16" t="s">
        <v>1002</v>
      </c>
      <c r="R250" s="3" t="s">
        <v>93</v>
      </c>
      <c r="S250" s="16" t="s">
        <v>1002</v>
      </c>
      <c r="U250" s="3" t="s">
        <v>93</v>
      </c>
      <c r="V250" s="3" t="s">
        <v>93</v>
      </c>
      <c r="W250" s="57" t="s">
        <v>3019</v>
      </c>
      <c r="X250" t="str">
        <f>DataItems3[[#This Row],[Collection]]&amp;DataItems3[[#This Row],[Field]]&amp;DataItems3[[#This Row],[Options for supplying the Field]]&amp;DataItems3[[#This Row],[Fieldname]]&amp;DataItems3[[#This Row],[Parent]]</f>
        <v>StaffEthnicity (Staff)(White/ BME/ [Unknown/Not applicable])F_ETHNIC</v>
      </c>
      <c r="Y250" s="15">
        <v>43684</v>
      </c>
      <c r="Z250" t="s">
        <v>95</v>
      </c>
      <c r="AA250" s="28" t="str">
        <f t="shared" si="30"/>
        <v>Case when p.f_ethnic in ('10','13','14','15','19','11','12') then 'White' when p.f_ethnic in ('90','98','99') then 'Unknown/Not available' else 'BME' end</v>
      </c>
      <c r="AB250" s="28" t="str">
        <f t="shared" si="38"/>
        <v>Case when p.f_ethnic in ('10','13','14','15','19','11','12') then 'White' when p.f_ethnic in ('90','98','99') then 'Unknown/Not available' else 'BME' end</v>
      </c>
      <c r="AC250" s="28" t="str">
        <f t="shared" si="37"/>
        <v/>
      </c>
      <c r="AD250" s="28" t="str">
        <f t="shared" si="39"/>
        <v/>
      </c>
      <c r="AE250" t="str">
        <f t="shared" si="28"/>
        <v>[Ethnicity (Staff)]</v>
      </c>
    </row>
    <row r="251" spans="1:32" ht="64" x14ac:dyDescent="0.2">
      <c r="A251">
        <v>100200</v>
      </c>
      <c r="B251" s="11" t="str">
        <f>DataItems3[[#This Row],[Field]]&amp;IF(DataItems3[[#This Row],[Options for supplying the Field]]="",""," "&amp;DataItems3[[#This Row],[Options for supplying the Field]])</f>
        <v>Ethnicity (Staff) (White/ Black/ Asian/ Mixed/ Other/ [Unknown/Not applicable])</v>
      </c>
      <c r="C251">
        <v>100200</v>
      </c>
      <c r="D251" s="3" t="s">
        <v>100</v>
      </c>
      <c r="F251" s="3" t="s">
        <v>1001</v>
      </c>
      <c r="G251" s="13" t="s">
        <v>993</v>
      </c>
      <c r="H251" s="14" t="s">
        <v>994</v>
      </c>
      <c r="I251" s="3" t="s">
        <v>729</v>
      </c>
      <c r="J251" s="3">
        <v>3</v>
      </c>
      <c r="K251" s="3">
        <v>2</v>
      </c>
      <c r="L251" s="3">
        <v>2</v>
      </c>
      <c r="M251" s="3">
        <v>6</v>
      </c>
      <c r="Q251" s="16" t="s">
        <v>1006</v>
      </c>
      <c r="R251" s="3" t="s">
        <v>93</v>
      </c>
      <c r="S251" s="16" t="s">
        <v>1007</v>
      </c>
      <c r="U251" s="3" t="s">
        <v>93</v>
      </c>
      <c r="V251" s="3" t="s">
        <v>93</v>
      </c>
      <c r="W251" s="57" t="s">
        <v>3019</v>
      </c>
      <c r="X251" t="str">
        <f>DataItems3[[#This Row],[Collection]]&amp;DataItems3[[#This Row],[Field]]&amp;DataItems3[[#This Row],[Options for supplying the Field]]&amp;DataItems3[[#This Row],[Fieldname]]&amp;DataItems3[[#This Row],[Parent]]</f>
        <v>StaffEthnicity (Staff)(White/ Black/ Asian/ Mixed/ Other/ [Unknown/Not applicable])F_XETHNIC01</v>
      </c>
      <c r="Y251" s="15">
        <v>43684</v>
      </c>
      <c r="Z251" t="s">
        <v>95</v>
      </c>
      <c r="AA251" s="28" t="str">
        <f t="shared" si="30"/>
        <v>CASE WHEN P.F_ETHNIC IN ('10', '13', '14', '15', '19','11','12') THEN 'W' when p.f_ethnic in ('21','22','29') then 'B' when p.f_ethnic in ('31','32','33','34','39') then 'A' WHEN P.F_ETHNIC IN ('41', '42', '43', '49') THEN 'M' WHEN P.F_ETHNIC IN ('50', '80') THEN 'O' WHEN P.F_ETHNIC IN ('90', '98','99') THEN 'Unknown/Not available' ELSE P.F_ETHNIC END</v>
      </c>
      <c r="AB251" s="28" t="str">
        <f t="shared" si="38"/>
        <v>CASE WHEN P.F_ETHNIC IN ('10', '13', '14', '15', '19','11','12') THEN 'White' when p.f_ethnic in ('21','22','29') then 'Black' when p.f_ethnic in ('31','32','33','34','39') then 'Asian' WHEN P.F_ETHNIC IN ('41', '42', '43', '49') THEN 'Mixed' WHEN P.F_ETHNIC IN ('50', '80') THEN 'Other' WHEN P.F_ETHNIC IN ('90', '98','99') THEN 'Unknown/Not available' ELSE P.F_ETHNIC END</v>
      </c>
      <c r="AC251" s="28" t="str">
        <f t="shared" si="37"/>
        <v/>
      </c>
      <c r="AD251" s="28" t="str">
        <f t="shared" si="39"/>
        <v/>
      </c>
      <c r="AE251" t="str">
        <f t="shared" si="28"/>
        <v>[Ethnicity (Staff)]</v>
      </c>
    </row>
    <row r="252" spans="1:32" ht="16" x14ac:dyDescent="0.2">
      <c r="A252">
        <v>100203</v>
      </c>
      <c r="B252" s="11" t="str">
        <f>DataItems3[[#This Row],[Field]]&amp;IF(DataItems3[[#This Row],[Options for supplying the Field]]="",""," "&amp;DataItems3[[#This Row],[Options for supplying the Field]])</f>
        <v>Exchange programmes</v>
      </c>
      <c r="C252">
        <v>100203</v>
      </c>
      <c r="D252" s="3" t="s">
        <v>86</v>
      </c>
      <c r="E252" s="3" t="s">
        <v>106</v>
      </c>
      <c r="F252" s="3" t="s">
        <v>1008</v>
      </c>
      <c r="G252" s="13"/>
      <c r="H252" s="14" t="s">
        <v>1009</v>
      </c>
      <c r="J252" s="3">
        <v>5</v>
      </c>
      <c r="K252" s="3">
        <v>2</v>
      </c>
      <c r="L252" s="3">
        <v>1</v>
      </c>
      <c r="M252" s="3">
        <v>0</v>
      </c>
      <c r="Q252" s="16" t="s">
        <v>1010</v>
      </c>
      <c r="R252" s="3" t="s">
        <v>3045</v>
      </c>
      <c r="S252" s="16" t="s">
        <v>1011</v>
      </c>
      <c r="T252" s="3" t="s">
        <v>3045</v>
      </c>
      <c r="U252" s="3" t="s">
        <v>93</v>
      </c>
      <c r="V252" s="3" t="s">
        <v>93</v>
      </c>
      <c r="W252" s="57" t="s">
        <v>145</v>
      </c>
      <c r="X252" t="str">
        <f>DataItems3[[#This Row],[Collection]]&amp;DataItems3[[#This Row],[Field]]&amp;DataItems3[[#This Row],[Options for supplying the Field]]&amp;DataItems3[[#This Row],[Fieldname]]&amp;DataItems3[[#This Row],[Parent]]</f>
        <v>StudentExchange programmesF_EXCHANGE</v>
      </c>
      <c r="Y252" s="15">
        <v>43438</v>
      </c>
      <c r="Z252" t="s">
        <v>102</v>
      </c>
      <c r="AA252" s="28" t="str">
        <f t="shared" si="30"/>
        <v>iif(s.F_EXCHANGE='','UNK',s.F_EXCHANGE)</v>
      </c>
      <c r="AB252" s="28" t="str">
        <f t="shared" si="38"/>
        <v xml:space="preserve"> s.F_EXCHANGE</v>
      </c>
      <c r="AC252" s="28" t="str">
        <f t="shared" si="37"/>
        <v>s.f_exchind</v>
      </c>
      <c r="AD252" s="28" t="str">
        <f t="shared" si="39"/>
        <v>s.f_exchind</v>
      </c>
      <c r="AE252" t="str">
        <f t="shared" si="28"/>
        <v>[Exchange programmes]</v>
      </c>
    </row>
    <row r="253" spans="1:32" ht="16" x14ac:dyDescent="0.2">
      <c r="A253">
        <v>100204</v>
      </c>
      <c r="B253" s="11" t="str">
        <f>DataItems3[[#This Row],[Field]]&amp;IF(DataItems3[[#This Row],[Options for supplying the Field]]="",""," "&amp;DataItems3[[#This Row],[Options for supplying the Field]])</f>
        <v>Expected length of programme</v>
      </c>
      <c r="C253">
        <v>100204</v>
      </c>
      <c r="D253" s="3" t="s">
        <v>86</v>
      </c>
      <c r="E253" s="3" t="s">
        <v>106</v>
      </c>
      <c r="F253" s="3" t="s">
        <v>1012</v>
      </c>
      <c r="G253" s="13"/>
      <c r="H253" s="14" t="s">
        <v>1013</v>
      </c>
      <c r="J253" s="3">
        <v>1</v>
      </c>
      <c r="K253" s="3">
        <v>2</v>
      </c>
      <c r="L253" s="3">
        <v>0</v>
      </c>
      <c r="M253" s="3">
        <v>0</v>
      </c>
      <c r="N253" s="3" t="s">
        <v>106</v>
      </c>
      <c r="Q253" s="16" t="s">
        <v>1014</v>
      </c>
      <c r="R253" s="16" t="s">
        <v>1014</v>
      </c>
      <c r="S253" s="16" t="s">
        <v>1015</v>
      </c>
      <c r="T253" s="16" t="s">
        <v>1015</v>
      </c>
      <c r="U253" s="3" t="s">
        <v>93</v>
      </c>
      <c r="V253" s="3" t="s">
        <v>93</v>
      </c>
      <c r="W253" s="57" t="s">
        <v>109</v>
      </c>
      <c r="X253" t="str">
        <f>DataItems3[[#This Row],[Collection]]&amp;DataItems3[[#This Row],[Field]]&amp;DataItems3[[#This Row],[Options for supplying the Field]]&amp;DataItems3[[#This Row],[Fieldname]]&amp;DataItems3[[#This Row],[Parent]]</f>
        <v>StudentExpected length of programmeF_XELSP01</v>
      </c>
      <c r="Y253" s="15">
        <v>43434</v>
      </c>
      <c r="Z253" t="s">
        <v>95</v>
      </c>
      <c r="AA253" s="28" t="str">
        <f t="shared" si="30"/>
        <v xml:space="preserve">CAST(s.F_XELSP01 AS VARCHAR(1)) </v>
      </c>
      <c r="AB253" s="28" t="str">
        <f t="shared" si="38"/>
        <v xml:space="preserve"> s.F_XELSP01</v>
      </c>
      <c r="AC253" s="28" t="str">
        <f t="shared" si="37"/>
        <v xml:space="preserve">CAST(s.F_XELSP01 AS VARCHAR(1)) </v>
      </c>
      <c r="AD253" s="28" t="str">
        <f t="shared" si="39"/>
        <v xml:space="preserve"> s.F_XELSP01</v>
      </c>
      <c r="AE253" t="str">
        <f t="shared" si="28"/>
        <v>[Expected length of programme]</v>
      </c>
      <c r="AF253">
        <v>100998</v>
      </c>
    </row>
    <row r="254" spans="1:32" ht="16" x14ac:dyDescent="0.2">
      <c r="A254">
        <v>100797</v>
      </c>
      <c r="B254" s="11" t="str">
        <f>DataItems3[[#This Row],[Field]]&amp;IF(DataItems3[[#This Row],[Options for supplying the Field]]="",""," "&amp;DataItems3[[#This Row],[Options for supplying the Field]])</f>
        <v>FE student marker</v>
      </c>
      <c r="C254">
        <v>100797</v>
      </c>
      <c r="D254" s="3" t="s">
        <v>86</v>
      </c>
      <c r="E254" s="3" t="s">
        <v>89</v>
      </c>
      <c r="F254" s="3" t="s">
        <v>1016</v>
      </c>
      <c r="G254" s="13"/>
      <c r="H254" s="14" t="s">
        <v>1017</v>
      </c>
      <c r="J254" s="3">
        <v>1</v>
      </c>
      <c r="K254" s="3">
        <v>1</v>
      </c>
      <c r="L254" s="3">
        <v>0</v>
      </c>
      <c r="M254" s="3">
        <v>0</v>
      </c>
      <c r="N254" s="3" t="s">
        <v>89</v>
      </c>
      <c r="Q254" s="28" t="s">
        <v>1018</v>
      </c>
      <c r="R254" s="14" t="s">
        <v>3000</v>
      </c>
      <c r="S254" s="16" t="s">
        <v>1019</v>
      </c>
      <c r="T254" s="14" t="s">
        <v>3000</v>
      </c>
      <c r="W254" s="57" t="s">
        <v>150</v>
      </c>
      <c r="X254" t="str">
        <f>DataItems3[[#This Row],[Collection]]&amp;DataItems3[[#This Row],[Field]]&amp;DataItems3[[#This Row],[Options for supplying the Field]]&amp;DataItems3[[#This Row],[Fieldname]]&amp;DataItems3[[#This Row],[Parent]]</f>
        <v>StudentFE student markerF_FESTUMK</v>
      </c>
      <c r="Y254" s="4">
        <v>44284</v>
      </c>
      <c r="Z254" t="s">
        <v>135</v>
      </c>
      <c r="AA254" s="28" t="str">
        <f t="shared" si="30"/>
        <v>ISNULL(i.F_FESTUMK, 'NA')</v>
      </c>
      <c r="AB254" s="28" t="str">
        <f t="shared" si="38"/>
        <v xml:space="preserve"> i.F_FESTUMK</v>
      </c>
      <c r="AC254" s="28"/>
      <c r="AD254" s="28"/>
      <c r="AE254" t="str">
        <f t="shared" ref="AE254:AE317" si="40">IF(F254="","","["&amp;SUBSTITUTE(SUBSTITUTE(SUBSTITUTE(F254,"[","{"),"]","}"),"⁽"&amp;CHAR(185)&amp;"⁾","")&amp;"]")</f>
        <v>[FE student marker]</v>
      </c>
    </row>
    <row r="255" spans="1:32" ht="16" x14ac:dyDescent="0.2">
      <c r="A255">
        <v>100206</v>
      </c>
      <c r="B255" s="11" t="str">
        <f>DataItems3[[#This Row],[Field]]&amp;IF(DataItems3[[#This Row],[Options for supplying the Field]]="",""," "&amp;DataItems3[[#This Row],[Options for supplying the Field]])</f>
        <v>Fee eligibility</v>
      </c>
      <c r="C255">
        <v>100206</v>
      </c>
      <c r="D255" s="3" t="s">
        <v>86</v>
      </c>
      <c r="E255" s="3" t="s">
        <v>89</v>
      </c>
      <c r="F255" s="3" t="s">
        <v>1020</v>
      </c>
      <c r="G255" s="13"/>
      <c r="H255" s="14" t="s">
        <v>1021</v>
      </c>
      <c r="J255" s="3">
        <v>1</v>
      </c>
      <c r="K255" s="3">
        <v>2</v>
      </c>
      <c r="L255" s="3">
        <v>0</v>
      </c>
      <c r="M255" s="3">
        <v>1</v>
      </c>
      <c r="N255" s="3" t="s">
        <v>106</v>
      </c>
      <c r="Q255" s="16" t="s">
        <v>1022</v>
      </c>
      <c r="R255" s="14" t="s">
        <v>3000</v>
      </c>
      <c r="S255" s="16" t="s">
        <v>1023</v>
      </c>
      <c r="T255" s="14" t="s">
        <v>3000</v>
      </c>
      <c r="U255" s="3" t="s">
        <v>93</v>
      </c>
      <c r="V255" s="3" t="s">
        <v>93</v>
      </c>
      <c r="W255" s="57" t="s">
        <v>150</v>
      </c>
      <c r="X255" t="str">
        <f>DataItems3[[#This Row],[Collection]]&amp;DataItems3[[#This Row],[Field]]&amp;DataItems3[[#This Row],[Options for supplying the Field]]&amp;DataItems3[[#This Row],[Fieldname]]&amp;DataItems3[[#This Row],[Parent]]</f>
        <v>StudentFee eligibilityF_FEEELIG</v>
      </c>
      <c r="Y255" s="15">
        <v>42921</v>
      </c>
      <c r="Z255" t="s">
        <v>139</v>
      </c>
      <c r="AA255" s="28" t="str">
        <f t="shared" si="30"/>
        <v>IIF(s.F_FEEELIG='-1','3',s.F_FEEELIG)</v>
      </c>
      <c r="AB255" s="28" t="str">
        <f t="shared" si="38"/>
        <v xml:space="preserve"> s.f_feeelig</v>
      </c>
      <c r="AC255" s="28"/>
      <c r="AD255" s="28"/>
      <c r="AE255" t="str">
        <f t="shared" si="40"/>
        <v>[Fee eligibility]</v>
      </c>
    </row>
    <row r="256" spans="1:32" ht="64" x14ac:dyDescent="0.2">
      <c r="A256">
        <v>100207</v>
      </c>
      <c r="B256" s="11" t="str">
        <f>DataItems3[[#This Row],[Field]]&amp;IF(DataItems3[[#This Row],[Options for supplying the Field]]="",""," "&amp;DataItems3[[#This Row],[Options for supplying the Field]])</f>
        <v>Finding the job (Your university/college Careers service) [JOBFOUND1] -opt in question</v>
      </c>
      <c r="C256">
        <v>100207</v>
      </c>
      <c r="D256" s="3" t="s">
        <v>151</v>
      </c>
      <c r="F256" s="3" t="s">
        <v>1024</v>
      </c>
      <c r="G256" s="13" t="s">
        <v>1025</v>
      </c>
      <c r="H256" s="3" t="s">
        <v>1026</v>
      </c>
      <c r="I256" s="3" t="s">
        <v>447</v>
      </c>
      <c r="J256" s="3">
        <v>1</v>
      </c>
      <c r="K256" s="3">
        <v>1</v>
      </c>
      <c r="L256" s="3">
        <v>0</v>
      </c>
      <c r="M256" s="3">
        <v>0</v>
      </c>
      <c r="P256" s="3" t="s">
        <v>448</v>
      </c>
      <c r="Q256" s="16" t="s">
        <v>1027</v>
      </c>
      <c r="R256" s="3" t="s">
        <v>93</v>
      </c>
      <c r="S256" s="16" t="s">
        <v>1027</v>
      </c>
      <c r="U256" s="3" t="s">
        <v>1028</v>
      </c>
      <c r="V256" s="3" t="s">
        <v>93</v>
      </c>
      <c r="W256" s="57" t="s">
        <v>2909</v>
      </c>
      <c r="X256" t="str">
        <f>DataItems3[[#This Row],[Collection]]&amp;DataItems3[[#This Row],[Field]]&amp;DataItems3[[#This Row],[Options for supplying the Field]]&amp;DataItems3[[#This Row],[Fieldname]]&amp;DataItems3[[#This Row],[Parent]]</f>
        <v>Graduate OutcomesFinding the job(Your university/college Careers service) [JOBFOUND1] -opt in questionJOBFOUND1Provider &gt; Graduate &gt; Opt in questions:</v>
      </c>
      <c r="Y256" s="15">
        <v>43550</v>
      </c>
      <c r="Z256" t="s">
        <v>159</v>
      </c>
      <c r="AA256" s="28" t="str">
        <f t="shared" si="30"/>
        <v>CASE WHEN ISNULL(g.ZRESPSTATUS, '02')='02' OR ISNULL(g.XACTIVITY, '99')='99' THEN 'Not in GO publication population' else IIF(isnull(oo.JOBFOUND1,'')='','NA/UNK',ISNULL(oo.JOBFOUND1,'NA/UNK')) end</v>
      </c>
      <c r="AB256" s="28" t="str">
        <f t="shared" si="38"/>
        <v>CASE WHEN ISNULL(g.ZRESPSTATUS, '02')='02' OR ISNULL(g.XACTIVITY, '99')='99' THEN 'Not in GO publication population' else IIF(isnull(oo.JOBFOUND1,'')='','NA/UNK',ISNULL(oo.JOBFOUND1,'NA/UNK')) end</v>
      </c>
      <c r="AC256" s="28" t="str">
        <f t="shared" ref="AC256:AC288" si="41">IF(R256="","",R256)</f>
        <v/>
      </c>
      <c r="AD256" s="28" t="str">
        <f t="shared" ref="AD256:AD288" si="42">IF(T256="","",IF(IFERROR(SEARCH("select",T256)&gt;0,0),IF(U256="",IF(MID(T256,SEARCH(H256,T256)-4,1)=" ",MID(T256,SEARCH(H256,T256)-2,LEN(O265)+2),MID(T256,SEARCH(H256,T256)-3,LEN(H256)+3)),U256&amp;"."&amp;H256),T256))</f>
        <v/>
      </c>
      <c r="AE256" t="str">
        <f t="shared" si="40"/>
        <v>[Finding the job]</v>
      </c>
    </row>
    <row r="257" spans="1:32" ht="48" x14ac:dyDescent="0.2">
      <c r="A257">
        <v>100208</v>
      </c>
      <c r="B257" s="11" t="str">
        <f>DataItems3[[#This Row],[Field]]&amp;IF(DataItems3[[#This Row],[Options for supplying the Field]]="",""," "&amp;DataItems3[[#This Row],[Options for supplying the Field]])</f>
        <v>Finding the job (Online job site) [JOBFOUND10] -opt in question</v>
      </c>
      <c r="C257">
        <v>100208</v>
      </c>
      <c r="D257" s="3" t="s">
        <v>151</v>
      </c>
      <c r="F257" s="3" t="s">
        <v>1024</v>
      </c>
      <c r="G257" s="13" t="s">
        <v>1029</v>
      </c>
      <c r="H257" s="3" t="s">
        <v>1030</v>
      </c>
      <c r="I257" s="3" t="s">
        <v>447</v>
      </c>
      <c r="J257" s="3">
        <v>1</v>
      </c>
      <c r="K257" s="3">
        <v>1</v>
      </c>
      <c r="L257" s="3">
        <v>0</v>
      </c>
      <c r="M257" s="3">
        <v>0</v>
      </c>
      <c r="P257" s="3" t="s">
        <v>448</v>
      </c>
      <c r="Q257" s="16" t="s">
        <v>1031</v>
      </c>
      <c r="R257" s="3" t="s">
        <v>93</v>
      </c>
      <c r="S257" s="16" t="s">
        <v>1031</v>
      </c>
      <c r="U257" s="3" t="s">
        <v>1028</v>
      </c>
      <c r="V257" s="3" t="s">
        <v>93</v>
      </c>
      <c r="W257" s="57" t="s">
        <v>2909</v>
      </c>
      <c r="X257" t="str">
        <f>DataItems3[[#This Row],[Collection]]&amp;DataItems3[[#This Row],[Field]]&amp;DataItems3[[#This Row],[Options for supplying the Field]]&amp;DataItems3[[#This Row],[Fieldname]]&amp;DataItems3[[#This Row],[Parent]]</f>
        <v>Graduate OutcomesFinding the job(Online job site) [JOBFOUND10] -opt in questionJOBFOUND10Provider &gt; Graduate &gt; Opt in questions:</v>
      </c>
      <c r="Y257" s="15">
        <v>43550</v>
      </c>
      <c r="Z257" t="s">
        <v>159</v>
      </c>
      <c r="AA257" s="28" t="str">
        <f t="shared" si="30"/>
        <v>CASE WHEN ISNULL(g.ZRESPSTATUS, '02')='02' OR ISNULL(g.XACTIVITY, '99')='99' THEN 'Not in GO publication population' else IIF(isnull(oo.JOBFOUND10,'')='','NA/UNK',ISNULL(oo.JOBFOUND10,'NA/UNK')) end</v>
      </c>
      <c r="AB257" s="28" t="str">
        <f t="shared" si="38"/>
        <v>CASE WHEN ISNULL(g.ZRESPSTATUS, '02')='02' OR ISNULL(g.XACTIVITY, '99')='99' THEN 'Not in GO publication population' else IIF(isnull(oo.JOBFOUND10,'')='','NA/UNK',ISNULL(oo.JOBFOUND10,'NA/UNK')) end</v>
      </c>
      <c r="AC257" s="28" t="str">
        <f t="shared" si="41"/>
        <v/>
      </c>
      <c r="AD257" s="28" t="str">
        <f t="shared" si="42"/>
        <v/>
      </c>
      <c r="AE257" t="str">
        <f t="shared" si="40"/>
        <v>[Finding the job]</v>
      </c>
    </row>
    <row r="258" spans="1:32" ht="32" x14ac:dyDescent="0.2">
      <c r="A258">
        <v>100209</v>
      </c>
      <c r="B258" s="11" t="str">
        <f>DataItems3[[#This Row],[Field]]&amp;IF(DataItems3[[#This Row],[Options for supplying the Field]]="",""," "&amp;DataItems3[[#This Row],[Options for supplying the Field]])</f>
        <v>Finding the job (Other) [JOBFOUND11] -opt in question</v>
      </c>
      <c r="C258">
        <v>100209</v>
      </c>
      <c r="D258" s="3" t="s">
        <v>151</v>
      </c>
      <c r="F258" s="3" t="s">
        <v>1024</v>
      </c>
      <c r="G258" s="13" t="s">
        <v>1032</v>
      </c>
      <c r="H258" s="3" t="s">
        <v>1033</v>
      </c>
      <c r="I258" s="3" t="s">
        <v>447</v>
      </c>
      <c r="J258" s="3">
        <v>1</v>
      </c>
      <c r="K258" s="3">
        <v>1</v>
      </c>
      <c r="L258" s="3">
        <v>0</v>
      </c>
      <c r="M258" s="3">
        <v>0</v>
      </c>
      <c r="P258" s="3" t="s">
        <v>448</v>
      </c>
      <c r="Q258" s="16" t="s">
        <v>1034</v>
      </c>
      <c r="R258" s="3" t="s">
        <v>93</v>
      </c>
      <c r="S258" s="16" t="s">
        <v>1034</v>
      </c>
      <c r="U258" s="3" t="s">
        <v>1028</v>
      </c>
      <c r="V258" s="3" t="s">
        <v>93</v>
      </c>
      <c r="W258" s="57" t="s">
        <v>2909</v>
      </c>
      <c r="X258" t="str">
        <f>DataItems3[[#This Row],[Collection]]&amp;DataItems3[[#This Row],[Field]]&amp;DataItems3[[#This Row],[Options for supplying the Field]]&amp;DataItems3[[#This Row],[Fieldname]]&amp;DataItems3[[#This Row],[Parent]]</f>
        <v>Graduate OutcomesFinding the job(Other) [JOBFOUND11] -opt in questionJOBFOUND11Provider &gt; Graduate &gt; Opt in questions:</v>
      </c>
      <c r="Y258" s="15">
        <v>43550</v>
      </c>
      <c r="Z258" t="s">
        <v>159</v>
      </c>
      <c r="AA258" s="28" t="str">
        <f t="shared" si="30"/>
        <v>CASE WHEN ISNULL(g.ZRESPSTATUS, '02')='02' OR ISNULL(g.XACTIVITY, '99')='99' THEN 'Not in GO publication population' else IIF(isnull(oo.JOBFOUND11,'')='','NA/UNK',ISNULL(oo.JOBFOUND11,'NA/UNK')) end</v>
      </c>
      <c r="AB258" s="28" t="str">
        <f t="shared" si="38"/>
        <v>CASE WHEN ISNULL(g.ZRESPSTATUS, '02')='02' OR ISNULL(g.XACTIVITY, '99')='99' THEN 'Not in GO publication population' else IIF(isnull(oo.JOBFOUND11,'')='','NA/UNK',ISNULL(oo.JOBFOUND11,'NA/UNK')) end</v>
      </c>
      <c r="AC258" s="28" t="str">
        <f t="shared" si="41"/>
        <v/>
      </c>
      <c r="AD258" s="28" t="str">
        <f t="shared" si="42"/>
        <v/>
      </c>
      <c r="AE258" t="str">
        <f t="shared" si="40"/>
        <v>[Finding the job]</v>
      </c>
    </row>
    <row r="259" spans="1:32" ht="48" x14ac:dyDescent="0.2">
      <c r="A259">
        <v>100210</v>
      </c>
      <c r="B259" s="11" t="str">
        <f>DataItems3[[#This Row],[Field]]&amp;IF(DataItems3[[#This Row],[Options for supplying the Field]]="",""," "&amp;DataItems3[[#This Row],[Options for supplying the Field]])</f>
        <v>Finding the job (Employer's website) [JOBFOUND2] -opt in question</v>
      </c>
      <c r="C259">
        <v>100210</v>
      </c>
      <c r="D259" s="3" t="s">
        <v>151</v>
      </c>
      <c r="F259" s="3" t="s">
        <v>1024</v>
      </c>
      <c r="G259" s="13" t="s">
        <v>1035</v>
      </c>
      <c r="H259" s="3" t="s">
        <v>1036</v>
      </c>
      <c r="I259" s="3" t="s">
        <v>447</v>
      </c>
      <c r="J259" s="3">
        <v>1</v>
      </c>
      <c r="K259" s="3">
        <v>1</v>
      </c>
      <c r="L259" s="3">
        <v>0</v>
      </c>
      <c r="M259" s="3">
        <v>0</v>
      </c>
      <c r="P259" s="3" t="s">
        <v>448</v>
      </c>
      <c r="Q259" s="16" t="s">
        <v>1037</v>
      </c>
      <c r="R259" s="3" t="s">
        <v>93</v>
      </c>
      <c r="S259" s="16" t="s">
        <v>1037</v>
      </c>
      <c r="U259" s="3" t="s">
        <v>1028</v>
      </c>
      <c r="V259" s="3" t="s">
        <v>93</v>
      </c>
      <c r="W259" s="57" t="s">
        <v>2909</v>
      </c>
      <c r="X259" t="str">
        <f>DataItems3[[#This Row],[Collection]]&amp;DataItems3[[#This Row],[Field]]&amp;DataItems3[[#This Row],[Options for supplying the Field]]&amp;DataItems3[[#This Row],[Fieldname]]&amp;DataItems3[[#This Row],[Parent]]</f>
        <v>Graduate OutcomesFinding the job(Employer's website) [JOBFOUND2] -opt in questionJOBFOUND2Provider &gt; Graduate &gt; Opt in questions:</v>
      </c>
      <c r="Y259" s="15">
        <v>43550</v>
      </c>
      <c r="Z259" t="s">
        <v>159</v>
      </c>
      <c r="AA259" s="28" t="str">
        <f t="shared" ref="AA259:AA288" si="43">IF(Q259="","",Q259)</f>
        <v>CASE WHEN ISNULL(g.ZRESPSTATUS, '02')='02' OR ISNULL(g.XACTIVITY, '99')='99' THEN 'Not in GO publication population' else IIF(isnull(oo.JOBFOUND2,'')='','NA/UNK',ISNULL(oo.JOBFOUND2,'NA/UNK')) end</v>
      </c>
      <c r="AB259" s="28" t="str">
        <f t="shared" si="38"/>
        <v>CASE WHEN ISNULL(g.ZRESPSTATUS, '02')='02' OR ISNULL(g.XACTIVITY, '99')='99' THEN 'Not in GO publication population' else IIF(isnull(oo.JOBFOUND2,'')='','NA/UNK',ISNULL(oo.JOBFOUND2,'NA/UNK')) end</v>
      </c>
      <c r="AC259" s="28" t="str">
        <f t="shared" si="41"/>
        <v/>
      </c>
      <c r="AD259" s="28" t="str">
        <f t="shared" si="42"/>
        <v/>
      </c>
      <c r="AE259" t="str">
        <f t="shared" si="40"/>
        <v>[Finding the job]</v>
      </c>
    </row>
    <row r="260" spans="1:32" ht="64" x14ac:dyDescent="0.2">
      <c r="A260">
        <v>100211</v>
      </c>
      <c r="B260" s="11" t="str">
        <f>DataItems3[[#This Row],[Field]]&amp;IF(DataItems3[[#This Row],[Options for supplying the Field]]="",""," "&amp;DataItems3[[#This Row],[Options for supplying the Field]])</f>
        <v>Finding the job (Other university/college source (e.g. lecturer, website)) [JOBFOUND3] -opt in question</v>
      </c>
      <c r="C260">
        <v>100211</v>
      </c>
      <c r="D260" s="3" t="s">
        <v>151</v>
      </c>
      <c r="F260" s="3" t="s">
        <v>1024</v>
      </c>
      <c r="G260" s="13" t="s">
        <v>1038</v>
      </c>
      <c r="H260" s="3" t="s">
        <v>1039</v>
      </c>
      <c r="I260" s="3" t="s">
        <v>447</v>
      </c>
      <c r="J260" s="3">
        <v>1</v>
      </c>
      <c r="K260" s="3">
        <v>1</v>
      </c>
      <c r="L260" s="3">
        <v>0</v>
      </c>
      <c r="M260" s="3">
        <v>0</v>
      </c>
      <c r="P260" s="3" t="s">
        <v>448</v>
      </c>
      <c r="Q260" s="16" t="s">
        <v>1040</v>
      </c>
      <c r="R260" s="3" t="s">
        <v>93</v>
      </c>
      <c r="S260" s="16" t="s">
        <v>1040</v>
      </c>
      <c r="U260" s="3" t="s">
        <v>1028</v>
      </c>
      <c r="V260" s="3" t="s">
        <v>93</v>
      </c>
      <c r="W260" s="57" t="s">
        <v>2909</v>
      </c>
      <c r="X260" t="str">
        <f>DataItems3[[#This Row],[Collection]]&amp;DataItems3[[#This Row],[Field]]&amp;DataItems3[[#This Row],[Options for supplying the Field]]&amp;DataItems3[[#This Row],[Fieldname]]&amp;DataItems3[[#This Row],[Parent]]</f>
        <v>Graduate OutcomesFinding the job(Other university/college source (e.g. lecturer, website)) [JOBFOUND3] -opt in questionJOBFOUND3Provider &gt; Graduate &gt; Opt in questions:</v>
      </c>
      <c r="Y260" s="15">
        <v>43550</v>
      </c>
      <c r="Z260" t="s">
        <v>159</v>
      </c>
      <c r="AA260" s="28" t="str">
        <f t="shared" si="43"/>
        <v>CASE WHEN ISNULL(g.ZRESPSTATUS, '02')='02' OR ISNULL(g.XACTIVITY, '99')='99' THEN 'Not in GO publication population' else IIF(isnull(oo.JOBFOUND3,'')='','NA/UNK',ISNULL(oo.JOBFOUND3,'NA/UNK')) end</v>
      </c>
      <c r="AB260" s="28" t="str">
        <f t="shared" si="38"/>
        <v>CASE WHEN ISNULL(g.ZRESPSTATUS, '02')='02' OR ISNULL(g.XACTIVITY, '99')='99' THEN 'Not in GO publication population' else IIF(isnull(oo.JOBFOUND3,'')='','NA/UNK',ISNULL(oo.JOBFOUND3,'NA/UNK')) end</v>
      </c>
      <c r="AC260" s="28" t="str">
        <f t="shared" si="41"/>
        <v/>
      </c>
      <c r="AD260" s="28" t="str">
        <f t="shared" si="42"/>
        <v/>
      </c>
      <c r="AE260" t="str">
        <f t="shared" si="40"/>
        <v>[Finding the job]</v>
      </c>
    </row>
    <row r="261" spans="1:32" ht="64" x14ac:dyDescent="0.2">
      <c r="A261">
        <v>100212</v>
      </c>
      <c r="B261" s="11" t="str">
        <f>DataItems3[[#This Row],[Field]]&amp;IF(DataItems3[[#This Row],[Options for supplying the Field]]="",""," "&amp;DataItems3[[#This Row],[Options for supplying the Field]])</f>
        <v>Finding the job (Recruitment agency/website) [JOBFOUND4] -opt in question</v>
      </c>
      <c r="C261">
        <v>100212</v>
      </c>
      <c r="D261" s="3" t="s">
        <v>151</v>
      </c>
      <c r="F261" s="3" t="s">
        <v>1024</v>
      </c>
      <c r="G261" s="13" t="s">
        <v>1041</v>
      </c>
      <c r="H261" s="3" t="s">
        <v>1042</v>
      </c>
      <c r="I261" s="3" t="s">
        <v>447</v>
      </c>
      <c r="J261" s="3">
        <v>1</v>
      </c>
      <c r="K261" s="3">
        <v>1</v>
      </c>
      <c r="L261" s="3">
        <v>0</v>
      </c>
      <c r="M261" s="3">
        <v>0</v>
      </c>
      <c r="P261" s="3" t="s">
        <v>448</v>
      </c>
      <c r="Q261" s="16" t="s">
        <v>1043</v>
      </c>
      <c r="R261" s="3" t="s">
        <v>93</v>
      </c>
      <c r="S261" s="16" t="s">
        <v>1043</v>
      </c>
      <c r="U261" s="3" t="s">
        <v>1028</v>
      </c>
      <c r="V261" s="3" t="s">
        <v>93</v>
      </c>
      <c r="W261" s="57" t="s">
        <v>2909</v>
      </c>
      <c r="X261" t="str">
        <f>DataItems3[[#This Row],[Collection]]&amp;DataItems3[[#This Row],[Field]]&amp;DataItems3[[#This Row],[Options for supplying the Field]]&amp;DataItems3[[#This Row],[Fieldname]]&amp;DataItems3[[#This Row],[Parent]]</f>
        <v>Graduate OutcomesFinding the job(Recruitment agency/website) [JOBFOUND4] -opt in questionJOBFOUND4Provider &gt; Graduate &gt; Opt in questions:</v>
      </c>
      <c r="Y261" s="15">
        <v>43550</v>
      </c>
      <c r="Z261" t="s">
        <v>159</v>
      </c>
      <c r="AA261" s="28" t="str">
        <f t="shared" si="43"/>
        <v>CASE WHEN ISNULL(g.ZRESPSTATUS, '02')='02' OR ISNULL(g.XACTIVITY, '99')='99' THEN 'Not in GO publication population' else IIF(isnull(oo.JOBFOUND4,'')='','NA/UNK',ISNULL(oo.JOBFOUND4,'NA/UNK')) end</v>
      </c>
      <c r="AB261" s="28" t="str">
        <f t="shared" si="38"/>
        <v>CASE WHEN ISNULL(g.ZRESPSTATUS, '02')='02' OR ISNULL(g.XACTIVITY, '99')='99' THEN 'Not in GO publication population' else IIF(isnull(oo.JOBFOUND4,'')='','NA/UNK',ISNULL(oo.JOBFOUND4,'NA/UNK')) end</v>
      </c>
      <c r="AC261" s="28" t="str">
        <f t="shared" si="41"/>
        <v/>
      </c>
      <c r="AD261" s="28" t="str">
        <f t="shared" si="42"/>
        <v/>
      </c>
      <c r="AE261" t="str">
        <f t="shared" si="40"/>
        <v>[Finding the job]</v>
      </c>
    </row>
    <row r="262" spans="1:32" ht="80" x14ac:dyDescent="0.2">
      <c r="A262">
        <v>100213</v>
      </c>
      <c r="B262" s="11" t="str">
        <f>DataItems3[[#This Row],[Field]]&amp;IF(DataItems3[[#This Row],[Options for supplying the Field]]="",""," "&amp;DataItems3[[#This Row],[Options for supplying the Field]])</f>
        <v>Finding the job (Media (e.g. newspaper/magazine advertisement)) [JOBFOUND5] -opt in question</v>
      </c>
      <c r="C262">
        <v>100213</v>
      </c>
      <c r="D262" s="3" t="s">
        <v>151</v>
      </c>
      <c r="F262" s="3" t="s">
        <v>1024</v>
      </c>
      <c r="G262" s="13" t="s">
        <v>1044</v>
      </c>
      <c r="H262" s="3" t="s">
        <v>1045</v>
      </c>
      <c r="I262" s="3" t="s">
        <v>447</v>
      </c>
      <c r="J262" s="3">
        <v>1</v>
      </c>
      <c r="K262" s="3">
        <v>1</v>
      </c>
      <c r="L262" s="3">
        <v>0</v>
      </c>
      <c r="M262" s="3">
        <v>0</v>
      </c>
      <c r="P262" s="3" t="s">
        <v>448</v>
      </c>
      <c r="Q262" s="16" t="s">
        <v>1046</v>
      </c>
      <c r="R262" s="3" t="s">
        <v>93</v>
      </c>
      <c r="S262" s="16" t="s">
        <v>1046</v>
      </c>
      <c r="U262" s="3" t="s">
        <v>1028</v>
      </c>
      <c r="V262" s="3" t="s">
        <v>93</v>
      </c>
      <c r="W262" s="57" t="s">
        <v>2909</v>
      </c>
      <c r="X262" t="str">
        <f>DataItems3[[#This Row],[Collection]]&amp;DataItems3[[#This Row],[Field]]&amp;DataItems3[[#This Row],[Options for supplying the Field]]&amp;DataItems3[[#This Row],[Fieldname]]&amp;DataItems3[[#This Row],[Parent]]</f>
        <v>Graduate OutcomesFinding the job(Media (e.g. newspaper/magazine advertisement)) [JOBFOUND5] -opt in questionJOBFOUND5Provider &gt; Graduate &gt; Opt in questions:</v>
      </c>
      <c r="Y262" s="15">
        <v>43550</v>
      </c>
      <c r="Z262" t="s">
        <v>159</v>
      </c>
      <c r="AA262" s="28" t="str">
        <f t="shared" si="43"/>
        <v>CASE WHEN ISNULL(g.ZRESPSTATUS, '02')='02' OR ISNULL(g.XACTIVITY, '99')='99' THEN 'Not in GO publication population' else IIF(isnull(oo.JOBFOUND5,'')='','NA/UNK',ISNULL(oo.JOBFOUND5,'NA/UNK')) end</v>
      </c>
      <c r="AB262" s="28" t="str">
        <f t="shared" si="38"/>
        <v>CASE WHEN ISNULL(g.ZRESPSTATUS, '02')='02' OR ISNULL(g.XACTIVITY, '99')='99' THEN 'Not in GO publication population' else IIF(isnull(oo.JOBFOUND5,'')='','NA/UNK',ISNULL(oo.JOBFOUND5,'NA/UNK')) end</v>
      </c>
      <c r="AC262" s="28" t="str">
        <f t="shared" si="41"/>
        <v/>
      </c>
      <c r="AD262" s="28" t="str">
        <f t="shared" si="42"/>
        <v/>
      </c>
      <c r="AE262" t="str">
        <f t="shared" si="40"/>
        <v>[Finding the job]</v>
      </c>
    </row>
    <row r="263" spans="1:32" ht="48" x14ac:dyDescent="0.2">
      <c r="A263">
        <v>100214</v>
      </c>
      <c r="B263" s="11" t="str">
        <f>DataItems3[[#This Row],[Field]]&amp;IF(DataItems3[[#This Row],[Options for supplying the Field]]="",""," "&amp;DataItems3[[#This Row],[Options for supplying the Field]])</f>
        <v>Finding the job (Speculative application) [JOBFOUND6] -opt in question</v>
      </c>
      <c r="C263">
        <v>100214</v>
      </c>
      <c r="D263" s="3" t="s">
        <v>151</v>
      </c>
      <c r="F263" s="3" t="s">
        <v>1024</v>
      </c>
      <c r="G263" s="13" t="s">
        <v>1047</v>
      </c>
      <c r="H263" s="3" t="s">
        <v>1048</v>
      </c>
      <c r="I263" s="3" t="s">
        <v>447</v>
      </c>
      <c r="J263" s="3">
        <v>1</v>
      </c>
      <c r="K263" s="3">
        <v>1</v>
      </c>
      <c r="L263" s="3">
        <v>0</v>
      </c>
      <c r="M263" s="3">
        <v>0</v>
      </c>
      <c r="P263" s="3" t="s">
        <v>448</v>
      </c>
      <c r="Q263" s="16" t="s">
        <v>1049</v>
      </c>
      <c r="R263" s="3" t="s">
        <v>93</v>
      </c>
      <c r="S263" s="16" t="s">
        <v>1049</v>
      </c>
      <c r="U263" s="3" t="s">
        <v>1028</v>
      </c>
      <c r="V263" s="3" t="s">
        <v>93</v>
      </c>
      <c r="W263" s="57" t="s">
        <v>2909</v>
      </c>
      <c r="X263" t="str">
        <f>DataItems3[[#This Row],[Collection]]&amp;DataItems3[[#This Row],[Field]]&amp;DataItems3[[#This Row],[Options for supplying the Field]]&amp;DataItems3[[#This Row],[Fieldname]]&amp;DataItems3[[#This Row],[Parent]]</f>
        <v>Graduate OutcomesFinding the job(Speculative application) [JOBFOUND6] -opt in questionJOBFOUND6Provider &gt; Graduate &gt; Opt in questions:</v>
      </c>
      <c r="Y263" s="15">
        <v>43550</v>
      </c>
      <c r="Z263" t="s">
        <v>159</v>
      </c>
      <c r="AA263" s="28" t="str">
        <f t="shared" si="43"/>
        <v>CASE WHEN ISNULL(g.ZRESPSTATUS, '02')='02' OR ISNULL(g.XACTIVITY, '99')='99' THEN 'Not in GO publication population' else IIF(isnull(oo.JOBFOUND6,'')='','NA/UNK',ISNULL(oo.JOBFOUND6,'NA/UNK')) end</v>
      </c>
      <c r="AB263" s="28" t="str">
        <f t="shared" si="38"/>
        <v>CASE WHEN ISNULL(g.ZRESPSTATUS, '02')='02' OR ISNULL(g.XACTIVITY, '99')='99' THEN 'Not in GO publication population' else IIF(isnull(oo.JOBFOUND6,'')='','NA/UNK',ISNULL(oo.JOBFOUND6,'NA/UNK')) end</v>
      </c>
      <c r="AC263" s="28" t="str">
        <f t="shared" si="41"/>
        <v/>
      </c>
      <c r="AD263" s="28" t="str">
        <f t="shared" si="42"/>
        <v/>
      </c>
      <c r="AE263" t="str">
        <f t="shared" si="40"/>
        <v>[Finding the job]</v>
      </c>
    </row>
    <row r="264" spans="1:32" ht="64" x14ac:dyDescent="0.2">
      <c r="A264">
        <v>100215</v>
      </c>
      <c r="B264" s="11" t="str">
        <f>DataItems3[[#This Row],[Field]]&amp;IF(DataItems3[[#This Row],[Options for supplying the Field]]="",""," "&amp;DataItems3[[#This Row],[Options for supplying the Field]])</f>
        <v>Finding the job (Network, including family and friends) [JOBFOUND7] -opt in question</v>
      </c>
      <c r="C264">
        <v>100215</v>
      </c>
      <c r="D264" s="3" t="s">
        <v>151</v>
      </c>
      <c r="F264" s="3" t="s">
        <v>1024</v>
      </c>
      <c r="G264" s="13" t="s">
        <v>1050</v>
      </c>
      <c r="H264" s="3" t="s">
        <v>1051</v>
      </c>
      <c r="I264" s="3" t="s">
        <v>447</v>
      </c>
      <c r="J264" s="3">
        <v>1</v>
      </c>
      <c r="K264" s="3">
        <v>1</v>
      </c>
      <c r="L264" s="3">
        <v>0</v>
      </c>
      <c r="M264" s="3">
        <v>0</v>
      </c>
      <c r="P264" s="3" t="s">
        <v>448</v>
      </c>
      <c r="Q264" s="16" t="s">
        <v>1052</v>
      </c>
      <c r="R264" s="3" t="s">
        <v>93</v>
      </c>
      <c r="S264" s="16" t="s">
        <v>1052</v>
      </c>
      <c r="U264" s="3" t="s">
        <v>1028</v>
      </c>
      <c r="V264" s="3" t="s">
        <v>93</v>
      </c>
      <c r="W264" s="57" t="s">
        <v>2909</v>
      </c>
      <c r="X264" t="str">
        <f>DataItems3[[#This Row],[Collection]]&amp;DataItems3[[#This Row],[Field]]&amp;DataItems3[[#This Row],[Options for supplying the Field]]&amp;DataItems3[[#This Row],[Fieldname]]&amp;DataItems3[[#This Row],[Parent]]</f>
        <v>Graduate OutcomesFinding the job(Network, including family and friends) [JOBFOUND7] -opt in questionJOBFOUND7Provider &gt; Graduate &gt; Opt in questions:</v>
      </c>
      <c r="Y264" s="15">
        <v>43550</v>
      </c>
      <c r="Z264" t="s">
        <v>159</v>
      </c>
      <c r="AA264" s="28" t="str">
        <f t="shared" si="43"/>
        <v>CASE WHEN ISNULL(g.ZRESPSTATUS, '02')='02' OR ISNULL(g.XACTIVITY, '99')='99' THEN 'Not in GO publication population' else IIF(isnull(oo.JOBFOUND7,'')='','NA/UNK',ISNULL(oo.JOBFOUND7,'NA/UNK')) end</v>
      </c>
      <c r="AB264" s="28" t="str">
        <f t="shared" si="38"/>
        <v>CASE WHEN ISNULL(g.ZRESPSTATUS, '02')='02' OR ISNULL(g.XACTIVITY, '99')='99' THEN 'Not in GO publication population' else IIF(isnull(oo.JOBFOUND7,'')='','NA/UNK',ISNULL(oo.JOBFOUND7,'NA/UNK')) end</v>
      </c>
      <c r="AC264" s="28" t="str">
        <f t="shared" si="41"/>
        <v/>
      </c>
      <c r="AD264" s="28" t="str">
        <f t="shared" si="42"/>
        <v/>
      </c>
      <c r="AE264" t="str">
        <f t="shared" si="40"/>
        <v>[Finding the job]</v>
      </c>
    </row>
    <row r="265" spans="1:32" ht="96" x14ac:dyDescent="0.2">
      <c r="A265">
        <v>100216</v>
      </c>
      <c r="B265" s="11" t="str">
        <f>DataItems3[[#This Row],[Field]]&amp;IF(DataItems3[[#This Row],[Options for supplying the Field]]="",""," "&amp;DataItems3[[#This Row],[Options for supplying the Field]])</f>
        <v>Finding the job (Already worked there (including on an internship/placement/apprenticeship)) [JOBFOUND8] -opt in question</v>
      </c>
      <c r="C265">
        <v>100216</v>
      </c>
      <c r="D265" s="3" t="s">
        <v>151</v>
      </c>
      <c r="F265" s="3" t="s">
        <v>1024</v>
      </c>
      <c r="G265" s="13" t="s">
        <v>1053</v>
      </c>
      <c r="H265" s="3" t="s">
        <v>1054</v>
      </c>
      <c r="I265" s="3" t="s">
        <v>447</v>
      </c>
      <c r="J265" s="3">
        <v>1</v>
      </c>
      <c r="K265" s="3">
        <v>1</v>
      </c>
      <c r="L265" s="3">
        <v>0</v>
      </c>
      <c r="M265" s="3">
        <v>0</v>
      </c>
      <c r="P265" s="3" t="s">
        <v>448</v>
      </c>
      <c r="Q265" s="16" t="s">
        <v>1055</v>
      </c>
      <c r="R265" s="3" t="s">
        <v>93</v>
      </c>
      <c r="S265" s="16" t="s">
        <v>1055</v>
      </c>
      <c r="U265" s="3" t="s">
        <v>1028</v>
      </c>
      <c r="V265" s="3" t="s">
        <v>93</v>
      </c>
      <c r="W265" s="57" t="s">
        <v>2909</v>
      </c>
      <c r="X265" t="str">
        <f>DataItems3[[#This Row],[Collection]]&amp;DataItems3[[#This Row],[Field]]&amp;DataItems3[[#This Row],[Options for supplying the Field]]&amp;DataItems3[[#This Row],[Fieldname]]&amp;DataItems3[[#This Row],[Parent]]</f>
        <v>Graduate OutcomesFinding the job(Already worked there (including on an internship/placement/apprenticeship)) [JOBFOUND8] -opt in questionJOBFOUND8Provider &gt; Graduate &gt; Opt in questions:</v>
      </c>
      <c r="Y265" s="15">
        <v>43550</v>
      </c>
      <c r="Z265" t="s">
        <v>159</v>
      </c>
      <c r="AA265" s="28" t="str">
        <f t="shared" si="43"/>
        <v>CASE WHEN ISNULL(g.ZRESPSTATUS, '02')='02' OR ISNULL(g.XACTIVITY, '99')='99' THEN 'Not in GO publication population' else IIF(isnull(oo.JOBFOUND8,'')='','NA/UNK',ISNULL(oo.JOBFOUND8,'NA/UNK')) end</v>
      </c>
      <c r="AB265" s="28" t="str">
        <f t="shared" si="38"/>
        <v>CASE WHEN ISNULL(g.ZRESPSTATUS, '02')='02' OR ISNULL(g.XACTIVITY, '99')='99' THEN 'Not in GO publication population' else IIF(isnull(oo.JOBFOUND8,'')='','NA/UNK',ISNULL(oo.JOBFOUND8,'NA/UNK')) end</v>
      </c>
      <c r="AC265" s="28" t="str">
        <f t="shared" si="41"/>
        <v/>
      </c>
      <c r="AD265" s="28" t="str">
        <f t="shared" si="42"/>
        <v/>
      </c>
      <c r="AE265" t="str">
        <f t="shared" si="40"/>
        <v>[Finding the job]</v>
      </c>
    </row>
    <row r="266" spans="1:32" ht="80" x14ac:dyDescent="0.2">
      <c r="A266">
        <v>100217</v>
      </c>
      <c r="B266" s="11" t="str">
        <f>DataItems3[[#This Row],[Field]]&amp;IF(DataItems3[[#This Row],[Options for supplying the Field]]="",""," "&amp;DataItems3[[#This Row],[Options for supplying the Field]])</f>
        <v>Finding the job (Social media/professional networking sites) [JOBFOUND9] -opt in question</v>
      </c>
      <c r="C266">
        <v>100217</v>
      </c>
      <c r="D266" s="3" t="s">
        <v>151</v>
      </c>
      <c r="F266" s="3" t="s">
        <v>1024</v>
      </c>
      <c r="G266" s="13" t="s">
        <v>1056</v>
      </c>
      <c r="H266" s="3" t="s">
        <v>1057</v>
      </c>
      <c r="I266" s="3" t="s">
        <v>447</v>
      </c>
      <c r="J266" s="3">
        <v>1</v>
      </c>
      <c r="K266" s="3">
        <v>1</v>
      </c>
      <c r="L266" s="3">
        <v>0</v>
      </c>
      <c r="M266" s="3">
        <v>0</v>
      </c>
      <c r="P266" s="3" t="s">
        <v>448</v>
      </c>
      <c r="Q266" s="16" t="s">
        <v>1058</v>
      </c>
      <c r="R266" s="3" t="s">
        <v>93</v>
      </c>
      <c r="S266" s="16" t="s">
        <v>1058</v>
      </c>
      <c r="U266" s="3" t="s">
        <v>1028</v>
      </c>
      <c r="V266" s="3" t="s">
        <v>93</v>
      </c>
      <c r="W266" s="57" t="s">
        <v>2909</v>
      </c>
      <c r="X266" t="str">
        <f>DataItems3[[#This Row],[Collection]]&amp;DataItems3[[#This Row],[Field]]&amp;DataItems3[[#This Row],[Options for supplying the Field]]&amp;DataItems3[[#This Row],[Fieldname]]&amp;DataItems3[[#This Row],[Parent]]</f>
        <v>Graduate OutcomesFinding the job(Social media/professional networking sites) [JOBFOUND9] -opt in questionJOBFOUND9Provider &gt; Graduate &gt; Opt in questions:</v>
      </c>
      <c r="Y266" s="15">
        <v>43550</v>
      </c>
      <c r="Z266" t="s">
        <v>159</v>
      </c>
      <c r="AA266" s="28" t="str">
        <f t="shared" si="43"/>
        <v>CASE WHEN ISNULL(g.ZRESPSTATUS, '02')='02' OR ISNULL(g.XACTIVITY, '99')='99' THEN 'Not in GO publication population' else IIF(isnull(oo.JOBFOUND9,'')='','NA/UNK',ISNULL(oo.JOBFOUND9,'NA/UNK')) end</v>
      </c>
      <c r="AB266" s="28" t="str">
        <f t="shared" si="38"/>
        <v>CASE WHEN ISNULL(g.ZRESPSTATUS, '02')='02' OR ISNULL(g.XACTIVITY, '99')='99' THEN 'Not in GO publication population' else IIF(isnull(oo.JOBFOUND9,'')='','NA/UNK',ISNULL(oo.JOBFOUND9,'NA/UNK')) end</v>
      </c>
      <c r="AC266" s="28" t="str">
        <f t="shared" si="41"/>
        <v/>
      </c>
      <c r="AD266" s="28" t="str">
        <f t="shared" si="42"/>
        <v/>
      </c>
      <c r="AE266" t="str">
        <f t="shared" si="40"/>
        <v>[Finding the job]</v>
      </c>
    </row>
    <row r="267" spans="1:32" ht="16" x14ac:dyDescent="0.2">
      <c r="A267">
        <v>100218</v>
      </c>
      <c r="B267" s="11" t="str">
        <f>DataItems3[[#This Row],[Field]]&amp;IF(DataItems3[[#This Row],[Options for supplying the Field]]="",""," "&amp;DataItems3[[#This Row],[Options for supplying the Field]])</f>
        <v>First job since graduating [FIRSTJOB]</v>
      </c>
      <c r="C267">
        <v>100218</v>
      </c>
      <c r="D267" s="3" t="s">
        <v>151</v>
      </c>
      <c r="F267" s="3" t="s">
        <v>1059</v>
      </c>
      <c r="G267" s="13" t="s">
        <v>1060</v>
      </c>
      <c r="H267" s="3" t="s">
        <v>1061</v>
      </c>
      <c r="J267" s="3">
        <v>2</v>
      </c>
      <c r="K267" s="3">
        <v>2</v>
      </c>
      <c r="L267" s="3">
        <v>0</v>
      </c>
      <c r="M267" s="3">
        <v>0</v>
      </c>
      <c r="P267" s="3" t="s">
        <v>874</v>
      </c>
      <c r="Q267" s="16" t="s">
        <v>3046</v>
      </c>
      <c r="R267" s="3" t="s">
        <v>93</v>
      </c>
      <c r="S267" s="16" t="s">
        <v>3047</v>
      </c>
      <c r="U267" s="3" t="s">
        <v>1062</v>
      </c>
      <c r="V267" s="3" t="s">
        <v>93</v>
      </c>
      <c r="W267" s="57" t="s">
        <v>2909</v>
      </c>
      <c r="X267" t="str">
        <f>DataItems3[[#This Row],[Collection]]&amp;DataItems3[[#This Row],[Field]]&amp;DataItems3[[#This Row],[Options for supplying the Field]]&amp;DataItems3[[#This Row],[Fieldname]]&amp;DataItems3[[#This Row],[Parent]]</f>
        <v>Graduate OutcomesFirst job since graduating[FIRSTJOB]FIRSTJOBProvider &gt; Graduate &gt; Employment:</v>
      </c>
      <c r="Y267" s="15">
        <v>43550</v>
      </c>
      <c r="Z267" t="s">
        <v>159</v>
      </c>
      <c r="AA267" s="28" t="str">
        <f t="shared" si="43"/>
        <v>CASE WHEN ISNULL(g.ZRESPSTATUS, '02')='02' OR ISNULL(g.XACTIVITY, '99')='99' THEN 'Not in GO publication population' WHEN g.dw_fromdate&gt;=20200801 THEN 'Not applicable 2020/21 onwards' else IIF(isnull(g.FIRSTJOB,'')='','N/A',g.FIRSTJOB) end</v>
      </c>
      <c r="AB267" s="28" t="str">
        <f t="shared" si="38"/>
        <v>CASE WHEN ISNULL(g.ZRESPSTATUS, '02')='02' OR ISNULL(g.XACTIVITY, '99')='99' THEN 'Not in GO publication population' WHEN g.dw_fromdate&gt;=20200801 THEN 'Not applicable 2020/21 onwards' else IIF(isnull(g.FIRSTJOB,'')='','N/A',FIRSTJOB.label) end</v>
      </c>
      <c r="AC267" s="28" t="str">
        <f t="shared" si="41"/>
        <v/>
      </c>
      <c r="AD267" s="28" t="str">
        <f t="shared" si="42"/>
        <v/>
      </c>
      <c r="AE267" t="str">
        <f t="shared" si="40"/>
        <v>[First job since graduating]</v>
      </c>
    </row>
    <row r="268" spans="1:32" ht="16" x14ac:dyDescent="0.2">
      <c r="A268">
        <v>100219</v>
      </c>
      <c r="B268" s="11" t="str">
        <f>DataItems3[[#This Row],[Field]]&amp;IF(DataItems3[[#This Row],[Options for supplying the Field]]="",""," "&amp;DataItems3[[#This Row],[Options for supplying the Field]])</f>
        <v>First year marker</v>
      </c>
      <c r="C268">
        <v>100219</v>
      </c>
      <c r="D268" s="3" t="s">
        <v>86</v>
      </c>
      <c r="E268" s="3" t="s">
        <v>106</v>
      </c>
      <c r="F268" s="3" t="s">
        <v>1063</v>
      </c>
      <c r="G268" s="13"/>
      <c r="H268" s="14" t="s">
        <v>1064</v>
      </c>
      <c r="J268" s="3">
        <v>1</v>
      </c>
      <c r="K268" s="3">
        <v>1</v>
      </c>
      <c r="L268" s="3">
        <v>0</v>
      </c>
      <c r="M268" s="3">
        <v>0</v>
      </c>
      <c r="N268" s="3" t="s">
        <v>106</v>
      </c>
      <c r="Q268" s="16" t="s">
        <v>1065</v>
      </c>
      <c r="R268" s="3" t="s">
        <v>91</v>
      </c>
      <c r="S268" s="16" t="s">
        <v>1066</v>
      </c>
      <c r="U268" s="3" t="s">
        <v>93</v>
      </c>
      <c r="V268" s="3" t="s">
        <v>93</v>
      </c>
      <c r="W268" s="57" t="s">
        <v>114</v>
      </c>
      <c r="X268" t="str">
        <f>DataItems3[[#This Row],[Collection]]&amp;DataItems3[[#This Row],[Field]]&amp;DataItems3[[#This Row],[Options for supplying the Field]]&amp;DataItems3[[#This Row],[Fieldname]]&amp;DataItems3[[#This Row],[Parent]]</f>
        <v>StudentFirst year markerF_XFYRSR01</v>
      </c>
      <c r="Y268" s="15"/>
      <c r="AA268" s="28" t="str">
        <f t="shared" si="43"/>
        <v>cast(s.f_xfyrsr01 as varchar)</v>
      </c>
      <c r="AB268" s="28" t="str">
        <f t="shared" si="38"/>
        <v>case when s.f_xfyrsr01 = '1' then 'First year' else 'Other year' end</v>
      </c>
      <c r="AC268" s="28" t="str">
        <f t="shared" si="41"/>
        <v xml:space="preserve"> </v>
      </c>
      <c r="AD268" s="28" t="str">
        <f t="shared" si="42"/>
        <v/>
      </c>
      <c r="AE268" t="str">
        <f t="shared" si="40"/>
        <v>[First year marker]</v>
      </c>
      <c r="AF268">
        <v>100999</v>
      </c>
    </row>
    <row r="269" spans="1:32" ht="48" x14ac:dyDescent="0.2">
      <c r="A269">
        <v>100220</v>
      </c>
      <c r="B269" s="11" t="str">
        <f>DataItems3[[#This Row],[Field]]&amp;IF(DataItems3[[#This Row],[Options for supplying the Field]]="",""," "&amp;DataItems3[[#This Row],[Options for supplying the Field]])</f>
        <v>Franchise marker (Wholly franchised/ Partly franchised/ Not franchised)</v>
      </c>
      <c r="C269">
        <v>100220</v>
      </c>
      <c r="D269" s="3" t="s">
        <v>86</v>
      </c>
      <c r="F269" s="3" t="s">
        <v>1067</v>
      </c>
      <c r="G269" s="13" t="s">
        <v>1068</v>
      </c>
      <c r="H269" s="14" t="s">
        <v>1069</v>
      </c>
      <c r="J269" s="3">
        <v>3</v>
      </c>
      <c r="K269" s="3">
        <v>2</v>
      </c>
      <c r="L269" s="3">
        <v>0</v>
      </c>
      <c r="M269" s="3">
        <v>0</v>
      </c>
      <c r="N269" s="3" t="s">
        <v>89</v>
      </c>
      <c r="Q269" s="16" t="s">
        <v>1070</v>
      </c>
      <c r="R269" s="3" t="s">
        <v>91</v>
      </c>
      <c r="S269" s="16" t="s">
        <v>1070</v>
      </c>
      <c r="U269" s="3" t="s">
        <v>92</v>
      </c>
      <c r="V269" s="3">
        <v>1</v>
      </c>
      <c r="W269" s="57" t="s">
        <v>134</v>
      </c>
      <c r="X269" t="str">
        <f>DataItems3[[#This Row],[Collection]]&amp;DataItems3[[#This Row],[Field]]&amp;DataItems3[[#This Row],[Options for supplying the Field]]&amp;DataItems3[[#This Row],[Fieldname]]&amp;DataItems3[[#This Row],[Parent]]</f>
        <v>StudentFranchise marker(Wholly franchised/ Partly franchised/ Not franchised)F_ZPROPFRAN</v>
      </c>
      <c r="Y269" s="15">
        <v>43438</v>
      </c>
      <c r="Z269" t="s">
        <v>95</v>
      </c>
      <c r="AA269" s="28" t="str">
        <f t="shared" si="43"/>
        <v>CASE WHEN d.f_zpropfran = 1 THEN 'Fully Franchised' WHEN d.f_zpropfran = 0 THEN 'Not Franchised' ELSE 'Partially franchised' END</v>
      </c>
      <c r="AB269" s="28" t="str">
        <f t="shared" si="38"/>
        <v>CASE WHEN d.f_zpropfran = 1 THEN 'Fully Franchised' WHEN d.f_zpropfran = 0 THEN 'Not Franchised' ELSE 'Partially franchised' END</v>
      </c>
      <c r="AC269" s="28" t="str">
        <f t="shared" si="41"/>
        <v xml:space="preserve"> </v>
      </c>
      <c r="AD269" s="28" t="str">
        <f t="shared" si="42"/>
        <v/>
      </c>
      <c r="AE269" t="str">
        <f t="shared" si="40"/>
        <v>[Franchise marker]</v>
      </c>
    </row>
    <row r="270" spans="1:32" ht="16" x14ac:dyDescent="0.2">
      <c r="A270">
        <v>100221</v>
      </c>
      <c r="B270" s="11" t="str">
        <f>DataItems3[[#This Row],[Field]]&amp;IF(DataItems3[[#This Row],[Options for supplying the Field]]="",""," "&amp;DataItems3[[#This Row],[Options for supplying the Field]])</f>
        <v>FTE during reporting period</v>
      </c>
      <c r="C270">
        <v>100221</v>
      </c>
      <c r="D270" s="3" t="s">
        <v>100</v>
      </c>
      <c r="F270" s="3" t="s">
        <v>1071</v>
      </c>
      <c r="G270" s="13"/>
      <c r="H270" s="14" t="s">
        <v>1072</v>
      </c>
      <c r="J270" s="3">
        <v>2</v>
      </c>
      <c r="K270" s="3">
        <v>1</v>
      </c>
      <c r="L270" s="3">
        <v>0</v>
      </c>
      <c r="M270" s="3">
        <v>0</v>
      </c>
      <c r="N270" s="3" t="s">
        <v>89</v>
      </c>
      <c r="Q270" s="16" t="s">
        <v>1073</v>
      </c>
      <c r="R270" s="3" t="s">
        <v>93</v>
      </c>
      <c r="S270" s="16" t="s">
        <v>1073</v>
      </c>
      <c r="U270" s="3" t="s">
        <v>93</v>
      </c>
      <c r="V270" s="3" t="s">
        <v>93</v>
      </c>
      <c r="W270" s="57" t="s">
        <v>1074</v>
      </c>
      <c r="X270" t="str">
        <f>DataItems3[[#This Row],[Collection]]&amp;DataItems3[[#This Row],[Field]]&amp;DataItems3[[#This Row],[Options for supplying the Field]]&amp;DataItems3[[#This Row],[Fieldname]]&amp;DataItems3[[#This Row],[Parent]]</f>
        <v>StaffFTE during reporting periodF_CONFTE</v>
      </c>
      <c r="Y270" s="15">
        <v>43482</v>
      </c>
      <c r="Z270" t="s">
        <v>225</v>
      </c>
      <c r="AA270" s="28" t="str">
        <f t="shared" si="43"/>
        <v>c.F_CONFTE</v>
      </c>
      <c r="AB270" s="28" t="str">
        <f t="shared" si="38"/>
        <v>c.F_CONFTE</v>
      </c>
      <c r="AC270" s="28" t="str">
        <f t="shared" si="41"/>
        <v/>
      </c>
      <c r="AD270" s="28" t="str">
        <f t="shared" si="42"/>
        <v/>
      </c>
      <c r="AE270" t="str">
        <f t="shared" si="40"/>
        <v>[FTE during reporting period]</v>
      </c>
    </row>
    <row r="271" spans="1:32" ht="16" x14ac:dyDescent="0.2">
      <c r="A271">
        <v>100222</v>
      </c>
      <c r="B271" s="11" t="str">
        <f>DataItems3[[#This Row],[Field]]&amp;IF(DataItems3[[#This Row],[Options for supplying the Field]]="",""," "&amp;DataItems3[[#This Row],[Options for supplying the Field]])</f>
        <v>Full-time or part-time previous employment [FTPREVEMP]</v>
      </c>
      <c r="C271">
        <v>100222</v>
      </c>
      <c r="D271" s="3" t="s">
        <v>151</v>
      </c>
      <c r="F271" s="3" t="s">
        <v>1075</v>
      </c>
      <c r="G271" s="13" t="s">
        <v>1076</v>
      </c>
      <c r="H271" s="3" t="s">
        <v>1077</v>
      </c>
      <c r="J271" s="3">
        <v>1</v>
      </c>
      <c r="K271" s="3">
        <v>2</v>
      </c>
      <c r="L271" s="3">
        <v>0</v>
      </c>
      <c r="M271" s="3">
        <v>0</v>
      </c>
      <c r="P271" s="3" t="s">
        <v>1078</v>
      </c>
      <c r="Q271" s="16" t="s">
        <v>3048</v>
      </c>
      <c r="R271" s="3" t="s">
        <v>93</v>
      </c>
      <c r="S271" s="16" t="s">
        <v>3049</v>
      </c>
      <c r="U271" s="3" t="s">
        <v>93</v>
      </c>
      <c r="V271" s="3" t="s">
        <v>93</v>
      </c>
      <c r="W271" s="57" t="s">
        <v>2909</v>
      </c>
      <c r="X271" t="str">
        <f>DataItems3[[#This Row],[Collection]]&amp;DataItems3[[#This Row],[Field]]&amp;DataItems3[[#This Row],[Options for supplying the Field]]&amp;DataItems3[[#This Row],[Fieldname]]&amp;DataItems3[[#This Row],[Parent]]</f>
        <v>Graduate OutcomesFull-time or part-time previous employment[FTPREVEMP]FTPREVEMPProvider &gt; Graduate &gt; Previous Activity:</v>
      </c>
      <c r="Y271" s="15">
        <v>43550</v>
      </c>
      <c r="Z271" t="s">
        <v>159</v>
      </c>
      <c r="AA271" s="28" t="str">
        <f t="shared" si="43"/>
        <v xml:space="preserve">CASE WHEN ISNULL(g.ZRESPSTATUS, '02')='02' OR ISNULL(g.XACTIVITY, '99')='99' THEN 'Not in GO publication population' WHEN g.dw_fromdate=20200801 THEN 'Not applicable 2020/21 onwards' WHEN ISNULL(NULLIF(g.FTPREVEMP,''),'UN')='01' AND g.FIRSTJOB='01' THEN 'NA'   WHEN ISNULL(NULLIF(g.FTPREVEMP,''),'UN')='02' AND g.FIRSTJOB='02' THEN 'NA'   WHEN ISNULL(NULLIF(g.PREVJOBNUM,''),'UN')='0' THEN '02'   WHEN ISNULL(NULLIF(g.FTPREVEMP,''),'UN')='01' THEN '01'    WHEN ISNULL(NULLIF(g.FTPREVEMP,''),'UN')='02' THEN '02'     WHEN g.FIRSTJOB='02' THEN '01'    WHEN g.FIRSTJOB='01' THEN '02' ELSE 'NA' END </v>
      </c>
      <c r="AB271" s="28" t="str">
        <f t="shared" si="38"/>
        <v>CASE WHEN ISNULL(g.ZRESPSTATUS, '02')='02' OR ISNULL(g.XACTIVITY, '99')='99' THEN 'Not in GO publication population' WHEN g.dw_fromdate=20200801 THEN 'Not applicable 2020/21 onwards' WHEN ISNULL(NULLIF(g.FTPREVEMP, ''), 'UN')='01' AND g.FIRSTJOB='01' THEN 'NA'WHEN ISNULL(NULLIF(g.FTPREVEMP, ''), 'UN')='02' AND g.FIRSTJOB='02' THEN 'NA' WHEN ISNULL(NULLIF(g.PREVJOBNUM, ''), 'UN')='0' THEN 'No' WHEN ISNULL(NULLIF(g.FTPREVEMP, ''), 'UN')='01' THEN 'Yes' WHEN ISNULL(NULLIF(g.FTPREVEMP, ''), 'UN')='02' THEN 'No' WHEN g.FIRSTJOB='02' THEN 'Yes' WHEN g.FIRSTJOB='01' THEN 'No' ELSE 'NA' END</v>
      </c>
      <c r="AC271" s="28" t="str">
        <f t="shared" si="41"/>
        <v/>
      </c>
      <c r="AD271" s="28" t="str">
        <f t="shared" si="42"/>
        <v/>
      </c>
      <c r="AE271" t="str">
        <f t="shared" si="40"/>
        <v>[Full-time or part-time previous employment]</v>
      </c>
    </row>
    <row r="272" spans="1:32" ht="16" x14ac:dyDescent="0.2">
      <c r="A272">
        <v>100223</v>
      </c>
      <c r="B272" s="11" t="str">
        <f>DataItems3[[#This Row],[Field]]&amp;IF(DataItems3[[#This Row],[Options for supplying the Field]]="",""," "&amp;DataItems3[[#This Row],[Options for supplying the Field]])</f>
        <v>Fundability code</v>
      </c>
      <c r="C272">
        <v>100223</v>
      </c>
      <c r="D272" s="3" t="s">
        <v>86</v>
      </c>
      <c r="E272" s="3" t="s">
        <v>106</v>
      </c>
      <c r="F272" s="3" t="s">
        <v>1079</v>
      </c>
      <c r="G272" s="13"/>
      <c r="H272" s="14" t="s">
        <v>1080</v>
      </c>
      <c r="J272" s="3">
        <v>3</v>
      </c>
      <c r="K272" s="3">
        <v>1</v>
      </c>
      <c r="L272" s="3">
        <v>0</v>
      </c>
      <c r="M272" s="3">
        <v>0</v>
      </c>
      <c r="Q272" s="16" t="s">
        <v>1081</v>
      </c>
      <c r="R272" s="16" t="s">
        <v>1081</v>
      </c>
      <c r="S272" s="16" t="s">
        <v>1082</v>
      </c>
      <c r="T272" s="16" t="s">
        <v>1082</v>
      </c>
      <c r="U272" s="3" t="s">
        <v>93</v>
      </c>
      <c r="V272" s="3" t="s">
        <v>93</v>
      </c>
      <c r="W272" s="57" t="s">
        <v>145</v>
      </c>
      <c r="X272" t="str">
        <f>DataItems3[[#This Row],[Collection]]&amp;DataItems3[[#This Row],[Field]]&amp;DataItems3[[#This Row],[Options for supplying the Field]]&amp;DataItems3[[#This Row],[Fieldname]]&amp;DataItems3[[#This Row],[Parent]]</f>
        <v>StudentFundability codeF_FUNDCODE</v>
      </c>
      <c r="Y272" s="15">
        <v>43438</v>
      </c>
      <c r="Z272" t="s">
        <v>102</v>
      </c>
      <c r="AA272" s="28" t="str">
        <f t="shared" si="43"/>
        <v>IIF(s.f_fundcode in (' ','9'),'UNK',s.f_fundcode)</v>
      </c>
      <c r="AB272" s="28" t="str">
        <f t="shared" si="38"/>
        <v xml:space="preserve"> s.F_FUNDCODE</v>
      </c>
      <c r="AC272" s="28" t="str">
        <f t="shared" si="41"/>
        <v>IIF(s.f_fundcode in (' ','9'),'UNK',s.f_fundcode)</v>
      </c>
      <c r="AD272" s="28" t="str">
        <f t="shared" si="42"/>
        <v xml:space="preserve"> s.F_FUNDCODE</v>
      </c>
      <c r="AE272" t="str">
        <f t="shared" si="40"/>
        <v>[Fundability code]</v>
      </c>
    </row>
    <row r="273" spans="1:32" ht="16" x14ac:dyDescent="0.2">
      <c r="A273">
        <v>100225</v>
      </c>
      <c r="B273" s="11" t="str">
        <f>DataItems3[[#This Row],[Field]]&amp;IF(DataItems3[[#This Row],[Options for supplying the Field]]="",""," "&amp;DataItems3[[#This Row],[Options for supplying the Field]])</f>
        <v>Gender identity (Full)</v>
      </c>
      <c r="C273">
        <v>100225</v>
      </c>
      <c r="D273" s="3" t="s">
        <v>86</v>
      </c>
      <c r="F273" s="3" t="s">
        <v>1083</v>
      </c>
      <c r="G273" s="13" t="s">
        <v>277</v>
      </c>
      <c r="H273" s="14" t="s">
        <v>1084</v>
      </c>
      <c r="I273" s="3" t="s">
        <v>729</v>
      </c>
      <c r="J273" s="3">
        <v>1</v>
      </c>
      <c r="K273" s="3">
        <v>1</v>
      </c>
      <c r="L273" s="3">
        <v>2</v>
      </c>
      <c r="M273" s="3">
        <v>8</v>
      </c>
      <c r="N273" s="3" t="s">
        <v>89</v>
      </c>
      <c r="Q273" s="16" t="s">
        <v>3050</v>
      </c>
      <c r="R273" s="3" t="s">
        <v>91</v>
      </c>
      <c r="S273" s="16" t="s">
        <v>3050</v>
      </c>
      <c r="U273" s="3" t="s">
        <v>93</v>
      </c>
      <c r="V273" s="3" t="s">
        <v>93</v>
      </c>
      <c r="W273" s="57" t="s">
        <v>145</v>
      </c>
      <c r="X273" t="str">
        <f>DataItems3[[#This Row],[Collection]]&amp;DataItems3[[#This Row],[Field]]&amp;DataItems3[[#This Row],[Options for supplying the Field]]&amp;DataItems3[[#This Row],[Fieldname]]&amp;DataItems3[[#This Row],[Parent]]</f>
        <v>StudentGender identity(Full)F_GENDERID</v>
      </c>
      <c r="Y273" s="15">
        <v>43441</v>
      </c>
      <c r="Z273" t="s">
        <v>95</v>
      </c>
      <c r="AA273" s="28" t="str">
        <f t="shared" si="43"/>
        <v>iif(s.F_GENDERID in ('','99','98'), 'UNK',s.F_GENDERID)</v>
      </c>
      <c r="AB273" s="28" t="str">
        <f t="shared" si="38"/>
        <v>iif(s.F_GENDERID in ('','99','98'), 'UNK',s.F_GENDERID)</v>
      </c>
      <c r="AC273" s="28" t="str">
        <f t="shared" si="41"/>
        <v xml:space="preserve"> </v>
      </c>
      <c r="AD273" s="28" t="str">
        <f t="shared" si="42"/>
        <v/>
      </c>
      <c r="AE273" t="str">
        <f t="shared" si="40"/>
        <v>[Gender identity]</v>
      </c>
    </row>
    <row r="274" spans="1:32" ht="32" x14ac:dyDescent="0.2">
      <c r="A274">
        <v>100226</v>
      </c>
      <c r="B274" s="11" t="str">
        <f>DataItems3[[#This Row],[Field]]&amp;IF(DataItems3[[#This Row],[Options for supplying the Field]]="",""," "&amp;DataItems3[[#This Row],[Options for supplying the Field]])</f>
        <v>General disciplinary knowledge [DISKNOW] -opt in question</v>
      </c>
      <c r="C274">
        <v>100226</v>
      </c>
      <c r="D274" s="3" t="s">
        <v>151</v>
      </c>
      <c r="F274" s="3" t="s">
        <v>1085</v>
      </c>
      <c r="G274" s="13" t="s">
        <v>1086</v>
      </c>
      <c r="I274" s="3" t="s">
        <v>2991</v>
      </c>
      <c r="J274" s="3">
        <v>1</v>
      </c>
      <c r="K274" s="3">
        <v>2</v>
      </c>
      <c r="L274" s="3">
        <v>0</v>
      </c>
      <c r="M274" s="3">
        <v>0</v>
      </c>
      <c r="P274" s="3" t="s">
        <v>448</v>
      </c>
      <c r="R274" s="3" t="s">
        <v>93</v>
      </c>
      <c r="V274" s="3" t="s">
        <v>93</v>
      </c>
      <c r="W274" s="57" t="s">
        <v>2926</v>
      </c>
      <c r="X274" t="str">
        <f>DataItems3[[#This Row],[Collection]]&amp;DataItems3[[#This Row],[Field]]&amp;DataItems3[[#This Row],[Options for supplying the Field]]&amp;DataItems3[[#This Row],[Fieldname]]&amp;DataItems3[[#This Row],[Parent]]</f>
        <v>Graduate OutcomesGeneral disciplinary knowledge[DISKNOW] -opt in questionProvider &gt; Graduate &gt; Opt in questions:</v>
      </c>
      <c r="Y274" s="15">
        <v>43550</v>
      </c>
      <c r="Z274" t="s">
        <v>159</v>
      </c>
      <c r="AA274" s="28" t="str">
        <f t="shared" si="43"/>
        <v/>
      </c>
      <c r="AB274" s="28" t="str">
        <f t="shared" si="38"/>
        <v/>
      </c>
      <c r="AC274" s="28" t="str">
        <f t="shared" si="41"/>
        <v/>
      </c>
      <c r="AD274" s="28" t="str">
        <f t="shared" si="42"/>
        <v/>
      </c>
      <c r="AE274" t="str">
        <f t="shared" si="40"/>
        <v>[General disciplinary knowledge]</v>
      </c>
    </row>
    <row r="275" spans="1:32" ht="32" x14ac:dyDescent="0.2">
      <c r="A275">
        <v>100227</v>
      </c>
      <c r="B275" s="11" t="str">
        <f>DataItems3[[#This Row],[Field]]&amp;IF(DataItems3[[#This Row],[Options for supplying the Field]]="",""," "&amp;DataItems3[[#This Row],[Options for supplying the Field]])</f>
        <v>General skills developed [GENSKILDEV] -opt in question</v>
      </c>
      <c r="C275">
        <v>100227</v>
      </c>
      <c r="D275" s="3" t="s">
        <v>151</v>
      </c>
      <c r="F275" s="3" t="s">
        <v>1087</v>
      </c>
      <c r="G275" s="13" t="s">
        <v>1088</v>
      </c>
      <c r="I275" s="3" t="s">
        <v>2991</v>
      </c>
      <c r="J275" s="3">
        <v>1</v>
      </c>
      <c r="K275" s="3">
        <v>2</v>
      </c>
      <c r="L275" s="3">
        <v>0</v>
      </c>
      <c r="M275" s="3">
        <v>0</v>
      </c>
      <c r="P275" s="3" t="s">
        <v>448</v>
      </c>
      <c r="R275" s="3" t="s">
        <v>93</v>
      </c>
      <c r="V275" s="3" t="s">
        <v>93</v>
      </c>
      <c r="W275" s="57" t="s">
        <v>2926</v>
      </c>
      <c r="X275" t="str">
        <f>DataItems3[[#This Row],[Collection]]&amp;DataItems3[[#This Row],[Field]]&amp;DataItems3[[#This Row],[Options for supplying the Field]]&amp;DataItems3[[#This Row],[Fieldname]]&amp;DataItems3[[#This Row],[Parent]]</f>
        <v>Graduate OutcomesGeneral skills developed[GENSKILDEV] -opt in questionProvider &gt; Graduate &gt; Opt in questions:</v>
      </c>
      <c r="Y275" s="15">
        <v>43550</v>
      </c>
      <c r="Z275" t="s">
        <v>159</v>
      </c>
      <c r="AA275" s="28" t="str">
        <f t="shared" si="43"/>
        <v/>
      </c>
      <c r="AB275" s="28" t="str">
        <f t="shared" si="38"/>
        <v/>
      </c>
      <c r="AC275" s="28" t="str">
        <f t="shared" si="41"/>
        <v/>
      </c>
      <c r="AD275" s="28" t="str">
        <f t="shared" si="42"/>
        <v/>
      </c>
      <c r="AE275" t="str">
        <f t="shared" si="40"/>
        <v>[General skills developed]</v>
      </c>
    </row>
    <row r="276" spans="1:32" ht="16" x14ac:dyDescent="0.2">
      <c r="A276">
        <v>100228</v>
      </c>
      <c r="B276" s="11" t="str">
        <f>DataItems3[[#This Row],[Field]]&amp;IF(DataItems3[[#This Row],[Options for supplying the Field]]="",""," "&amp;DataItems3[[#This Row],[Options for supplying the Field]])</f>
        <v>Governor</v>
      </c>
      <c r="C276">
        <v>100228</v>
      </c>
      <c r="D276" s="3" t="s">
        <v>100</v>
      </c>
      <c r="F276" s="3" t="s">
        <v>1089</v>
      </c>
      <c r="G276" s="13"/>
      <c r="H276" s="14" t="s">
        <v>93</v>
      </c>
      <c r="J276" s="3">
        <v>1</v>
      </c>
      <c r="K276" s="3">
        <v>1</v>
      </c>
      <c r="L276" s="3">
        <v>8</v>
      </c>
      <c r="M276" s="3">
        <v>0</v>
      </c>
      <c r="N276" s="3" t="s">
        <v>89</v>
      </c>
      <c r="Q276" s="16" t="s">
        <v>93</v>
      </c>
      <c r="R276" s="3" t="s">
        <v>93</v>
      </c>
      <c r="S276" s="16" t="s">
        <v>93</v>
      </c>
      <c r="U276" s="3" t="s">
        <v>93</v>
      </c>
      <c r="V276" s="3" t="s">
        <v>93</v>
      </c>
      <c r="W276" s="57" t="s">
        <v>2926</v>
      </c>
      <c r="X276" t="str">
        <f>DataItems3[[#This Row],[Collection]]&amp;DataItems3[[#This Row],[Field]]&amp;DataItems3[[#This Row],[Options for supplying the Field]]&amp;DataItems3[[#This Row],[Fieldname]]&amp;DataItems3[[#This Row],[Parent]]</f>
        <v>StaffGovernor</v>
      </c>
      <c r="Y276" s="15">
        <v>43684</v>
      </c>
      <c r="Z276" t="s">
        <v>95</v>
      </c>
      <c r="AA276" s="28" t="str">
        <f t="shared" si="43"/>
        <v/>
      </c>
      <c r="AB276" s="28" t="str">
        <f t="shared" si="38"/>
        <v/>
      </c>
      <c r="AC276" s="28" t="str">
        <f t="shared" si="41"/>
        <v/>
      </c>
      <c r="AD276" s="28" t="str">
        <f t="shared" si="42"/>
        <v/>
      </c>
      <c r="AE276" t="str">
        <f t="shared" si="40"/>
        <v>[Governor]</v>
      </c>
    </row>
    <row r="277" spans="1:32" ht="16" x14ac:dyDescent="0.2">
      <c r="A277">
        <v>100895</v>
      </c>
      <c r="B277" s="29" t="str">
        <f>DataItems3[[#This Row],[Field]]&amp;IF(DataItems3[[#This Row],[Options for supplying the Field]]="",""," "&amp;DataItems3[[#This Row],[Options for supplying the Field]])</f>
        <v>Grade (grouped) 2007/08 and prior (Staff)</v>
      </c>
      <c r="C277">
        <v>100895</v>
      </c>
      <c r="D277" s="3" t="s">
        <v>100</v>
      </c>
      <c r="F277" s="3" t="s">
        <v>3051</v>
      </c>
      <c r="G277" s="13" t="s">
        <v>327</v>
      </c>
      <c r="H277" s="13" t="s">
        <v>3052</v>
      </c>
      <c r="I277" s="13"/>
      <c r="J277" s="3">
        <v>2</v>
      </c>
      <c r="K277" s="3">
        <v>2</v>
      </c>
      <c r="L277" s="3">
        <v>0</v>
      </c>
      <c r="M277" s="3">
        <v>0</v>
      </c>
      <c r="Q277" s="16" t="s">
        <v>3053</v>
      </c>
      <c r="S277" s="16" t="s">
        <v>3054</v>
      </c>
      <c r="U277" s="3" t="s">
        <v>3055</v>
      </c>
      <c r="W277" s="57" t="s">
        <v>94</v>
      </c>
      <c r="X277" t="str">
        <f>DataItems3[[#This Row],[Collection]]&amp;DataItems3[[#This Row],[Field]]&amp;DataItems3[[#This Row],[Options for supplying the Field]]&amp;DataItems3[[#This Row],[Fieldname]]&amp;DataItems3[[#This Row],[Parent]]</f>
        <v>StaffGrade (grouped) 2007/08 and prior(Staff)F_XGRADE01</v>
      </c>
      <c r="Y277" s="4">
        <v>44853</v>
      </c>
      <c r="Z277" t="s">
        <v>2875</v>
      </c>
      <c r="AA277" s="28" t="str">
        <f t="shared" si="43"/>
        <v>CASE WHEN cc.DW_FromDate &gt;= 20080801 THEN 'NA_0809' WHEN ISNULL(C.F_XGRADE01, 'U') IN ('U', '', ' ') THEN 'U' ELSE ISNULL(C.F_XGRADE01, 'U') END</v>
      </c>
      <c r="AB277" s="28" t="str">
        <f>IF(S277="","",IF(IFERROR(SEARCH("select",S277)&gt;0,0),IF(U277="",IF(MID(S277,SEARCH(H277,S277)-4,1)=" ",MID(S277,SEARCH(H277,S277)-2,LEN(O297)+2),MID(S277,SEARCH(H277,S277)-3,LEN(H277)+3)),U277&amp;"."&amp;H277),S277))</f>
        <v>CASE WHEN cc.DW_FromDate &gt;= 20080801 THEN 'Not applicable (2008/09 onwards)' WHEN ISNULL(C.F_XGRADE01, 'U') IN ('U', '', ' ') THEN 'Unknown' ELSE xgrade01.DW_CurrentLabel END</v>
      </c>
      <c r="AC277" s="28" t="str">
        <f t="shared" si="41"/>
        <v/>
      </c>
      <c r="AD277" s="28" t="str">
        <f t="shared" si="42"/>
        <v/>
      </c>
      <c r="AE277" t="str">
        <f t="shared" si="40"/>
        <v>[Grade (grouped) 2007/08 and prior]</v>
      </c>
    </row>
    <row r="278" spans="1:32" ht="16" x14ac:dyDescent="0.2">
      <c r="A278">
        <v>100190</v>
      </c>
      <c r="B278" s="11" t="str">
        <f>DataItems3[[#This Row],[Field]]&amp;IF(DataItems3[[#This Row],[Options for supplying the Field]]="",""," "&amp;DataItems3[[#This Row],[Options for supplying the Field]])</f>
        <v>Graduate activity [XACTIVITY]</v>
      </c>
      <c r="C278">
        <v>100190</v>
      </c>
      <c r="D278" s="3" t="s">
        <v>151</v>
      </c>
      <c r="F278" s="3" t="s">
        <v>1090</v>
      </c>
      <c r="G278" s="13" t="s">
        <v>1091</v>
      </c>
      <c r="H278" s="3" t="s">
        <v>1092</v>
      </c>
      <c r="I278" s="3" t="s">
        <v>1093</v>
      </c>
      <c r="J278" s="3">
        <v>1</v>
      </c>
      <c r="K278" s="3">
        <v>4</v>
      </c>
      <c r="L278" s="3">
        <v>0</v>
      </c>
      <c r="M278" s="3">
        <v>0</v>
      </c>
      <c r="P278" s="3" t="s">
        <v>323</v>
      </c>
      <c r="Q278" s="16" t="s">
        <v>3056</v>
      </c>
      <c r="R278" s="3" t="s">
        <v>93</v>
      </c>
      <c r="S278" s="16" t="s">
        <v>3057</v>
      </c>
      <c r="U278" s="3" t="s">
        <v>1094</v>
      </c>
      <c r="V278" s="3" t="s">
        <v>93</v>
      </c>
      <c r="W278" s="57" t="s">
        <v>2909</v>
      </c>
      <c r="X278" t="str">
        <f>DataItems3[[#This Row],[Collection]]&amp;DataItems3[[#This Row],[Field]]&amp;DataItems3[[#This Row],[Options for supplying the Field]]&amp;DataItems3[[#This Row],[Fieldname]]&amp;DataItems3[[#This Row],[Parent]]</f>
        <v>Graduate OutcomesGraduate activity[XACTIVITY]XACTIVITYProvider &gt; Derived Field</v>
      </c>
      <c r="Y278" s="15">
        <v>43550</v>
      </c>
      <c r="Z278" t="s">
        <v>159</v>
      </c>
      <c r="AA278" s="28" t="str">
        <f t="shared" si="43"/>
        <v>CASE WHEN ISNULL(g.ZRESPSTATUS, '02')='02' OR ISNULL(g.XACTIVITY, '99')='99' THEN 'Not in GO publication population' WHEN g.XACTIVITY = '12' THEN 'Unemployment'  WHEN g.XACTIVITY = '10' THEN 'Unemployed and due to start work' WHEN g.XACTIVITY = '11' THEN 'Unemployed and due to start further study' else g.XACTIVITY end</v>
      </c>
      <c r="AB278" s="28" t="str">
        <f t="shared" ref="AB278:AB288" si="44">IF(S278="","",IF(IFERROR(SEARCH("select",S278)&gt;0,0),IF(U278="",IF(MID(S278,SEARCH(H278,S278)-4,1)=" ",MID(S278,SEARCH(H278,S278)-2,LEN(O287)+2),MID(S278,SEARCH(H278,S278)-3,LEN(H278)+3)),U278&amp;"."&amp;H278),S278))</f>
        <v>CASE WHEN ISNULL(g.ZRESPSTATUS, '02')='02' OR ISNULL(g.XACTIVITY, '99')='99' THEN 'Not in GO publication population' WHEN g.XACTIVITY = '12' THEN 'Unemployment' WHEN g.XACTIVITY = '10' THEN 'Unemployed and due to start work'  WHEN g.XACTIVITY = '11' THEN 'Unemployed and due to start further study' else XACTIVITY.label end</v>
      </c>
      <c r="AC278" s="28" t="str">
        <f t="shared" si="41"/>
        <v/>
      </c>
      <c r="AD278" s="28" t="str">
        <f t="shared" si="42"/>
        <v/>
      </c>
      <c r="AE278" t="str">
        <f t="shared" si="40"/>
        <v>[Graduate activity]</v>
      </c>
    </row>
    <row r="279" spans="1:32" ht="16" x14ac:dyDescent="0.2">
      <c r="A279">
        <v>100650</v>
      </c>
      <c r="B279" s="11" t="str">
        <f>DataItems3[[#This Row],[Field]]&amp;IF(DataItems3[[#This Row],[Options for supplying the Field]]="",""," "&amp;DataItems3[[#This Row],[Options for supplying the Field]])</f>
        <v>Graduate Outcomes highest qualification obtained (Full) [XOBTNG01]</v>
      </c>
      <c r="C279">
        <v>100650</v>
      </c>
      <c r="D279" s="3" t="s">
        <v>151</v>
      </c>
      <c r="F279" s="3" t="s">
        <v>1095</v>
      </c>
      <c r="G279" s="13" t="s">
        <v>1096</v>
      </c>
      <c r="H279" s="3" t="s">
        <v>1097</v>
      </c>
      <c r="J279" s="3">
        <v>1</v>
      </c>
      <c r="K279" s="3">
        <v>3</v>
      </c>
      <c r="L279" s="3">
        <v>2</v>
      </c>
      <c r="M279" s="3">
        <v>0</v>
      </c>
      <c r="Q279" s="16" t="s">
        <v>1098</v>
      </c>
      <c r="R279" s="3" t="s">
        <v>93</v>
      </c>
      <c r="S279" s="16" t="s">
        <v>1099</v>
      </c>
      <c r="U279" s="3" t="s">
        <v>1100</v>
      </c>
      <c r="V279" s="3" t="s">
        <v>93</v>
      </c>
      <c r="W279" s="57" t="s">
        <v>2909</v>
      </c>
      <c r="X279" t="str">
        <f>DataItems3[[#This Row],[Collection]]&amp;DataItems3[[#This Row],[Field]]&amp;DataItems3[[#This Row],[Options for supplying the Field]]&amp;DataItems3[[#This Row],[Fieldname]]&amp;DataItems3[[#This Row],[Parent]]</f>
        <v>Graduate OutcomesGraduate Outcomes highest qualification obtained(Full) [XOBTNG01]F_XOBTNG01</v>
      </c>
      <c r="Y279" s="4">
        <v>44014</v>
      </c>
      <c r="Z279" t="s">
        <v>139</v>
      </c>
      <c r="AA279" s="28" t="str">
        <f t="shared" si="43"/>
        <v>CASE WHEN ISNULL(g.ZRESPSTATUS, '02')='02' OR ISNULL(g.XACTIVITY, '99')='99' THEN 'Not in GO publication population' else s.F_XOBTNG01 end</v>
      </c>
      <c r="AB279" s="28" t="str">
        <f t="shared" si="44"/>
        <v>CASE WHEN ISNULL(g.ZRESPSTATUS, '02')='02' OR ISNULL(g.XACTIVITY, '99')='99' THEN 'Not in GO publication population' else XOBTNG01.dw_currentlabel end</v>
      </c>
      <c r="AC279" s="28" t="str">
        <f t="shared" si="41"/>
        <v/>
      </c>
      <c r="AD279" s="28" t="str">
        <f t="shared" si="42"/>
        <v/>
      </c>
      <c r="AE279" t="str">
        <f t="shared" si="40"/>
        <v>[Graduate Outcomes highest qualification obtained]</v>
      </c>
    </row>
    <row r="280" spans="1:32" ht="32" x14ac:dyDescent="0.2">
      <c r="A280">
        <v>100231</v>
      </c>
      <c r="B280" s="11" t="str">
        <f>DataItems3[[#This Row],[Field]]&amp;IF(DataItems3[[#This Row],[Options for supplying the Field]]="",""," "&amp;DataItems3[[#This Row],[Options for supplying the Field]])</f>
        <v>GTC Scotland teacher induction scheme [GTCSTIS] -opt in question</v>
      </c>
      <c r="C280">
        <v>100231</v>
      </c>
      <c r="D280" s="3" t="s">
        <v>151</v>
      </c>
      <c r="F280" s="3" t="s">
        <v>1101</v>
      </c>
      <c r="G280" s="13" t="s">
        <v>1102</v>
      </c>
      <c r="I280" s="3" t="s">
        <v>2991</v>
      </c>
      <c r="J280" s="3">
        <v>1</v>
      </c>
      <c r="K280" s="3">
        <v>2</v>
      </c>
      <c r="L280" s="3">
        <v>2</v>
      </c>
      <c r="M280" s="3">
        <v>0</v>
      </c>
      <c r="P280" s="3" t="s">
        <v>448</v>
      </c>
      <c r="R280" s="3" t="s">
        <v>93</v>
      </c>
      <c r="V280" s="3" t="s">
        <v>93</v>
      </c>
      <c r="W280" s="57" t="s">
        <v>2926</v>
      </c>
      <c r="X280" t="str">
        <f>DataItems3[[#This Row],[Collection]]&amp;DataItems3[[#This Row],[Field]]&amp;DataItems3[[#This Row],[Options for supplying the Field]]&amp;DataItems3[[#This Row],[Fieldname]]&amp;DataItems3[[#This Row],[Parent]]</f>
        <v>Graduate OutcomesGTC Scotland teacher induction scheme[GTCSTIS] -opt in questionProvider &gt; Graduate &gt; Opt in questions:</v>
      </c>
      <c r="Y280" s="15">
        <v>43550</v>
      </c>
      <c r="Z280" t="s">
        <v>159</v>
      </c>
      <c r="AA280" s="28" t="str">
        <f t="shared" si="43"/>
        <v/>
      </c>
      <c r="AB280" s="28" t="str">
        <f t="shared" si="44"/>
        <v/>
      </c>
      <c r="AC280" s="28" t="str">
        <f t="shared" si="41"/>
        <v/>
      </c>
      <c r="AD280" s="28" t="str">
        <f t="shared" si="42"/>
        <v/>
      </c>
      <c r="AE280" t="str">
        <f t="shared" si="40"/>
        <v>[GTC Scotland teacher induction scheme]</v>
      </c>
    </row>
    <row r="281" spans="1:32" ht="16" x14ac:dyDescent="0.2">
      <c r="A281">
        <v>100233</v>
      </c>
      <c r="B281" s="11" t="str">
        <f>DataItems3[[#This Row],[Field]]&amp;IF(DataItems3[[#This Row],[Options for supplying the Field]]="",""," "&amp;DataItems3[[#This Row],[Options for supplying the Field]])</f>
        <v>Happy yesterday grouping [XHAPYESTGRP]</v>
      </c>
      <c r="C281">
        <v>100233</v>
      </c>
      <c r="D281" s="3" t="s">
        <v>151</v>
      </c>
      <c r="F281" s="3" t="s">
        <v>1103</v>
      </c>
      <c r="G281" s="13" t="s">
        <v>1104</v>
      </c>
      <c r="H281" s="3" t="s">
        <v>1105</v>
      </c>
      <c r="I281" s="3" t="s">
        <v>319</v>
      </c>
      <c r="J281" s="3">
        <v>1</v>
      </c>
      <c r="K281" s="3">
        <v>2</v>
      </c>
      <c r="L281" s="3">
        <v>0</v>
      </c>
      <c r="M281" s="3">
        <v>8</v>
      </c>
      <c r="P281" s="3" t="s">
        <v>323</v>
      </c>
      <c r="Q281" s="16" t="s">
        <v>1106</v>
      </c>
      <c r="R281" s="3" t="s">
        <v>93</v>
      </c>
      <c r="S281" s="16" t="s">
        <v>1107</v>
      </c>
      <c r="U281" s="3" t="s">
        <v>1108</v>
      </c>
      <c r="V281" s="3" t="s">
        <v>93</v>
      </c>
      <c r="W281" s="57" t="s">
        <v>150</v>
      </c>
      <c r="X281" t="str">
        <f>DataItems3[[#This Row],[Collection]]&amp;DataItems3[[#This Row],[Field]]&amp;DataItems3[[#This Row],[Options for supplying the Field]]&amp;DataItems3[[#This Row],[Fieldname]]&amp;DataItems3[[#This Row],[Parent]]</f>
        <v>Graduate OutcomesHappy yesterday grouping[XHAPYESTGRP]XHAPYESTGRPProvider &gt; Derived Field</v>
      </c>
      <c r="Y281" s="15">
        <v>43550</v>
      </c>
      <c r="Z281" t="s">
        <v>159</v>
      </c>
      <c r="AA281" s="28" t="str">
        <f t="shared" si="43"/>
        <v>ISNULL(w.XHAPYESTGRP,'E')</v>
      </c>
      <c r="AB281" s="28" t="str">
        <f t="shared" si="44"/>
        <v xml:space="preserve">isnull(w.XHAPYESTGRP,'E') </v>
      </c>
      <c r="AC281" s="28" t="str">
        <f t="shared" si="41"/>
        <v/>
      </c>
      <c r="AD281" s="28" t="str">
        <f t="shared" si="42"/>
        <v/>
      </c>
      <c r="AE281" t="str">
        <f t="shared" si="40"/>
        <v>[Happy yesterday grouping]</v>
      </c>
    </row>
    <row r="282" spans="1:32" ht="16" x14ac:dyDescent="0.2">
      <c r="A282">
        <v>100677</v>
      </c>
      <c r="B282" s="11" t="str">
        <f>DataItems3[[#This Row],[Field]]&amp;IF(DataItems3[[#This Row],[Options for supplying the Field]]="",""," "&amp;DataItems3[[#This Row],[Options for supplying the Field]])</f>
        <v>HE provider (Campus region)</v>
      </c>
      <c r="C282">
        <v>100677</v>
      </c>
      <c r="D282" s="3" t="s">
        <v>86</v>
      </c>
      <c r="F282" s="3" t="s">
        <v>1109</v>
      </c>
      <c r="G282" s="13" t="s">
        <v>1110</v>
      </c>
      <c r="H282" s="14" t="s">
        <v>1111</v>
      </c>
      <c r="J282" s="3">
        <v>5</v>
      </c>
      <c r="K282" s="3">
        <v>2</v>
      </c>
      <c r="L282" s="3">
        <v>0</v>
      </c>
      <c r="M282" s="3">
        <v>0</v>
      </c>
      <c r="N282" s="3" t="s">
        <v>89</v>
      </c>
      <c r="Q282" s="16" t="s">
        <v>1112</v>
      </c>
      <c r="S282" s="16" t="s">
        <v>1113</v>
      </c>
      <c r="U282" s="3" t="s">
        <v>1114</v>
      </c>
      <c r="W282" s="57" t="s">
        <v>94</v>
      </c>
      <c r="X282" t="str">
        <f>DataItems3[[#This Row],[Collection]]&amp;DataItems3[[#This Row],[Field]]&amp;DataItems3[[#This Row],[Options for supplying the Field]]&amp;DataItems3[[#This Row],[Fieldname]]&amp;DataItems3[[#This Row],[Parent]]</f>
        <v>StudentHE provider(Campus region)CAMPUS_GOR</v>
      </c>
      <c r="Y282" s="4">
        <v>44153</v>
      </c>
      <c r="Z282" t="s">
        <v>776</v>
      </c>
      <c r="AA282" s="28" t="str">
        <f t="shared" si="43"/>
        <v>ISNULL(zzz.F_GOR, 'Unknown')</v>
      </c>
      <c r="AB282" s="28" t="str">
        <f t="shared" si="44"/>
        <v xml:space="preserve">CASE WHEN zzz.F_GOR IS NULL THEN 'Unknown' WHEN zzz.F_GOR = 'XG' THEN 'Northern Ireland' WHEN zzz.F_GOR = 'XH' THEN 'Scotland' WHEN zzz.F_GOR = 'XI' THEN 'Wales' ELSE CAMPGOR.dw_currentlabel END </v>
      </c>
      <c r="AC282" s="28" t="str">
        <f t="shared" si="41"/>
        <v/>
      </c>
      <c r="AD282" s="28" t="str">
        <f t="shared" si="42"/>
        <v/>
      </c>
      <c r="AE282" t="str">
        <f t="shared" si="40"/>
        <v>[HE provider]</v>
      </c>
    </row>
    <row r="283" spans="1:32" ht="16" x14ac:dyDescent="0.2">
      <c r="A283">
        <v>100235</v>
      </c>
      <c r="B283" s="11" t="str">
        <f>DataItems3[[#This Row],[Field]]&amp;IF(DataItems3[[#This Row],[Options for supplying the Field]]="",""," "&amp;DataItems3[[#This Row],[Options for supplying the Field]])</f>
        <v>HE provider (Campus)</v>
      </c>
      <c r="C283">
        <v>100235</v>
      </c>
      <c r="D283" s="3" t="s">
        <v>86</v>
      </c>
      <c r="E283" s="3" t="s">
        <v>106</v>
      </c>
      <c r="F283" s="3" t="s">
        <v>1109</v>
      </c>
      <c r="G283" s="13" t="s">
        <v>1115</v>
      </c>
      <c r="H283" s="14" t="s">
        <v>1116</v>
      </c>
      <c r="J283" s="3">
        <v>2</v>
      </c>
      <c r="K283" s="3">
        <v>8</v>
      </c>
      <c r="L283" s="3">
        <v>0</v>
      </c>
      <c r="M283" s="3">
        <v>0</v>
      </c>
      <c r="N283" s="3" t="s">
        <v>89</v>
      </c>
      <c r="Q283" s="16" t="s">
        <v>1117</v>
      </c>
      <c r="R283" s="16" t="s">
        <v>3058</v>
      </c>
      <c r="S283" s="16" t="s">
        <v>3059</v>
      </c>
      <c r="T283" s="16" t="s">
        <v>3060</v>
      </c>
      <c r="U283" s="3" t="s">
        <v>1118</v>
      </c>
      <c r="V283" s="3" t="s">
        <v>93</v>
      </c>
      <c r="W283" s="57" t="s">
        <v>997</v>
      </c>
      <c r="X283" t="str">
        <f>DataItems3[[#This Row],[Collection]]&amp;DataItems3[[#This Row],[Field]]&amp;DataItems3[[#This Row],[Options for supplying the Field]]&amp;DataItems3[[#This Row],[Fieldname]]&amp;DataItems3[[#This Row],[Parent]]</f>
        <v>StudentHE provider(Campus)F_CAMPID</v>
      </c>
      <c r="Y283" s="15"/>
      <c r="AA283" s="28" t="str">
        <f t="shared" si="43"/>
        <v>ISNULL(s.f_xinstid01 + s.F_CAMPID,'Unknown')</v>
      </c>
      <c r="AB283" s="28" t="str">
        <f t="shared" si="44"/>
        <v>isnull(REPLACE(REPLACE(camp.campname, ',', ''), CHAR(0x22), ''),'Unknown')</v>
      </c>
      <c r="AC283" s="28" t="str">
        <f t="shared" si="41"/>
        <v>case when s.DW_FromDate &lt;= 20180801 then ‘N/A’ else ISNULL(s.f_xinstid01 + s.F_CAMPID,'Unknown') end</v>
      </c>
      <c r="AD283" s="28" t="str">
        <f t="shared" si="42"/>
        <v>case when s.DW_FromDate &lt;= 20180801 then ‘Not applicable (prior to 2019/20)’ else isnull(REPLACE(REPLACE(camp.campname, ',', ''), CHAR(0x22), ''),'Unknown') end</v>
      </c>
      <c r="AE283" t="str">
        <f t="shared" si="40"/>
        <v>[HE provider]</v>
      </c>
    </row>
    <row r="284" spans="1:32" ht="16" x14ac:dyDescent="0.2">
      <c r="A284">
        <v>100234</v>
      </c>
      <c r="B284" s="11" t="str">
        <f>DataItems3[[#This Row],[Field]]&amp;IF(DataItems3[[#This Row],[Options for supplying the Field]]="",""," "&amp;DataItems3[[#This Row],[Options for supplying the Field]])</f>
        <v>HE provider (Campus postcode)</v>
      </c>
      <c r="C284">
        <v>100234</v>
      </c>
      <c r="D284" s="3" t="s">
        <v>86</v>
      </c>
      <c r="F284" s="3" t="s">
        <v>1109</v>
      </c>
      <c r="G284" s="13" t="s">
        <v>1119</v>
      </c>
      <c r="H284" s="14" t="s">
        <v>1120</v>
      </c>
      <c r="J284" s="3">
        <v>2</v>
      </c>
      <c r="K284" s="3">
        <v>5</v>
      </c>
      <c r="L284" s="3">
        <v>0</v>
      </c>
      <c r="M284" s="3">
        <v>0</v>
      </c>
      <c r="N284" s="3" t="s">
        <v>89</v>
      </c>
      <c r="Q284" s="16" t="s">
        <v>1121</v>
      </c>
      <c r="R284" s="3" t="s">
        <v>91</v>
      </c>
      <c r="S284" s="16" t="s">
        <v>1121</v>
      </c>
      <c r="U284" s="3" t="s">
        <v>1122</v>
      </c>
      <c r="V284" s="3">
        <v>1</v>
      </c>
      <c r="W284" s="57" t="s">
        <v>786</v>
      </c>
      <c r="X284" t="str">
        <f>DataItems3[[#This Row],[Collection]]&amp;DataItems3[[#This Row],[Field]]&amp;DataItems3[[#This Row],[Options for supplying the Field]]&amp;DataItems3[[#This Row],[Fieldname]]&amp;DataItems3[[#This Row],[Parent]]</f>
        <v>StudentHE provider(Campus postcode)F_POSTCODE</v>
      </c>
      <c r="Y284" s="15"/>
      <c r="AA284" s="28" t="str">
        <f t="shared" si="43"/>
        <v>iif(p.F_POSTCODE='','Unknown',p.F_POSTCODE)</v>
      </c>
      <c r="AB284" s="28" t="str">
        <f t="shared" si="44"/>
        <v>iif(p.F_POSTCODE='','Unknown',p.F_POSTCODE)</v>
      </c>
      <c r="AC284" s="28" t="str">
        <f t="shared" si="41"/>
        <v xml:space="preserve"> </v>
      </c>
      <c r="AD284" s="28" t="str">
        <f t="shared" si="42"/>
        <v/>
      </c>
      <c r="AE284" t="str">
        <f t="shared" si="40"/>
        <v>[HE provider]</v>
      </c>
    </row>
    <row r="285" spans="1:32" ht="32" x14ac:dyDescent="0.2">
      <c r="A285">
        <v>100787</v>
      </c>
      <c r="B285" s="11" t="str">
        <f>DataItems3[[#This Row],[Field]]&amp;IF(DataItems3[[#This Row],[Options for supplying the Field]]="",""," "&amp;DataItems3[[#This Row],[Options for supplying the Field]])</f>
        <v>HE Provider (Campus Sector Postcode)</v>
      </c>
      <c r="C285">
        <v>100787</v>
      </c>
      <c r="D285" s="3" t="s">
        <v>86</v>
      </c>
      <c r="F285" s="3" t="s">
        <v>1123</v>
      </c>
      <c r="G285" s="13" t="s">
        <v>1124</v>
      </c>
      <c r="H285" s="14" t="s">
        <v>1120</v>
      </c>
      <c r="J285" s="3">
        <v>3</v>
      </c>
      <c r="K285" s="3">
        <v>8</v>
      </c>
      <c r="L285" s="3">
        <v>0</v>
      </c>
      <c r="M285" s="3">
        <v>0</v>
      </c>
      <c r="N285" s="3" t="s">
        <v>89</v>
      </c>
      <c r="Q285" s="16" t="s">
        <v>1125</v>
      </c>
      <c r="R285" s="3" t="s">
        <v>91</v>
      </c>
      <c r="S285" s="16" t="s">
        <v>1125</v>
      </c>
      <c r="W285" s="57" t="s">
        <v>791</v>
      </c>
      <c r="X285" t="str">
        <f>DataItems3[[#This Row],[Collection]]&amp;DataItems3[[#This Row],[Field]]&amp;DataItems3[[#This Row],[Options for supplying the Field]]&amp;DataItems3[[#This Row],[Fieldname]]&amp;DataItems3[[#This Row],[Parent]]</f>
        <v>StudentHE Provider(Campus Sector Postcode)F_POSTCODE</v>
      </c>
      <c r="Y285" s="4">
        <v>44265</v>
      </c>
      <c r="Z285" t="s">
        <v>1126</v>
      </c>
      <c r="AA285" s="28" t="str">
        <f t="shared" si="43"/>
        <v>CASE WHEN p.F_POSTCODE IN ('ZZ', 'GB', 'JE', 'XL', 'XK', 'GG', 'IM', 'XF', 'XI', 'XH', 'XG', '99999999', '1782', '2826', '3826', '4826', '5826', '6826', '7826', '8826')
OR p.F_POSTCODE IS NULL
OR p.F_POSTCODE='' THEN 'zzzzUnknown'
WHEN SUBSTRING(p.F_POSTCODE, 1, 3)='___'
OR SUBSTRING(p.F_POSTCODE, 1, 3)='###'
OR SUBSTRING(p.F_POSTCODE, 1, 3)='$$$' THEN 'zzzzUnknown'
WHEN CHARINDEX(' ', p.F_POSTCODE)=0 THEN CASE WHEN LEN(p.F_POSTCODE)&gt;=5 THEN 'zzzzUnknown' ELSE p.F_POSTCODE END
WHEN p.F_POSTCODE LIKE '% %' THEN CASE WHEN SUBSTRING(p.F_POSTCODE, CHARINDEX(' ', p.F_POSTCODE) + 2, 1) IN ('0', '1', '2', '3', '4', '5', '6', '7', '8', '9') THEN SUBSTRING(p.F_POSTCODE, 1, CHARINDEX(' ', p.F_POSTCODE) - 1) + ' ' + SUBSTRING(p.F_POSTCODE, CHARINDEX(' ', p.F_POSTCODE) + 2, 1)
WHEN SUBSTRING(p.F_POSTCODE, CHARINDEX(' ', p.F_POSTCODE) + 2, 1)='O' THEN SUBSTRING(p.F_POSTCODE, 1, CHARINDEX(' ', p.F_POSTCODE) - 1) + ' ' + '0'
ELSE SUBSTRING(p.F_POSTCODE, 1, CHARINDEX(' ', p.F_POSTCODE) - 1)END
WHEN p.F_POSTCODE LIKE '% %' THEN CASE WHEN SUBSTRING(p.F_POSTCODE, CHARINDEX(' ', p.F_POSTCODE) + 1, 1) IN ('0', '1', '2', '3', '4', '5', '6', '7', '8', '9') THEN SUBSTRING(p.F_POSTCODE, 1, CHARINDEX(' ', p.F_POSTCODE) - 1) + ' ' + SUBSTRING(p.F_POSTCODE, CHARINDEX(' ', p.F_POSTCODE) + 1, 1)
WHEN SUBSTRING(p.F_POSTCODE, CHARINDEX(' ', p.F_POSTCODE) + 1, 1)='O' THEN SUBSTRING(p.F_POSTCODE, 1, CHARINDEX(' ', p.F_POSTCODE) - 1) + ' ' + '0'
ELSE SUBSTRING(p.F_POSTCODE, 1, CHARINDEX(' ', p.F_POSTCODE) - 1)END
ELSE 'zzzzUnknown' END</v>
      </c>
      <c r="AB285" s="28" t="str">
        <f t="shared" si="44"/>
        <v>CASE WHEN p.F_POSTCODE IN ('ZZ', 'GB', 'JE', 'XL', 'XK', 'GG', 'IM', 'XF', 'XI', 'XH', 'XG', '99999999', '1782', '2826', '3826', '4826', '5826', '6826', '7826', '8826')
OR p.F_POSTCODE IS NULL
OR p.F_POSTCODE='' THEN 'zzzzUnknown'
WHEN SUBSTRING(p.F_POSTCODE, 1, 3)='___'
OR SUBSTRING(p.F_POSTCODE, 1, 3)='###'
OR SUBSTRING(p.F_POSTCODE, 1, 3)='$$$' THEN 'zzzzUnknown'
WHEN CHARINDEX(' ', p.F_POSTCODE)=0 THEN CASE WHEN LEN(p.F_POSTCODE)&gt;=5 THEN 'zzzzUnknown' ELSE p.F_POSTCODE END
WHEN p.F_POSTCODE LIKE '% %' THEN CASE WHEN SUBSTRING(p.F_POSTCODE, CHARINDEX(' ', p.F_POSTCODE) + 2, 1) IN ('0', '1', '2', '3', '4', '5', '6', '7', '8', '9') THEN SUBSTRING(p.F_POSTCODE, 1, CHARINDEX(' ', p.F_POSTCODE) - 1) + ' ' + SUBSTRING(p.F_POSTCODE, CHARINDEX(' ', p.F_POSTCODE) + 2, 1)
WHEN SUBSTRING(p.F_POSTCODE, CHARINDEX(' ', p.F_POSTCODE) + 2, 1)='O' THEN SUBSTRING(p.F_POSTCODE, 1, CHARINDEX(' ', p.F_POSTCODE) - 1) + ' ' + '0'
ELSE SUBSTRING(p.F_POSTCODE, 1, CHARINDEX(' ', p.F_POSTCODE) - 1)END
WHEN p.F_POSTCODE LIKE '% %' THEN CASE WHEN SUBSTRING(p.F_POSTCODE, CHARINDEX(' ', p.F_POSTCODE) + 1, 1) IN ('0', '1', '2', '3', '4', '5', '6', '7', '8', '9') THEN SUBSTRING(p.F_POSTCODE, 1, CHARINDEX(' ', p.F_POSTCODE) - 1) + ' ' + SUBSTRING(p.F_POSTCODE, CHARINDEX(' ', p.F_POSTCODE) + 1, 1)
WHEN SUBSTRING(p.F_POSTCODE, CHARINDEX(' ', p.F_POSTCODE) + 1, 1)='O' THEN SUBSTRING(p.F_POSTCODE, 1, CHARINDEX(' ', p.F_POSTCODE) - 1) + ' ' + '0'
ELSE SUBSTRING(p.F_POSTCODE, 1, CHARINDEX(' ', p.F_POSTCODE) - 1)END
ELSE 'zzzzUnknown' END</v>
      </c>
      <c r="AC285" s="28" t="str">
        <f t="shared" si="41"/>
        <v xml:space="preserve"> </v>
      </c>
      <c r="AD285" s="28" t="str">
        <f t="shared" si="42"/>
        <v/>
      </c>
      <c r="AE285" t="str">
        <f t="shared" si="40"/>
        <v>[HE Provider]</v>
      </c>
    </row>
    <row r="286" spans="1:32" ht="16" x14ac:dyDescent="0.2">
      <c r="A286">
        <v>100241</v>
      </c>
      <c r="B286" s="11" t="str">
        <f>DataItems3[[#This Row],[Field]]&amp;IF(DataItems3[[#This Row],[Options for supplying the Field]]="",""," "&amp;DataItems3[[#This Row],[Options for supplying the Field]])</f>
        <v>HE provider (UKPRN)</v>
      </c>
      <c r="C286">
        <v>100241</v>
      </c>
      <c r="D286" s="3" t="s">
        <v>86</v>
      </c>
      <c r="E286" s="3" t="s">
        <v>106</v>
      </c>
      <c r="F286" s="3" t="s">
        <v>1109</v>
      </c>
      <c r="G286" s="13" t="s">
        <v>1127</v>
      </c>
      <c r="H286" s="14" t="s">
        <v>1128</v>
      </c>
      <c r="J286" s="3">
        <v>1</v>
      </c>
      <c r="K286" s="3">
        <v>1</v>
      </c>
      <c r="L286" s="3">
        <v>0</v>
      </c>
      <c r="M286" s="3">
        <v>0</v>
      </c>
      <c r="N286" s="3" t="s">
        <v>106</v>
      </c>
      <c r="Q286" s="16" t="s">
        <v>1129</v>
      </c>
      <c r="R286" s="16" t="s">
        <v>1129</v>
      </c>
      <c r="S286" s="16" t="s">
        <v>1130</v>
      </c>
      <c r="T286" s="16" t="s">
        <v>1130</v>
      </c>
      <c r="U286" s="3" t="s">
        <v>1131</v>
      </c>
      <c r="V286" s="3" t="s">
        <v>93</v>
      </c>
      <c r="W286" s="57" t="s">
        <v>114</v>
      </c>
      <c r="X286" t="str">
        <f>DataItems3[[#This Row],[Collection]]&amp;DataItems3[[#This Row],[Field]]&amp;DataItems3[[#This Row],[Options for supplying the Field]]&amp;DataItems3[[#This Row],[Fieldname]]&amp;DataItems3[[#This Row],[Parent]]</f>
        <v>StudentHE provider(UKPRN)F_UKPRN</v>
      </c>
      <c r="Y286" s="15">
        <v>43416</v>
      </c>
      <c r="Z286" t="s">
        <v>95</v>
      </c>
      <c r="AA286" s="28" t="str">
        <f t="shared" si="43"/>
        <v>cast(s.F_UKPRN as varchar)</v>
      </c>
      <c r="AB286" s="28" t="str">
        <f t="shared" si="44"/>
        <v xml:space="preserve"> CAST(s.f_ukprn AS VARCHAR) + ' '+ ukp.DW_CurrentLabel</v>
      </c>
      <c r="AC286" s="28" t="str">
        <f t="shared" si="41"/>
        <v>cast(s.F_UKPRN as varchar)</v>
      </c>
      <c r="AD286" s="28" t="str">
        <f t="shared" si="42"/>
        <v xml:space="preserve"> CAST(s.f_ukprn AS VARCHAR) + ' '+ ukp.DW_CurrentLabel</v>
      </c>
      <c r="AE286" t="str">
        <f t="shared" si="40"/>
        <v>[HE provider]</v>
      </c>
    </row>
    <row r="287" spans="1:32" ht="16" x14ac:dyDescent="0.2">
      <c r="A287">
        <v>100778</v>
      </c>
      <c r="B287" s="11" t="str">
        <f>DataItems3[[#This Row],[Field]]&amp;IF(DataItems3[[#This Row],[Options for supplying the Field]]="",""," "&amp;DataItems3[[#This Row],[Options for supplying the Field]])</f>
        <v>HE provider (UKPRN) (Staff)</v>
      </c>
      <c r="C287">
        <v>100778</v>
      </c>
      <c r="D287" s="3" t="s">
        <v>100</v>
      </c>
      <c r="F287" s="3" t="s">
        <v>1109</v>
      </c>
      <c r="G287" s="13" t="s">
        <v>1132</v>
      </c>
      <c r="H287" s="14" t="s">
        <v>1128</v>
      </c>
      <c r="J287" s="3">
        <v>1</v>
      </c>
      <c r="K287" s="3">
        <v>1</v>
      </c>
      <c r="L287" s="3">
        <v>0</v>
      </c>
      <c r="M287" s="3">
        <v>0</v>
      </c>
      <c r="Q287" s="16" t="s">
        <v>1133</v>
      </c>
      <c r="S287" s="16" t="s">
        <v>1134</v>
      </c>
      <c r="U287" s="3" t="s">
        <v>1135</v>
      </c>
      <c r="W287" s="57" t="s">
        <v>504</v>
      </c>
      <c r="X287" t="str">
        <f>DataItems3[[#This Row],[Collection]]&amp;DataItems3[[#This Row],[Field]]&amp;DataItems3[[#This Row],[Options for supplying the Field]]&amp;DataItems3[[#This Row],[Fieldname]]&amp;DataItems3[[#This Row],[Parent]]</f>
        <v>StaffHE provider(UKPRN) (Staff)F_UKPRN</v>
      </c>
      <c r="Y287" s="4">
        <v>44253</v>
      </c>
      <c r="Z287" t="s">
        <v>135</v>
      </c>
      <c r="AA287" s="28" t="str">
        <f t="shared" si="43"/>
        <v>p.f_ukprn</v>
      </c>
      <c r="AB287" s="28" t="str">
        <f t="shared" si="44"/>
        <v>CAST(p.F_UKPRN AS VARCHAR) + ' ' + sukprn.DW_CurrentLabel</v>
      </c>
      <c r="AC287" s="28" t="str">
        <f t="shared" si="41"/>
        <v/>
      </c>
      <c r="AD287" s="28" t="str">
        <f t="shared" si="42"/>
        <v/>
      </c>
      <c r="AE287" t="str">
        <f t="shared" si="40"/>
        <v>[HE provider]</v>
      </c>
    </row>
    <row r="288" spans="1:32" ht="16" x14ac:dyDescent="0.2">
      <c r="A288">
        <v>100242</v>
      </c>
      <c r="B288" s="11" t="str">
        <f>DataItems3[[#This Row],[Field]]&amp;IF(DataItems3[[#This Row],[Options for supplying the Field]]="",""," "&amp;DataItems3[[#This Row],[Options for supplying the Field]])</f>
        <v>HE provider</v>
      </c>
      <c r="C288">
        <v>100242</v>
      </c>
      <c r="D288" s="3" t="s">
        <v>86</v>
      </c>
      <c r="E288" s="3" t="s">
        <v>106</v>
      </c>
      <c r="F288" s="3" t="s">
        <v>1109</v>
      </c>
      <c r="G288" s="13"/>
      <c r="H288" s="14" t="s">
        <v>1136</v>
      </c>
      <c r="J288" s="3">
        <v>1</v>
      </c>
      <c r="K288" s="3">
        <v>5</v>
      </c>
      <c r="L288" s="3">
        <v>0</v>
      </c>
      <c r="M288" s="3">
        <v>0</v>
      </c>
      <c r="N288" s="3" t="s">
        <v>106</v>
      </c>
      <c r="Q288" s="16" t="s">
        <v>1137</v>
      </c>
      <c r="R288" s="16" t="s">
        <v>1137</v>
      </c>
      <c r="S288" s="16" t="s">
        <v>1138</v>
      </c>
      <c r="T288" s="16" t="s">
        <v>1138</v>
      </c>
      <c r="U288" s="3" t="s">
        <v>93</v>
      </c>
      <c r="V288" s="3" t="s">
        <v>93</v>
      </c>
      <c r="W288" s="57" t="s">
        <v>482</v>
      </c>
      <c r="X288" t="str">
        <f>DataItems3[[#This Row],[Collection]]&amp;DataItems3[[#This Row],[Field]]&amp;DataItems3[[#This Row],[Options for supplying the Field]]&amp;DataItems3[[#This Row],[Fieldname]]&amp;DataItems3[[#This Row],[Parent]]</f>
        <v>StudentHE providerF_XINSTID01</v>
      </c>
      <c r="Y288" s="15"/>
      <c r="AA288" s="28" t="str">
        <f t="shared" si="43"/>
        <v>s.F_XINSTID01</v>
      </c>
      <c r="AB288" s="28" t="str">
        <f t="shared" si="44"/>
        <v xml:space="preserve"> s.F_XINSTID01</v>
      </c>
      <c r="AC288" s="28" t="str">
        <f t="shared" si="41"/>
        <v>s.F_XINSTID01</v>
      </c>
      <c r="AD288" s="28" t="str">
        <f t="shared" si="42"/>
        <v xml:space="preserve"> s.F_XINSTID01</v>
      </c>
      <c r="AE288" t="str">
        <f t="shared" si="40"/>
        <v>[HE provider]</v>
      </c>
      <c r="AF288">
        <v>101006</v>
      </c>
    </row>
    <row r="289" spans="1:31" ht="16" x14ac:dyDescent="0.2">
      <c r="A289">
        <v>100236</v>
      </c>
      <c r="B289" s="11" t="str">
        <f>DataItems3[[#This Row],[Field]]&amp;IF(DataItems3[[#This Row],[Options for supplying the Field]]="",""," "&amp;DataItems3[[#This Row],[Options for supplying the Field]])</f>
        <v>HE provider (HE/AP marker)</v>
      </c>
      <c r="C289">
        <v>100236</v>
      </c>
      <c r="D289" s="3" t="s">
        <v>86</v>
      </c>
      <c r="E289" s="3" t="s">
        <v>106</v>
      </c>
      <c r="F289" s="3" t="s">
        <v>1109</v>
      </c>
      <c r="G289" s="13" t="s">
        <v>1139</v>
      </c>
      <c r="H289" s="14" t="s">
        <v>1140</v>
      </c>
      <c r="J289" s="3">
        <v>2</v>
      </c>
      <c r="K289" s="3">
        <v>2</v>
      </c>
      <c r="L289" s="3">
        <v>0</v>
      </c>
      <c r="M289" s="3">
        <v>0</v>
      </c>
      <c r="N289" s="3" t="s">
        <v>89</v>
      </c>
      <c r="Q289" s="60" t="s">
        <v>3061</v>
      </c>
      <c r="R289" s="14" t="s">
        <v>3062</v>
      </c>
      <c r="S289" s="60" t="s">
        <v>3061</v>
      </c>
      <c r="T289" s="14" t="s">
        <v>3062</v>
      </c>
      <c r="U289" s="3" t="s">
        <v>93</v>
      </c>
      <c r="V289" s="3" t="s">
        <v>93</v>
      </c>
      <c r="W289" s="57" t="s">
        <v>150</v>
      </c>
      <c r="X289" t="str">
        <f>DataItems3[[#This Row],[Collection]]&amp;DataItems3[[#This Row],[Field]]&amp;DataItems3[[#This Row],[Options for supplying the Field]]&amp;DataItems3[[#This Row],[Fieldname]]&amp;DataItems3[[#This Row],[Parent]]</f>
        <v>StudentHE provider(HE/AP marker)HEAP_MKR</v>
      </c>
      <c r="Y289" s="15">
        <v>43438</v>
      </c>
      <c r="Z289" t="s">
        <v>95</v>
      </c>
      <c r="AC289" s="28"/>
      <c r="AD289" s="28"/>
      <c r="AE289" t="str">
        <f t="shared" si="40"/>
        <v>[HE provider]</v>
      </c>
    </row>
    <row r="290" spans="1:31" ht="16" x14ac:dyDescent="0.2">
      <c r="A290">
        <v>100833</v>
      </c>
      <c r="B290" s="11" t="str">
        <f>DataItems3[[#This Row],[Field]]&amp;IF(DataItems3[[#This Row],[Options for supplying the Field]]="",""," "&amp;DataItems3[[#This Row],[Options for supplying the Field]])</f>
        <v>HE provider (UKPRN) (campus)</v>
      </c>
      <c r="C290">
        <v>100833</v>
      </c>
      <c r="D290" s="3" t="s">
        <v>86</v>
      </c>
      <c r="F290" s="3" t="s">
        <v>1109</v>
      </c>
      <c r="G290" s="13" t="s">
        <v>1141</v>
      </c>
      <c r="H290" s="3" t="s">
        <v>1142</v>
      </c>
      <c r="J290" s="3">
        <v>2</v>
      </c>
      <c r="K290" s="3">
        <v>8</v>
      </c>
      <c r="L290" s="3">
        <v>0</v>
      </c>
      <c r="M290" s="3">
        <v>0</v>
      </c>
      <c r="Q290" s="16" t="s">
        <v>1143</v>
      </c>
      <c r="S290" s="16" t="s">
        <v>1144</v>
      </c>
      <c r="U290" s="3" t="s">
        <v>1145</v>
      </c>
      <c r="W290" s="57" t="s">
        <v>3063</v>
      </c>
      <c r="X290" t="str">
        <f>DataItems3[[#This Row],[Collection]]&amp;DataItems3[[#This Row],[Field]]&amp;DataItems3[[#This Row],[Options for supplying the Field]]&amp;DataItems3[[#This Row],[Fieldname]]&amp;DataItems3[[#This Row],[Parent]]</f>
        <v>StudentHE provider(UKPRN) (campus)UKPRN_CAMPID</v>
      </c>
      <c r="Y290" s="4">
        <v>44480</v>
      </c>
      <c r="Z290" t="s">
        <v>135</v>
      </c>
      <c r="AA290" s="28" t="str">
        <f t="shared" ref="AA290:AA353" si="45">IF(Q290="","",Q290)</f>
        <v>CAST(s.f_ukprn AS VARCHAR)+s.f_campid</v>
      </c>
      <c r="AB290" s="28" t="str">
        <f t="shared" ref="AB290:AB353" si="46">IF(S290="","",IF(IFERROR(SEARCH("select",S290)&gt;0,0),IF(U290="",IF(MID(S290,SEARCH(H290,S290)-4,1)=" ",MID(S290,SEARCH(H290,S290)-2,LEN(O299)+2),MID(S290,SEARCH(H290,S290)-3,LEN(H290)+3)),U290&amp;"."&amp;H290),S290))</f>
        <v>ucamp.ucampname</v>
      </c>
      <c r="AC290" s="28" t="str">
        <f t="shared" ref="AC290:AC324" si="47">IF(R290="","",R290)</f>
        <v/>
      </c>
      <c r="AD290" s="28" t="str">
        <f t="shared" ref="AD290:AD324" si="48">IF(T290="","",IF(IFERROR(SEARCH("select",T290)&gt;0,0),IF(U290="",IF(MID(T290,SEARCH(H290,T290)-4,1)=" ",MID(T290,SEARCH(H290,T290)-2,LEN(O299)+2),MID(T290,SEARCH(H290,T290)-3,LEN(H290)+3)),U290&amp;"."&amp;H290),T290))</f>
        <v/>
      </c>
      <c r="AE290" t="str">
        <f t="shared" si="40"/>
        <v>[HE provider]</v>
      </c>
    </row>
    <row r="291" spans="1:31" ht="16" x14ac:dyDescent="0.2">
      <c r="A291">
        <v>100243</v>
      </c>
      <c r="B291" s="11" t="str">
        <f>DataItems3[[#This Row],[Field]]&amp;IF(DataItems3[[#This Row],[Options for supplying the Field]]="",""," "&amp;DataItems3[[#This Row],[Options for supplying the Field]])</f>
        <v>HE provider (AOR)</v>
      </c>
      <c r="C291">
        <v>100243</v>
      </c>
      <c r="D291" s="3" t="s">
        <v>562</v>
      </c>
      <c r="F291" s="3" t="s">
        <v>1146</v>
      </c>
      <c r="G291" s="13"/>
      <c r="H291" s="14" t="s">
        <v>1147</v>
      </c>
      <c r="J291" s="3">
        <v>1</v>
      </c>
      <c r="K291" s="3">
        <v>5</v>
      </c>
      <c r="L291" s="3">
        <v>0</v>
      </c>
      <c r="M291" s="3">
        <v>0</v>
      </c>
      <c r="Q291" s="16" t="s">
        <v>1148</v>
      </c>
      <c r="R291" s="3" t="s">
        <v>93</v>
      </c>
      <c r="S291" s="16" t="s">
        <v>1149</v>
      </c>
      <c r="U291" s="3" t="s">
        <v>567</v>
      </c>
      <c r="V291" s="3" t="s">
        <v>93</v>
      </c>
      <c r="W291" s="57" t="s">
        <v>482</v>
      </c>
      <c r="X291" t="str">
        <f>DataItems3[[#This Row],[Collection]]&amp;DataItems3[[#This Row],[Field]]&amp;DataItems3[[#This Row],[Options for supplying the Field]]&amp;DataItems3[[#This Row],[Fieldname]]&amp;DataItems3[[#This Row],[Parent]]</f>
        <v>AORHE provider (AOR)F_INSTID</v>
      </c>
      <c r="Y291" s="15">
        <v>43684</v>
      </c>
      <c r="Z291" t="s">
        <v>95</v>
      </c>
      <c r="AA291" s="28" t="str">
        <f t="shared" si="45"/>
        <v>a.F_INSTID</v>
      </c>
      <c r="AB291" s="28" t="str">
        <f t="shared" si="46"/>
        <v>a.F_INSTID</v>
      </c>
      <c r="AC291" s="28" t="str">
        <f t="shared" si="47"/>
        <v/>
      </c>
      <c r="AD291" s="28" t="str">
        <f t="shared" si="48"/>
        <v/>
      </c>
      <c r="AE291" t="str">
        <f t="shared" si="40"/>
        <v>[HE provider (AOR)]</v>
      </c>
    </row>
    <row r="292" spans="1:31" ht="16" x14ac:dyDescent="0.2">
      <c r="A292">
        <v>100244</v>
      </c>
      <c r="B292" s="11" t="str">
        <f>DataItems3[[#This Row],[Field]]&amp;IF(DataItems3[[#This Row],[Options for supplying the Field]]="",""," "&amp;DataItems3[[#This Row],[Options for supplying the Field]])</f>
        <v>HE provider (Staff)</v>
      </c>
      <c r="C292">
        <v>100244</v>
      </c>
      <c r="D292" s="3" t="s">
        <v>100</v>
      </c>
      <c r="F292" s="3" t="s">
        <v>1150</v>
      </c>
      <c r="G292" s="13"/>
      <c r="H292" s="14" t="s">
        <v>1147</v>
      </c>
      <c r="J292" s="3">
        <v>1</v>
      </c>
      <c r="K292" s="3">
        <v>5</v>
      </c>
      <c r="L292" s="3">
        <v>0</v>
      </c>
      <c r="M292" s="3">
        <v>0</v>
      </c>
      <c r="Q292" s="16" t="s">
        <v>1151</v>
      </c>
      <c r="R292" s="3" t="s">
        <v>93</v>
      </c>
      <c r="S292" s="16" t="s">
        <v>1152</v>
      </c>
      <c r="U292" s="3" t="s">
        <v>93</v>
      </c>
      <c r="V292" s="3" t="s">
        <v>93</v>
      </c>
      <c r="W292" s="57" t="s">
        <v>482</v>
      </c>
      <c r="X292" t="str">
        <f>DataItems3[[#This Row],[Collection]]&amp;DataItems3[[#This Row],[Field]]&amp;DataItems3[[#This Row],[Options for supplying the Field]]&amp;DataItems3[[#This Row],[Fieldname]]&amp;DataItems3[[#This Row],[Parent]]</f>
        <v>StaffHE provider (Staff)F_INSTID</v>
      </c>
      <c r="Y292" s="15">
        <v>43684</v>
      </c>
      <c r="Z292" t="s">
        <v>95</v>
      </c>
      <c r="AA292" s="28" t="str">
        <f t="shared" si="45"/>
        <v>p.f_instid</v>
      </c>
      <c r="AB292" s="28" t="str">
        <f t="shared" si="46"/>
        <v xml:space="preserve"> p.f_instid</v>
      </c>
      <c r="AC292" s="28" t="str">
        <f t="shared" si="47"/>
        <v/>
      </c>
      <c r="AD292" s="28" t="str">
        <f t="shared" si="48"/>
        <v/>
      </c>
      <c r="AE292" t="str">
        <f t="shared" si="40"/>
        <v>[HE provider (Staff)]</v>
      </c>
    </row>
    <row r="293" spans="1:31" ht="32" x14ac:dyDescent="0.2">
      <c r="A293">
        <v>100762</v>
      </c>
      <c r="B293" s="11" t="str">
        <f>DataItems3[[#This Row],[Field]]&amp;IF(DataItems3[[#This Row],[Options for supplying the Field]]="",""," "&amp;DataItems3[[#This Row],[Options for supplying the Field]])</f>
        <v>HE provider⁽¹⁾ (Campus Local authority district)</v>
      </c>
      <c r="C293">
        <v>100762</v>
      </c>
      <c r="D293" s="3" t="s">
        <v>86</v>
      </c>
      <c r="F293" s="3" t="str">
        <f t="shared" ref="F293:F298" si="49">"HE provider"&amp;"⁽"&amp;CHAR(185)&amp;"⁾"</f>
        <v>HE provider⁽¹⁾</v>
      </c>
      <c r="G293" s="13" t="s">
        <v>1153</v>
      </c>
      <c r="H293" s="14" t="s">
        <v>1154</v>
      </c>
      <c r="J293" s="3">
        <v>8</v>
      </c>
      <c r="K293" s="3">
        <v>3</v>
      </c>
      <c r="L293" s="3">
        <v>0</v>
      </c>
      <c r="M293" s="3">
        <v>0</v>
      </c>
      <c r="N293" s="3" t="s">
        <v>89</v>
      </c>
      <c r="Q293" s="16" t="s">
        <v>1155</v>
      </c>
      <c r="S293" s="16" t="s">
        <v>1155</v>
      </c>
      <c r="U293" s="3" t="s">
        <v>1156</v>
      </c>
      <c r="W293" s="57" t="s">
        <v>798</v>
      </c>
      <c r="X293" t="str">
        <f>DataItems3[[#This Row],[Collection]]&amp;DataItems3[[#This Row],[Field]]&amp;DataItems3[[#This Row],[Options for supplying the Field]]&amp;DataItems3[[#This Row],[Fieldname]]&amp;DataItems3[[#This Row],[Parent]]</f>
        <v>StudentHE provider⁽¹⁾(Campus Local authority district)CAMPUS_LAUA</v>
      </c>
      <c r="Y293" s="4">
        <v>44236</v>
      </c>
      <c r="Z293" t="s">
        <v>776</v>
      </c>
      <c r="AA293" s="28" t="str">
        <f t="shared" si="45"/>
        <v>ISNULL(zzz.F_FULL_LAUA, 'Unknown')</v>
      </c>
      <c r="AB293" s="28" t="str">
        <f t="shared" si="46"/>
        <v>ISNULL(zzz.F_FULL_LAUA, 'Unknown')</v>
      </c>
      <c r="AC293" s="28" t="str">
        <f t="shared" si="47"/>
        <v/>
      </c>
      <c r="AD293" s="28" t="str">
        <f t="shared" si="48"/>
        <v/>
      </c>
      <c r="AE293" t="str">
        <f t="shared" si="40"/>
        <v>[HE provider]</v>
      </c>
    </row>
    <row r="294" spans="1:31" ht="32" x14ac:dyDescent="0.2">
      <c r="A294">
        <v>100237</v>
      </c>
      <c r="B294" s="11" t="str">
        <f>DataItems3[[#This Row],[Field]]&amp;IF(DataItems3[[#This Row],[Options for supplying the Field]]="",""," "&amp;DataItems3[[#This Row],[Options for supplying the Field]])</f>
        <v>HE provider⁽¹⁾ (Lower super output area (LSOA))</v>
      </c>
      <c r="C294">
        <v>100237</v>
      </c>
      <c r="D294" s="3" t="s">
        <v>86</v>
      </c>
      <c r="F294" s="3" t="str">
        <f t="shared" si="49"/>
        <v>HE provider⁽¹⁾</v>
      </c>
      <c r="G294" s="13" t="s">
        <v>1157</v>
      </c>
      <c r="H294" s="14" t="s">
        <v>805</v>
      </c>
      <c r="J294" s="3">
        <v>3</v>
      </c>
      <c r="K294" s="3">
        <v>1</v>
      </c>
      <c r="L294" s="3">
        <v>0</v>
      </c>
      <c r="M294" s="3">
        <v>0</v>
      </c>
      <c r="Q294" s="16" t="s">
        <v>1158</v>
      </c>
      <c r="R294" s="3" t="s">
        <v>91</v>
      </c>
      <c r="S294" s="16" t="s">
        <v>1158</v>
      </c>
      <c r="U294" s="3" t="s">
        <v>1159</v>
      </c>
      <c r="V294" s="3" t="s">
        <v>93</v>
      </c>
      <c r="W294" s="57" t="s">
        <v>798</v>
      </c>
      <c r="X294" t="str">
        <f>DataItems3[[#This Row],[Collection]]&amp;DataItems3[[#This Row],[Field]]&amp;DataItems3[[#This Row],[Options for supplying the Field]]&amp;DataItems3[[#This Row],[Fieldname]]&amp;DataItems3[[#This Row],[Parent]]</f>
        <v>StudentHE provider⁽¹⁾(Lower super output area (LSOA))F_LSOA11</v>
      </c>
      <c r="Y294" s="15">
        <v>43909</v>
      </c>
      <c r="Z294" t="s">
        <v>159</v>
      </c>
      <c r="AA294" s="28" t="str">
        <f t="shared" si="45"/>
        <v>CASE WHEN zz.F_LSOA11 IN ('-3') THEN 'UNK' ELSE ISNULL(zz.F_LSOA11,'UNK') END</v>
      </c>
      <c r="AB294" s="28" t="str">
        <f t="shared" si="46"/>
        <v>CASE WHEN zz.F_LSOA11 IN ('-3') THEN 'UNK' ELSE ISNULL(zz.F_LSOA11,'UNK') END</v>
      </c>
      <c r="AC294" s="28" t="str">
        <f t="shared" si="47"/>
        <v xml:space="preserve"> </v>
      </c>
      <c r="AD294" s="28" t="str">
        <f t="shared" si="48"/>
        <v/>
      </c>
      <c r="AE294" t="str">
        <f t="shared" si="40"/>
        <v>[HE provider]</v>
      </c>
    </row>
    <row r="295" spans="1:31" ht="16" x14ac:dyDescent="0.2">
      <c r="A295">
        <v>100239</v>
      </c>
      <c r="B295" s="11" t="str">
        <f>DataItems3[[#This Row],[Field]]&amp;IF(DataItems3[[#This Row],[Options for supplying the Field]]="",""," "&amp;DataItems3[[#This Row],[Options for supplying the Field]])</f>
        <v>HE provider⁽¹⁾ (NUTS 2)</v>
      </c>
      <c r="C295">
        <v>100239</v>
      </c>
      <c r="D295" s="3" t="s">
        <v>86</v>
      </c>
      <c r="F295" s="3" t="str">
        <f t="shared" si="49"/>
        <v>HE provider⁽¹⁾</v>
      </c>
      <c r="G295" s="13" t="s">
        <v>1160</v>
      </c>
      <c r="H295" s="14" t="s">
        <v>1161</v>
      </c>
      <c r="J295" s="3">
        <v>5</v>
      </c>
      <c r="K295" s="3">
        <v>1</v>
      </c>
      <c r="L295" s="3">
        <v>0</v>
      </c>
      <c r="M295" s="3">
        <v>0</v>
      </c>
      <c r="Q295" s="16" t="s">
        <v>1162</v>
      </c>
      <c r="R295" s="3" t="s">
        <v>91</v>
      </c>
      <c r="S295" s="16" t="s">
        <v>1162</v>
      </c>
      <c r="U295" s="3" t="s">
        <v>1163</v>
      </c>
      <c r="V295" s="3" t="s">
        <v>93</v>
      </c>
      <c r="W295" s="57" t="s">
        <v>764</v>
      </c>
      <c r="X295" t="str">
        <f>DataItems3[[#This Row],[Collection]]&amp;DataItems3[[#This Row],[Field]]&amp;DataItems3[[#This Row],[Options for supplying the Field]]&amp;DataItems3[[#This Row],[Fieldname]]&amp;DataItems3[[#This Row],[Parent]]</f>
        <v>StudentHE provider⁽¹⁾(NUTS 2)F_NUTSHEP2</v>
      </c>
      <c r="Y295" s="15">
        <v>43909</v>
      </c>
      <c r="Z295" t="s">
        <v>159</v>
      </c>
      <c r="AA295" s="28" t="str">
        <f t="shared" si="45"/>
        <v>ISNULL(nhep.f_nuts2, 'Unknown')</v>
      </c>
      <c r="AB295" s="28" t="str">
        <f t="shared" si="46"/>
        <v>ISNULL(nhep.f_nuts2, 'Unknown')</v>
      </c>
      <c r="AC295" s="28" t="str">
        <f t="shared" si="47"/>
        <v xml:space="preserve"> </v>
      </c>
      <c r="AD295" s="28" t="str">
        <f t="shared" si="48"/>
        <v/>
      </c>
      <c r="AE295" t="str">
        <f t="shared" si="40"/>
        <v>[HE provider]</v>
      </c>
    </row>
    <row r="296" spans="1:31" ht="16" x14ac:dyDescent="0.2">
      <c r="A296">
        <v>100240</v>
      </c>
      <c r="B296" s="11" t="str">
        <f>DataItems3[[#This Row],[Field]]&amp;IF(DataItems3[[#This Row],[Options for supplying the Field]]="",""," "&amp;DataItems3[[#This Row],[Options for supplying the Field]])</f>
        <v>HE provider⁽¹⁾ (NUTS 3)</v>
      </c>
      <c r="C296">
        <v>100240</v>
      </c>
      <c r="D296" s="3" t="s">
        <v>86</v>
      </c>
      <c r="F296" s="3" t="str">
        <f t="shared" si="49"/>
        <v>HE provider⁽¹⁾</v>
      </c>
      <c r="G296" s="13" t="s">
        <v>1164</v>
      </c>
      <c r="H296" s="14" t="s">
        <v>1165</v>
      </c>
      <c r="J296" s="3">
        <v>5</v>
      </c>
      <c r="K296" s="3">
        <v>1</v>
      </c>
      <c r="L296" s="3">
        <v>0</v>
      </c>
      <c r="M296" s="3">
        <v>0</v>
      </c>
      <c r="Q296" s="16" t="s">
        <v>1166</v>
      </c>
      <c r="R296" s="3" t="s">
        <v>91</v>
      </c>
      <c r="S296" s="16" t="s">
        <v>1166</v>
      </c>
      <c r="U296" s="3" t="s">
        <v>1163</v>
      </c>
      <c r="V296" s="3" t="s">
        <v>93</v>
      </c>
      <c r="W296" s="57" t="s">
        <v>764</v>
      </c>
      <c r="X296" t="str">
        <f>DataItems3[[#This Row],[Collection]]&amp;DataItems3[[#This Row],[Field]]&amp;DataItems3[[#This Row],[Options for supplying the Field]]&amp;DataItems3[[#This Row],[Fieldname]]&amp;DataItems3[[#This Row],[Parent]]</f>
        <v>StudentHE provider⁽¹⁾(NUTS 3)F_NUTSHEP3</v>
      </c>
      <c r="Y296" s="15">
        <v>43909</v>
      </c>
      <c r="Z296" t="s">
        <v>159</v>
      </c>
      <c r="AA296" s="28" t="str">
        <f t="shared" si="45"/>
        <v>ISNULL(nhep.f_nuts3, 'Unknown')</v>
      </c>
      <c r="AB296" s="28" t="str">
        <f t="shared" si="46"/>
        <v>ISNULL(nhep.f_nuts3, 'Unknown')</v>
      </c>
      <c r="AC296" s="28" t="str">
        <f t="shared" si="47"/>
        <v xml:space="preserve"> </v>
      </c>
      <c r="AD296" s="28" t="str">
        <f t="shared" si="48"/>
        <v/>
      </c>
      <c r="AE296" t="str">
        <f t="shared" si="40"/>
        <v>[HE provider]</v>
      </c>
    </row>
    <row r="297" spans="1:31" ht="16" x14ac:dyDescent="0.2">
      <c r="A297">
        <v>100854</v>
      </c>
      <c r="B297" s="11" t="str">
        <f>DataItems3[[#This Row],[Field]]&amp;IF(DataItems3[[#This Row],[Options for supplying the Field]]="",""," "&amp;DataItems3[[#This Row],[Options for supplying the Field]])</f>
        <v xml:space="preserve">HE provider⁽¹⁾ (Local authority district) </v>
      </c>
      <c r="C297">
        <v>100854</v>
      </c>
      <c r="D297" s="3" t="s">
        <v>86</v>
      </c>
      <c r="F297" s="3" t="str">
        <f t="shared" si="49"/>
        <v>HE provider⁽¹⁾</v>
      </c>
      <c r="G297" s="13" t="s">
        <v>1167</v>
      </c>
      <c r="H297" s="14" t="s">
        <v>1168</v>
      </c>
      <c r="J297" s="3">
        <v>6</v>
      </c>
      <c r="K297" s="3">
        <v>3</v>
      </c>
      <c r="L297" s="3">
        <v>0</v>
      </c>
      <c r="M297" s="3">
        <v>0</v>
      </c>
      <c r="Q297" s="16" t="s">
        <v>1169</v>
      </c>
      <c r="S297" s="16" t="s">
        <v>1169</v>
      </c>
      <c r="U297" s="3" t="s">
        <v>1159</v>
      </c>
      <c r="W297" s="57" t="s">
        <v>798</v>
      </c>
      <c r="X297" t="str">
        <f>DataItems3[[#This Row],[Collection]]&amp;DataItems3[[#This Row],[Field]]&amp;DataItems3[[#This Row],[Options for supplying the Field]]&amp;DataItems3[[#This Row],[Fieldname]]&amp;DataItems3[[#This Row],[Parent]]</f>
        <v>StudentHE provider⁽¹⁾(Local authority district) HEP_LAUA</v>
      </c>
      <c r="Y297" s="4">
        <v>44638</v>
      </c>
      <c r="Z297" t="s">
        <v>135</v>
      </c>
      <c r="AA297" s="28" t="str">
        <f t="shared" si="45"/>
        <v>ISNULL(zz.F_FULL_LAUA, 'Unknown')</v>
      </c>
      <c r="AB297" s="28" t="str">
        <f t="shared" si="46"/>
        <v>ISNULL(zz.F_FULL_LAUA, 'Unknown')</v>
      </c>
      <c r="AC297" s="28" t="str">
        <f t="shared" si="47"/>
        <v/>
      </c>
      <c r="AD297" s="28" t="str">
        <f t="shared" si="48"/>
        <v/>
      </c>
      <c r="AE297" t="str">
        <f t="shared" si="40"/>
        <v>[HE provider]</v>
      </c>
    </row>
    <row r="298" spans="1:31" ht="32" x14ac:dyDescent="0.2">
      <c r="A298">
        <v>100855</v>
      </c>
      <c r="B298" s="11" t="str">
        <f>DataItems3[[#This Row],[Field]]&amp;IF(DataItems3[[#This Row],[Options for supplying the Field]]="",""," "&amp;DataItems3[[#This Row],[Options for supplying the Field]])</f>
        <v>HE provider⁽¹⁾ (County/ unitary authority)</v>
      </c>
      <c r="C298">
        <v>100855</v>
      </c>
      <c r="D298" s="3" t="s">
        <v>86</v>
      </c>
      <c r="F298" s="3" t="str">
        <f t="shared" si="49"/>
        <v>HE provider⁽¹⁾</v>
      </c>
      <c r="G298" s="13" t="s">
        <v>1170</v>
      </c>
      <c r="H298" s="14" t="s">
        <v>1171</v>
      </c>
      <c r="J298" s="3">
        <v>7</v>
      </c>
      <c r="K298" s="3">
        <v>2</v>
      </c>
      <c r="L298" s="3">
        <v>0</v>
      </c>
      <c r="M298" s="3">
        <v>0</v>
      </c>
      <c r="Q298" s="16" t="s">
        <v>1172</v>
      </c>
      <c r="S298" s="16" t="s">
        <v>1173</v>
      </c>
      <c r="U298" s="3" t="s">
        <v>1174</v>
      </c>
      <c r="W298" s="57" t="s">
        <v>3064</v>
      </c>
      <c r="X298" t="str">
        <f>DataItems3[[#This Row],[Collection]]&amp;DataItems3[[#This Row],[Field]]&amp;DataItems3[[#This Row],[Options for supplying the Field]]&amp;DataItems3[[#This Row],[Fieldname]]&amp;DataItems3[[#This Row],[Parent]]</f>
        <v>StudentHE provider⁽¹⁾(County/ unitary authority)HEP_XDOMUC</v>
      </c>
      <c r="Y298" s="4">
        <v>44638</v>
      </c>
      <c r="Z298" t="s">
        <v>135</v>
      </c>
      <c r="AA298" s="28" t="str">
        <f t="shared" si="45"/>
        <v xml:space="preserve">CASE WHEN zz.f_xdomuc01='XF' THEN 'England (county/unitary authority unknown)' WHEN zz.f_xdomuc01='XI' THEN 'Wales (unitary authority unknown)' WHEN zz.f_xdomuc01='XH' THEN 'Scotland (council area unknown)' WHEN zz.f_xdomuc01='XL' THEN 'Channel islands' WHEN zz.f_XDOMUC01='XG' THEN 'Northern Ireland (district council area unknown)' WHEN zz.f_XDOMUC01='IM' THEN 'Isle of Man' WHEN zz.f_xdomuc01 IS NULL THEN 'Unknown' ELSE zz.f_xdomuc01 END </v>
      </c>
      <c r="AB298" s="28" t="str">
        <f t="shared" si="46"/>
        <v xml:space="preserve">CASE WHEN zz.f_xdomuc01='XF' THEN 'England (county/unitary authority unknown)' WHEN zz.f_xdomuc01='XI' THEN 'Wales (unitary authority unknown)' WHEN zz.f_xdomuc01='XH' THEN 'Scotland (council area unknown)' WHEN zz.f_xdomuc01='XL' THEN 'Channel islands' WHEN zz.f_XDOMUC01='XG' THEN 'Northern Ireland (district council area unknown)' WHEN zz.f_XDOMUC01='IM' THEN 'Isle of Man' WHEN zz.f_xdomuc01 IS NULL THEN 'Unknown' ELSE xdomuc02.DW_CurrentLabel END </v>
      </c>
      <c r="AC298" s="28" t="str">
        <f t="shared" si="47"/>
        <v/>
      </c>
      <c r="AD298" s="28" t="str">
        <f t="shared" si="48"/>
        <v/>
      </c>
      <c r="AE298" t="str">
        <f t="shared" si="40"/>
        <v>[HE provider]</v>
      </c>
    </row>
    <row r="299" spans="1:31" ht="16" x14ac:dyDescent="0.2">
      <c r="A299">
        <v>100745</v>
      </c>
      <c r="B299" s="11" t="str">
        <f>DataItems3[[#This Row],[Field]]&amp;IF(DataItems3[[#This Row],[Options for supplying the Field]]="",""," "&amp;DataItems3[[#This Row],[Options for supplying the Field]])</f>
        <v>Healthcare speciality 1</v>
      </c>
      <c r="C299">
        <v>100745</v>
      </c>
      <c r="D299" s="3" t="s">
        <v>100</v>
      </c>
      <c r="F299" s="3" t="s">
        <v>1175</v>
      </c>
      <c r="G299" s="13"/>
      <c r="H299" s="14" t="s">
        <v>1176</v>
      </c>
      <c r="J299" s="3">
        <v>1</v>
      </c>
      <c r="K299" s="3">
        <v>2</v>
      </c>
      <c r="L299" s="3">
        <v>0</v>
      </c>
      <c r="M299" s="3">
        <v>0</v>
      </c>
      <c r="Q299" s="16" t="s">
        <v>1177</v>
      </c>
      <c r="S299" s="16" t="s">
        <v>1178</v>
      </c>
      <c r="T299" s="16"/>
      <c r="U299" s="3" t="s">
        <v>93</v>
      </c>
      <c r="W299" s="57" t="s">
        <v>150</v>
      </c>
      <c r="X299" t="str">
        <f>DataItems3[[#This Row],[Collection]]&amp;DataItems3[[#This Row],[Field]]&amp;DataItems3[[#This Row],[Options for supplying the Field]]&amp;DataItems3[[#This Row],[Fieldname]]&amp;DataItems3[[#This Row],[Parent]]</f>
        <v>StaffHealthcare speciality 1F_HSPEC1</v>
      </c>
      <c r="Y299" s="4">
        <v>44168</v>
      </c>
      <c r="Z299" t="s">
        <v>135</v>
      </c>
      <c r="AA299" s="28" t="str">
        <f t="shared" si="45"/>
        <v>C.F_HSPEC1</v>
      </c>
      <c r="AB299" s="28" t="str">
        <f t="shared" si="46"/>
        <v xml:space="preserve"> c.F_HSPEC1</v>
      </c>
      <c r="AC299" s="28" t="str">
        <f t="shared" si="47"/>
        <v/>
      </c>
      <c r="AD299" s="28" t="str">
        <f t="shared" si="48"/>
        <v/>
      </c>
      <c r="AE299" t="str">
        <f t="shared" si="40"/>
        <v>[Healthcare speciality 1]</v>
      </c>
    </row>
    <row r="300" spans="1:31" ht="16" x14ac:dyDescent="0.2">
      <c r="A300">
        <v>100746</v>
      </c>
      <c r="B300" s="11" t="str">
        <f>DataItems3[[#This Row],[Field]]&amp;IF(DataItems3[[#This Row],[Options for supplying the Field]]="",""," "&amp;DataItems3[[#This Row],[Options for supplying the Field]])</f>
        <v>Healthcare speciality 2</v>
      </c>
      <c r="C300">
        <v>100746</v>
      </c>
      <c r="D300" s="3" t="s">
        <v>100</v>
      </c>
      <c r="F300" s="3" t="s">
        <v>1179</v>
      </c>
      <c r="G300" s="13"/>
      <c r="H300" s="14" t="s">
        <v>1180</v>
      </c>
      <c r="J300" s="3">
        <v>0</v>
      </c>
      <c r="K300" s="3">
        <v>0</v>
      </c>
      <c r="L300" s="3">
        <v>0</v>
      </c>
      <c r="M300" s="3">
        <v>0</v>
      </c>
      <c r="Q300" s="16" t="s">
        <v>1181</v>
      </c>
      <c r="S300" s="16" t="s">
        <v>1182</v>
      </c>
      <c r="T300" s="16"/>
      <c r="U300" s="3" t="s">
        <v>93</v>
      </c>
      <c r="W300" s="57" t="s">
        <v>150</v>
      </c>
      <c r="X300" t="str">
        <f>DataItems3[[#This Row],[Collection]]&amp;DataItems3[[#This Row],[Field]]&amp;DataItems3[[#This Row],[Options for supplying the Field]]&amp;DataItems3[[#This Row],[Fieldname]]&amp;DataItems3[[#This Row],[Parent]]</f>
        <v>StaffHealthcare speciality 2F_HSPEC2</v>
      </c>
      <c r="Y300" s="4">
        <v>44168</v>
      </c>
      <c r="Z300" t="s">
        <v>135</v>
      </c>
      <c r="AA300" s="28" t="str">
        <f t="shared" si="45"/>
        <v>C.F_HSPEC2</v>
      </c>
      <c r="AB300" s="28" t="str">
        <f t="shared" si="46"/>
        <v xml:space="preserve"> c.F_HSPEC2</v>
      </c>
      <c r="AC300" s="28" t="str">
        <f t="shared" si="47"/>
        <v/>
      </c>
      <c r="AD300" s="28" t="str">
        <f t="shared" si="48"/>
        <v/>
      </c>
      <c r="AE300" t="str">
        <f t="shared" si="40"/>
        <v>[Healthcare speciality 2]</v>
      </c>
    </row>
    <row r="301" spans="1:31" ht="16" x14ac:dyDescent="0.2">
      <c r="A301">
        <v>100245</v>
      </c>
      <c r="B301" s="11" t="str">
        <f>DataItems3[[#This Row],[Field]]&amp;IF(DataItems3[[#This Row],[Options for supplying the Field]]="",""," "&amp;DataItems3[[#This Row],[Options for supplying the Field]])</f>
        <v>Healthcare speciality 3</v>
      </c>
      <c r="C301">
        <v>100245</v>
      </c>
      <c r="D301" s="3" t="s">
        <v>100</v>
      </c>
      <c r="F301" s="3" t="s">
        <v>1183</v>
      </c>
      <c r="G301" s="13"/>
      <c r="H301" s="14" t="s">
        <v>1184</v>
      </c>
      <c r="J301" s="3">
        <v>2</v>
      </c>
      <c r="K301" s="3">
        <v>2</v>
      </c>
      <c r="L301" s="3">
        <v>0</v>
      </c>
      <c r="M301" s="3">
        <v>0</v>
      </c>
      <c r="Q301" s="16" t="s">
        <v>1185</v>
      </c>
      <c r="S301" s="16" t="s">
        <v>1186</v>
      </c>
      <c r="T301" s="16"/>
      <c r="U301" s="3" t="s">
        <v>93</v>
      </c>
      <c r="V301" s="3" t="s">
        <v>93</v>
      </c>
      <c r="W301" s="57" t="s">
        <v>150</v>
      </c>
      <c r="X301" t="str">
        <f>DataItems3[[#This Row],[Collection]]&amp;DataItems3[[#This Row],[Field]]&amp;DataItems3[[#This Row],[Options for supplying the Field]]&amp;DataItems3[[#This Row],[Fieldname]]&amp;DataItems3[[#This Row],[Parent]]</f>
        <v>StaffHealthcare speciality 3F_HSPEC3</v>
      </c>
      <c r="Y301" s="15">
        <v>43684</v>
      </c>
      <c r="Z301" t="s">
        <v>95</v>
      </c>
      <c r="AA301" s="28" t="str">
        <f t="shared" si="45"/>
        <v>C.F_HSPEC3</v>
      </c>
      <c r="AB301" s="28" t="str">
        <f t="shared" si="46"/>
        <v xml:space="preserve"> c.F_HSPEC3</v>
      </c>
      <c r="AC301" s="28" t="str">
        <f t="shared" si="47"/>
        <v/>
      </c>
      <c r="AD301" s="28" t="str">
        <f t="shared" si="48"/>
        <v/>
      </c>
      <c r="AE301" t="str">
        <f t="shared" si="40"/>
        <v>[Healthcare speciality 3]</v>
      </c>
    </row>
    <row r="302" spans="1:31" ht="16" x14ac:dyDescent="0.2">
      <c r="A302">
        <v>100246</v>
      </c>
      <c r="B302" s="11" t="str">
        <f>DataItems3[[#This Row],[Field]]&amp;IF(DataItems3[[#This Row],[Options for supplying the Field]]="",""," "&amp;DataItems3[[#This Row],[Options for supplying the Field]])</f>
        <v>HESA unique student identifier [HUSID]</v>
      </c>
      <c r="C302">
        <v>100246</v>
      </c>
      <c r="D302" s="3" t="s">
        <v>151</v>
      </c>
      <c r="F302" s="3" t="s">
        <v>1187</v>
      </c>
      <c r="G302" s="13" t="s">
        <v>1188</v>
      </c>
      <c r="H302" s="3" t="s">
        <v>1189</v>
      </c>
      <c r="J302" s="3">
        <v>1</v>
      </c>
      <c r="K302" s="3">
        <v>1</v>
      </c>
      <c r="L302" s="3">
        <v>8</v>
      </c>
      <c r="M302" s="3">
        <v>0</v>
      </c>
      <c r="P302" s="3" t="s">
        <v>155</v>
      </c>
      <c r="Q302" s="16" t="s">
        <v>1190</v>
      </c>
      <c r="R302" s="3" t="s">
        <v>93</v>
      </c>
      <c r="S302" s="16" t="s">
        <v>1190</v>
      </c>
      <c r="U302" s="3" t="s">
        <v>93</v>
      </c>
      <c r="V302" s="3" t="s">
        <v>93</v>
      </c>
      <c r="W302" s="57" t="s">
        <v>2909</v>
      </c>
      <c r="X302" t="str">
        <f>DataItems3[[#This Row],[Collection]]&amp;DataItems3[[#This Row],[Field]]&amp;DataItems3[[#This Row],[Options for supplying the Field]]&amp;DataItems3[[#This Row],[Fieldname]]&amp;DataItems3[[#This Row],[Parent]]</f>
        <v>Graduate OutcomesHESA unique student identifier[HUSID]HUSIDProvider &gt; Graduate:</v>
      </c>
      <c r="Y302" s="15">
        <v>43550</v>
      </c>
      <c r="Z302" t="s">
        <v>159</v>
      </c>
      <c r="AA302" s="28" t="str">
        <f t="shared" si="45"/>
        <v>CASE WHEN ISNULL(g.ZRESPSTATUS, '02')='02' OR ISNULL(g.XACTIVITY, '99')='99' THEN 'Not in GO publication population' else g.HUSID end</v>
      </c>
      <c r="AB302" s="28" t="str">
        <f t="shared" si="46"/>
        <v>CASE WHEN ISNULL(g.ZRESPSTATUS, '02')='02' OR ISNULL(g.XACTIVITY, '99')='99' THEN 'Not in GO publication population' else g.HUSID end</v>
      </c>
      <c r="AC302" s="28" t="str">
        <f t="shared" si="47"/>
        <v/>
      </c>
      <c r="AD302" s="28" t="str">
        <f t="shared" si="48"/>
        <v/>
      </c>
      <c r="AE302" t="str">
        <f t="shared" si="40"/>
        <v>[HESA unique student identifier]</v>
      </c>
    </row>
    <row r="303" spans="1:31" ht="16" x14ac:dyDescent="0.2">
      <c r="A303">
        <v>100247</v>
      </c>
      <c r="B303" s="11" t="str">
        <f>DataItems3[[#This Row],[Field]]&amp;IF(DataItems3[[#This Row],[Options for supplying the Field]]="",""," "&amp;DataItems3[[#This Row],[Options for supplying the Field]])</f>
        <v>Higher education experience for business</v>
      </c>
      <c r="C303">
        <v>100247</v>
      </c>
      <c r="D303" s="3" t="s">
        <v>146</v>
      </c>
      <c r="F303" s="3" t="s">
        <v>1191</v>
      </c>
      <c r="G303" s="13"/>
      <c r="H303" s="14" t="s">
        <v>93</v>
      </c>
      <c r="J303" s="3">
        <v>1</v>
      </c>
      <c r="K303" s="3">
        <v>2</v>
      </c>
      <c r="L303" s="3">
        <v>0</v>
      </c>
      <c r="M303" s="3">
        <v>0</v>
      </c>
      <c r="N303" s="3" t="s">
        <v>89</v>
      </c>
      <c r="Q303" s="16" t="s">
        <v>93</v>
      </c>
      <c r="R303" s="3" t="s">
        <v>93</v>
      </c>
      <c r="S303" s="16" t="s">
        <v>93</v>
      </c>
      <c r="U303" s="3" t="s">
        <v>93</v>
      </c>
      <c r="V303" s="3" t="s">
        <v>93</v>
      </c>
      <c r="W303" s="57" t="s">
        <v>2926</v>
      </c>
      <c r="X303" t="str">
        <f>DataItems3[[#This Row],[Collection]]&amp;DataItems3[[#This Row],[Field]]&amp;DataItems3[[#This Row],[Options for supplying the Field]]&amp;DataItems3[[#This Row],[Fieldname]]&amp;DataItems3[[#This Row],[Parent]]</f>
        <v>DLHEHigher education experience for business</v>
      </c>
      <c r="Y303" s="15">
        <v>43416</v>
      </c>
      <c r="Z303" t="s">
        <v>95</v>
      </c>
      <c r="AA303" s="28" t="str">
        <f t="shared" si="45"/>
        <v/>
      </c>
      <c r="AB303" s="28" t="str">
        <f t="shared" si="46"/>
        <v/>
      </c>
      <c r="AC303" s="28" t="str">
        <f t="shared" si="47"/>
        <v/>
      </c>
      <c r="AD303" s="28" t="str">
        <f t="shared" si="48"/>
        <v/>
      </c>
      <c r="AE303" t="str">
        <f t="shared" si="40"/>
        <v>[Higher education experience for business]</v>
      </c>
    </row>
    <row r="304" spans="1:31" ht="16" x14ac:dyDescent="0.2">
      <c r="A304">
        <v>100248</v>
      </c>
      <c r="B304" s="11" t="str">
        <f>DataItems3[[#This Row],[Field]]&amp;IF(DataItems3[[#This Row],[Options for supplying the Field]]="",""," "&amp;DataItems3[[#This Row],[Options for supplying the Field]])</f>
        <v>Higher education experience for study</v>
      </c>
      <c r="C304">
        <v>100248</v>
      </c>
      <c r="D304" s="3" t="s">
        <v>146</v>
      </c>
      <c r="F304" s="3" t="s">
        <v>1192</v>
      </c>
      <c r="G304" s="13"/>
      <c r="H304" s="14" t="s">
        <v>93</v>
      </c>
      <c r="J304" s="3">
        <v>1</v>
      </c>
      <c r="K304" s="3">
        <v>2</v>
      </c>
      <c r="L304" s="3">
        <v>0</v>
      </c>
      <c r="M304" s="3">
        <v>0</v>
      </c>
      <c r="N304" s="3" t="s">
        <v>89</v>
      </c>
      <c r="Q304" s="16" t="s">
        <v>93</v>
      </c>
      <c r="R304" s="3" t="s">
        <v>93</v>
      </c>
      <c r="S304" s="16" t="s">
        <v>93</v>
      </c>
      <c r="U304" s="3" t="s">
        <v>93</v>
      </c>
      <c r="V304" s="3" t="s">
        <v>93</v>
      </c>
      <c r="W304" s="57" t="s">
        <v>2926</v>
      </c>
      <c r="X304" t="str">
        <f>DataItems3[[#This Row],[Collection]]&amp;DataItems3[[#This Row],[Field]]&amp;DataItems3[[#This Row],[Options for supplying the Field]]&amp;DataItems3[[#This Row],[Fieldname]]&amp;DataItems3[[#This Row],[Parent]]</f>
        <v>DLHEHigher education experience for study</v>
      </c>
      <c r="Y304" s="15">
        <v>43416</v>
      </c>
      <c r="Z304" t="s">
        <v>95</v>
      </c>
      <c r="AA304" s="28" t="str">
        <f t="shared" si="45"/>
        <v/>
      </c>
      <c r="AB304" s="28" t="str">
        <f t="shared" si="46"/>
        <v/>
      </c>
      <c r="AC304" s="28" t="str">
        <f t="shared" si="47"/>
        <v/>
      </c>
      <c r="AD304" s="28" t="str">
        <f t="shared" si="48"/>
        <v/>
      </c>
      <c r="AE304" t="str">
        <f t="shared" si="40"/>
        <v>[Higher education experience for study]</v>
      </c>
    </row>
    <row r="305" spans="1:31" ht="16" x14ac:dyDescent="0.2">
      <c r="A305">
        <v>100249</v>
      </c>
      <c r="B305" s="11" t="str">
        <f>DataItems3[[#This Row],[Field]]&amp;IF(DataItems3[[#This Row],[Options for supplying the Field]]="",""," "&amp;DataItems3[[#This Row],[Options for supplying the Field]])</f>
        <v>Higher education experience for work</v>
      </c>
      <c r="C305">
        <v>100249</v>
      </c>
      <c r="D305" s="3" t="s">
        <v>146</v>
      </c>
      <c r="F305" s="3" t="s">
        <v>1193</v>
      </c>
      <c r="G305" s="13"/>
      <c r="H305" s="14" t="s">
        <v>93</v>
      </c>
      <c r="J305" s="3">
        <v>1</v>
      </c>
      <c r="K305" s="3">
        <v>2</v>
      </c>
      <c r="L305" s="3">
        <v>0</v>
      </c>
      <c r="M305" s="3">
        <v>0</v>
      </c>
      <c r="N305" s="3" t="s">
        <v>89</v>
      </c>
      <c r="Q305" s="16" t="s">
        <v>93</v>
      </c>
      <c r="R305" s="3" t="s">
        <v>93</v>
      </c>
      <c r="S305" s="16" t="s">
        <v>93</v>
      </c>
      <c r="U305" s="3" t="s">
        <v>93</v>
      </c>
      <c r="V305" s="3" t="s">
        <v>93</v>
      </c>
      <c r="W305" s="57" t="s">
        <v>2926</v>
      </c>
      <c r="X305" t="str">
        <f>DataItems3[[#This Row],[Collection]]&amp;DataItems3[[#This Row],[Field]]&amp;DataItems3[[#This Row],[Options for supplying the Field]]&amp;DataItems3[[#This Row],[Fieldname]]&amp;DataItems3[[#This Row],[Parent]]</f>
        <v>DLHEHigher education experience for work</v>
      </c>
      <c r="Y305" s="15">
        <v>43416</v>
      </c>
      <c r="Z305" t="s">
        <v>95</v>
      </c>
      <c r="AA305" s="28" t="str">
        <f t="shared" si="45"/>
        <v/>
      </c>
      <c r="AB305" s="28" t="str">
        <f t="shared" si="46"/>
        <v/>
      </c>
      <c r="AC305" s="28" t="str">
        <f t="shared" si="47"/>
        <v/>
      </c>
      <c r="AD305" s="28" t="str">
        <f t="shared" si="48"/>
        <v/>
      </c>
      <c r="AE305" t="str">
        <f t="shared" si="40"/>
        <v>[Higher education experience for work]</v>
      </c>
    </row>
    <row r="306" spans="1:31" ht="16" x14ac:dyDescent="0.2">
      <c r="A306">
        <v>100657</v>
      </c>
      <c r="B306" s="19" t="str">
        <f>DataItems3[[#This Row],[Field]]&amp;IF(DataItems3[[#This Row],[Options for supplying the Field]]="",""," "&amp;DataItems3[[#This Row],[Options for supplying the Field]])</f>
        <v>Highest previous type of qualification since graduation [YPREVTYPEQUALHIGH]</v>
      </c>
      <c r="C306">
        <v>100657</v>
      </c>
      <c r="D306" s="3" t="s">
        <v>151</v>
      </c>
      <c r="F306" s="3" t="s">
        <v>1194</v>
      </c>
      <c r="G306" s="3" t="s">
        <v>1195</v>
      </c>
      <c r="H306" s="3" t="s">
        <v>1196</v>
      </c>
      <c r="J306" s="3">
        <v>8</v>
      </c>
      <c r="K306" s="3">
        <v>2</v>
      </c>
      <c r="L306" s="3">
        <v>0</v>
      </c>
      <c r="M306" s="3">
        <v>0</v>
      </c>
      <c r="P306" s="3" t="s">
        <v>1197</v>
      </c>
      <c r="Q306" s="16" t="s">
        <v>1198</v>
      </c>
      <c r="R306" s="3" t="s">
        <v>93</v>
      </c>
      <c r="S306" s="16" t="s">
        <v>1198</v>
      </c>
      <c r="U306" s="3" t="s">
        <v>1199</v>
      </c>
      <c r="W306" s="57" t="s">
        <v>2909</v>
      </c>
      <c r="X306" t="str">
        <f>DataItems3[[#This Row],[Collection]]&amp;DataItems3[[#This Row],[Field]]&amp;DataItems3[[#This Row],[Options for supplying the Field]]&amp;DataItems3[[#This Row],[Fieldname]]&amp;DataItems3[[#This Row],[Parent]]</f>
        <v>Graduate OutcomesHighest previous type of qualification since graduation[YPREVTYPEQUALHIGH]YPREVTYPEQUALHIGHProvider &gt; Graduate &gt; Previous Study:</v>
      </c>
      <c r="Y306" s="4">
        <v>44020</v>
      </c>
      <c r="Z306" t="s">
        <v>1200</v>
      </c>
      <c r="AA306" s="28" t="str">
        <f t="shared" si="45"/>
        <v>CASE WHEN ISNULL(g.ZRESPSTATUS, '02')='02' OR ISNULL(g.XACTIVITY, '99')='99' THEN 'Not in GO publication population' else ISNULL(CAST(k.YPREVTYPEQUALHIGH AS CHAR(7)),'UNKNOWN') end</v>
      </c>
      <c r="AB306" s="28" t="str">
        <f t="shared" si="46"/>
        <v>CASE WHEN ISNULL(g.ZRESPSTATUS, '02')='02' OR ISNULL(g.XACTIVITY, '99')='99' THEN 'Not in GO publication population' else ISNULL(CAST(k.YPREVTYPEQUALHIGH AS CHAR(7)),'UNKNOWN') end</v>
      </c>
      <c r="AC306" s="28" t="str">
        <f t="shared" si="47"/>
        <v/>
      </c>
      <c r="AD306" s="28" t="str">
        <f t="shared" si="48"/>
        <v/>
      </c>
      <c r="AE306" t="str">
        <f t="shared" si="40"/>
        <v>[Highest previous type of qualification since graduation]</v>
      </c>
    </row>
    <row r="307" spans="1:31" ht="16" x14ac:dyDescent="0.2">
      <c r="A307">
        <v>100251</v>
      </c>
      <c r="B307" s="11" t="str">
        <f>DataItems3[[#This Row],[Field]]&amp;IF(DataItems3[[#This Row],[Options for supplying the Field]]="",""," "&amp;DataItems3[[#This Row],[Options for supplying the Field]])</f>
        <v>Highest qualification held (Full)</v>
      </c>
      <c r="C307">
        <v>100251</v>
      </c>
      <c r="D307" s="3" t="s">
        <v>100</v>
      </c>
      <c r="F307" s="3" t="s">
        <v>1201</v>
      </c>
      <c r="G307" s="13" t="s">
        <v>277</v>
      </c>
      <c r="H307" s="14" t="s">
        <v>1202</v>
      </c>
      <c r="J307" s="3">
        <v>2</v>
      </c>
      <c r="K307" s="3">
        <v>2</v>
      </c>
      <c r="L307" s="3">
        <v>2</v>
      </c>
      <c r="M307" s="3">
        <v>0</v>
      </c>
      <c r="N307" s="3" t="s">
        <v>89</v>
      </c>
      <c r="Q307" s="16" t="s">
        <v>1203</v>
      </c>
      <c r="R307" s="3" t="s">
        <v>93</v>
      </c>
      <c r="S307" s="16" t="s">
        <v>1204</v>
      </c>
      <c r="U307" s="3" t="s">
        <v>93</v>
      </c>
      <c r="V307" s="3" t="s">
        <v>93</v>
      </c>
      <c r="W307" s="57" t="s">
        <v>150</v>
      </c>
      <c r="X307" t="str">
        <f>DataItems3[[#This Row],[Collection]]&amp;DataItems3[[#This Row],[Field]]&amp;DataItems3[[#This Row],[Options for supplying the Field]]&amp;DataItems3[[#This Row],[Fieldname]]&amp;DataItems3[[#This Row],[Parent]]</f>
        <v>StaffHighest qualification held(Full)F_HQHELD</v>
      </c>
      <c r="Y307" s="15">
        <v>43395</v>
      </c>
      <c r="Z307" t="s">
        <v>102</v>
      </c>
      <c r="AA307" s="28" t="str">
        <f t="shared" si="45"/>
        <v>p.F_HQHELD</v>
      </c>
      <c r="AB307" s="28" t="str">
        <f t="shared" si="46"/>
        <v xml:space="preserve"> p.F_HQHELD</v>
      </c>
      <c r="AC307" s="28" t="str">
        <f t="shared" si="47"/>
        <v/>
      </c>
      <c r="AD307" s="28" t="str">
        <f t="shared" si="48"/>
        <v/>
      </c>
      <c r="AE307" t="str">
        <f t="shared" si="40"/>
        <v>[Highest qualification held]</v>
      </c>
    </row>
    <row r="308" spans="1:31" ht="64" x14ac:dyDescent="0.2">
      <c r="A308">
        <v>100250</v>
      </c>
      <c r="B308" s="11" t="str">
        <f>DataItems3[[#This Row],[Field]]&amp;IF(DataItems3[[#This Row],[Options for supplying the Field]]="",""," "&amp;DataItems3[[#This Row],[Options for supplying the Field]])</f>
        <v>Highest qualification held (Doctorate/ Other qualification/ [Unknown/ Not applicable])</v>
      </c>
      <c r="C308">
        <v>100250</v>
      </c>
      <c r="D308" s="3" t="s">
        <v>100</v>
      </c>
      <c r="F308" s="3" t="s">
        <v>1201</v>
      </c>
      <c r="G308" s="13" t="s">
        <v>1205</v>
      </c>
      <c r="H308" s="14" t="s">
        <v>1206</v>
      </c>
      <c r="J308" s="3">
        <v>3</v>
      </c>
      <c r="K308" s="3">
        <v>1</v>
      </c>
      <c r="L308" s="3">
        <v>1</v>
      </c>
      <c r="M308" s="3">
        <v>0</v>
      </c>
      <c r="Q308" s="16" t="s">
        <v>1207</v>
      </c>
      <c r="R308" s="3" t="s">
        <v>93</v>
      </c>
      <c r="S308" s="16" t="s">
        <v>1207</v>
      </c>
      <c r="U308" s="3" t="s">
        <v>93</v>
      </c>
      <c r="V308" s="3" t="s">
        <v>93</v>
      </c>
      <c r="W308" s="57" t="s">
        <v>114</v>
      </c>
      <c r="X308" t="str">
        <f>DataItems3[[#This Row],[Collection]]&amp;DataItems3[[#This Row],[Field]]&amp;DataItems3[[#This Row],[Options for supplying the Field]]&amp;DataItems3[[#This Row],[Fieldname]]&amp;DataItems3[[#This Row],[Parent]]</f>
        <v>StaffHighest qualification held(Doctorate/ Other qualification/ [Unknown/ Not applicable])F_XHQHELD01</v>
      </c>
      <c r="Y308" s="15">
        <v>43860</v>
      </c>
      <c r="Z308" t="s">
        <v>159</v>
      </c>
      <c r="AA308" s="28" t="str">
        <f t="shared" si="45"/>
        <v>CASE WHEN cc.DW_FromDate &lt;= 20090801 AND ISNULL(p.F_HQHELD, 'XX') = '01' THEN 'Doctorate' WHEN cc.DW_FromDate &lt;= 20090801 AND ISNULL(p.F_HQHELD, 'XX') IN ('99', 'XX', '', ' ') THEN 'Unknown/ not applicable' WHEN cc.DW_FromDate &lt;= 20090801 AND ISNULL(p.F_HQHELD, 'XX') IN ('02','03','09','11','12','19','21','22','29','31','32','97','98') THEN 'Other qualification' WHEN cc.DW_FromDate &lt;= 20090801 THEN CAST(p.F_HQHELD AS VARCHAR) WHEN cc.DW_FromDate &gt;= 20100801 AND p.F_XHQHELD01 = '1' THEN 'Doctorate' WHEN cc.DW_FromDate &gt;= 20100801 AND p.F_XHQHELD01 = '9' THEN 'Unknown/ not applicable' WHEN cc.DW_FromDate &gt;= 20100801 AND p.F_XHQHELD01 IN ('2','3','4','5','6','7','8') THEN 'Other qualification' WHEN cc.DW_FromDate &gt;= 20100801 THEN CAST(p.F_XHQHELD01 AS VARCHAR) ELSE 'ERROR' END</v>
      </c>
      <c r="AB308" s="28" t="str">
        <f t="shared" si="46"/>
        <v>CASE WHEN cc.DW_FromDate &lt;= 20090801 AND ISNULL(p.F_HQHELD, 'XX') = '01' THEN 'Doctorate' WHEN cc.DW_FromDate &lt;= 20090801 AND ISNULL(p.F_HQHELD, 'XX') IN ('99', 'XX', '', ' ') THEN 'Unknown/ not applicable' WHEN cc.DW_FromDate &lt;= 20090801 AND ISNULL(p.F_HQHELD, 'XX') IN ('02','03','09','11','12','19','21','22','29','31','32','97','98') THEN 'Other qualification' WHEN cc.DW_FromDate &lt;= 20090801 THEN CAST(p.F_HQHELD AS VARCHAR) WHEN cc.DW_FromDate &gt;= 20100801 AND p.F_XHQHELD01 = '1' THEN 'Doctorate' WHEN cc.DW_FromDate &gt;= 20100801 AND p.F_XHQHELD01 = '9' THEN 'Unknown/ not applicable' WHEN cc.DW_FromDate &gt;= 20100801 AND p.F_XHQHELD01 IN ('2','3','4','5','6','7','8') THEN 'Other qualification' WHEN cc.DW_FromDate &gt;= 20100801 THEN CAST(p.F_XHQHELD01 AS VARCHAR) ELSE 'ERROR' END</v>
      </c>
      <c r="AC308" s="28" t="str">
        <f t="shared" si="47"/>
        <v/>
      </c>
      <c r="AD308" s="28" t="str">
        <f t="shared" si="48"/>
        <v/>
      </c>
      <c r="AE308" t="str">
        <f t="shared" si="40"/>
        <v>[Highest qualification held]</v>
      </c>
    </row>
    <row r="309" spans="1:31" ht="16" x14ac:dyDescent="0.2">
      <c r="A309">
        <v>100252</v>
      </c>
      <c r="B309" s="11" t="str">
        <f>DataItems3[[#This Row],[Field]]&amp;IF(DataItems3[[#This Row],[Options for supplying the Field]]="",""," "&amp;DataItems3[[#This Row],[Options for supplying the Field]])</f>
        <v>Highest qualification held (Grouped)</v>
      </c>
      <c r="C309">
        <v>100252</v>
      </c>
      <c r="D309" s="3" t="s">
        <v>100</v>
      </c>
      <c r="F309" s="3" t="s">
        <v>1201</v>
      </c>
      <c r="G309" s="13" t="s">
        <v>1208</v>
      </c>
      <c r="H309" s="14" t="s">
        <v>1206</v>
      </c>
      <c r="J309" s="3">
        <v>3</v>
      </c>
      <c r="K309" s="3">
        <v>2</v>
      </c>
      <c r="L309" s="3">
        <v>1</v>
      </c>
      <c r="M309" s="3">
        <v>0</v>
      </c>
      <c r="N309" s="3" t="s">
        <v>106</v>
      </c>
      <c r="Q309" s="16" t="s">
        <v>1209</v>
      </c>
      <c r="R309" s="3" t="s">
        <v>93</v>
      </c>
      <c r="S309" s="16" t="s">
        <v>1210</v>
      </c>
      <c r="U309" s="3" t="s">
        <v>93</v>
      </c>
      <c r="V309" s="3" t="s">
        <v>93</v>
      </c>
      <c r="W309" s="57" t="s">
        <v>114</v>
      </c>
      <c r="X309" t="str">
        <f>DataItems3[[#This Row],[Collection]]&amp;DataItems3[[#This Row],[Field]]&amp;DataItems3[[#This Row],[Options for supplying the Field]]&amp;DataItems3[[#This Row],[Fieldname]]&amp;DataItems3[[#This Row],[Parent]]</f>
        <v>StaffHighest qualification held(Grouped)F_XHQHELD01</v>
      </c>
      <c r="Y309" s="15">
        <v>43395</v>
      </c>
      <c r="Z309" t="s">
        <v>102</v>
      </c>
      <c r="AA309" s="28" t="str">
        <f t="shared" si="45"/>
        <v>CASE WHEN cc.DW_FromDate &gt;= 20100801 THEN CAST(P.F_XHQHELD01 AS VARCHAR)	 WHEN ISNULL(p.F_HQHELD, '99') IN ('99', '', ' ') THEN '9'  WHEN ISNULL(p.F_HQHELD, '99') = '01' THEN '1' WHEN ISNULL(p.F_HQHELD, '99') = '02' THEN '2' WHEN ISNULL(p.F_HQHELD, '99') IN ('03', '09') THEN '3' WHEN ISNULL(p.F_HQHELD, '99') IN ('11', '12') THEN '4' WHEN ISNULL(p.F_HQHELD, '99') IN ('19', '21', '22', '29') THEN '5' WHEN ISNULL(p.F_HQHELD, '99') IN ('31', '32', '97', '98') THEN '6' ELSE p.F_HQHELD END</v>
      </c>
      <c r="AB309" s="28" t="str">
        <f t="shared" si="46"/>
        <v>CASE WHEN ISNULL(p.F_HQHELD, '99') IN ('99', '', ' ') THEN 'Unknown'WHEN ISNULL(p.F_HQHELD, '99') = '01' THEN 'Doctorate' WHEN ISNULL(p.F_HQHELD, '99') = '02' THEN 'Other higher degree' WHEN ISNULL(p.F_HQHELD, '99') IN ('03', '09') THEN 'Other postgraduate qualification' WHEN ISNULL(p.F_HQHELD, '99') IN ('11', '12') THEN 'First degree' WHEN ISNULL(p.F_HQHELD, '99') IN ('19', '21', '22', '29') THEN 'Other undergraduate qualification' WHEN ISNULL(p.F_HQHELD, '99') IN ('31', '32', '97', '98') THEN 'Other' ELSE p.F_HQHELD END</v>
      </c>
      <c r="AC309" s="28" t="str">
        <f t="shared" si="47"/>
        <v/>
      </c>
      <c r="AD309" s="28" t="str">
        <f t="shared" si="48"/>
        <v/>
      </c>
      <c r="AE309" t="str">
        <f t="shared" si="40"/>
        <v>[Highest qualification held]</v>
      </c>
    </row>
    <row r="310" spans="1:31" ht="16" x14ac:dyDescent="0.2">
      <c r="A310">
        <v>100253</v>
      </c>
      <c r="B310" s="11" t="str">
        <f>DataItems3[[#This Row],[Field]]&amp;IF(DataItems3[[#This Row],[Options for supplying the Field]]="",""," "&amp;DataItems3[[#This Row],[Options for supplying the Field]])</f>
        <v>Highest qualification on entry - Qualent 2⁽¹⁾ (Full)</v>
      </c>
      <c r="C310">
        <v>100253</v>
      </c>
      <c r="D310" s="3" t="s">
        <v>86</v>
      </c>
      <c r="F310" s="3" t="str">
        <f>"Highest qualification on entry - Qualent 2"&amp;"⁽"&amp;CHAR(185)&amp;"⁾"</f>
        <v>Highest qualification on entry - Qualent 2⁽¹⁾</v>
      </c>
      <c r="G310" s="13" t="s">
        <v>277</v>
      </c>
      <c r="H310" s="14" t="s">
        <v>1211</v>
      </c>
      <c r="J310" s="3">
        <v>1</v>
      </c>
      <c r="K310" s="3">
        <v>3</v>
      </c>
      <c r="L310" s="3">
        <v>1</v>
      </c>
      <c r="M310" s="3">
        <v>0</v>
      </c>
      <c r="N310" s="3" t="s">
        <v>89</v>
      </c>
      <c r="Q310" s="16" t="s">
        <v>1212</v>
      </c>
      <c r="R310" s="3" t="s">
        <v>91</v>
      </c>
      <c r="S310" s="16" t="s">
        <v>1212</v>
      </c>
      <c r="U310" s="3" t="s">
        <v>93</v>
      </c>
      <c r="V310" s="3" t="s">
        <v>93</v>
      </c>
      <c r="W310" s="57" t="s">
        <v>150</v>
      </c>
      <c r="X310" t="str">
        <f>DataItems3[[#This Row],[Collection]]&amp;DataItems3[[#This Row],[Field]]&amp;DataItems3[[#This Row],[Options for supplying the Field]]&amp;DataItems3[[#This Row],[Fieldname]]&amp;DataItems3[[#This Row],[Parent]]</f>
        <v>StudentHighest qualification on entry - Qualent 2⁽¹⁾(Full)F_QUALENT2</v>
      </c>
      <c r="Y310" s="15">
        <v>42921</v>
      </c>
      <c r="Z310" t="s">
        <v>139</v>
      </c>
      <c r="AA310" s="28" t="str">
        <f t="shared" si="45"/>
        <v xml:space="preserve">CASE WHEN s.DW_FromDate &gt;= 20140801 THEN 'NA' ELSE CASE WHEN s.F_QUALENT2 IN ('',' ') THEN '99' ELSE ISNULL(s.F_QUALENT2, '99') END END </v>
      </c>
      <c r="AB310" s="28" t="str">
        <f t="shared" si="46"/>
        <v xml:space="preserve">CASE WHEN s.DW_FromDate &gt;= 20140801 THEN 'NA' ELSE CASE WHEN s.F_QUALENT2 IN ('',' ') THEN '99' ELSE ISNULL(s.F_QUALENT2, '99') END END </v>
      </c>
      <c r="AC310" s="28" t="str">
        <f t="shared" si="47"/>
        <v xml:space="preserve"> </v>
      </c>
      <c r="AD310" s="28" t="str">
        <f t="shared" si="48"/>
        <v/>
      </c>
      <c r="AE310" t="str">
        <f t="shared" si="40"/>
        <v>[Highest qualification on entry - Qualent 2]</v>
      </c>
    </row>
    <row r="311" spans="1:31" ht="16" x14ac:dyDescent="0.2">
      <c r="A311">
        <v>100254</v>
      </c>
      <c r="B311" s="11" t="str">
        <f>DataItems3[[#This Row],[Field]]&amp;IF(DataItems3[[#This Row],[Options for supplying the Field]]="",""," "&amp;DataItems3[[#This Row],[Options for supplying the Field]])</f>
        <v>Highest qualification on entry - Qualent 3⁽¹⁾ (Full)</v>
      </c>
      <c r="C311">
        <v>100254</v>
      </c>
      <c r="D311" s="3" t="s">
        <v>86</v>
      </c>
      <c r="E311" s="3" t="s">
        <v>106</v>
      </c>
      <c r="F311" s="3" t="str">
        <f>"Highest qualification on entry - Qualent 3"&amp;"⁽"&amp;CHAR(185)&amp;"⁾"</f>
        <v>Highest qualification on entry - Qualent 3⁽¹⁾</v>
      </c>
      <c r="G311" s="13" t="s">
        <v>277</v>
      </c>
      <c r="H311" s="14" t="s">
        <v>1213</v>
      </c>
      <c r="J311" s="3">
        <v>1</v>
      </c>
      <c r="K311" s="3">
        <v>3</v>
      </c>
      <c r="L311" s="3">
        <v>1</v>
      </c>
      <c r="M311" s="3">
        <v>0</v>
      </c>
      <c r="N311" s="3" t="s">
        <v>89</v>
      </c>
      <c r="Q311" s="16" t="s">
        <v>1214</v>
      </c>
      <c r="R311" s="16" t="s">
        <v>1214</v>
      </c>
      <c r="S311" s="16" t="s">
        <v>3065</v>
      </c>
      <c r="T311" s="16" t="s">
        <v>3065</v>
      </c>
      <c r="U311" s="3" t="s">
        <v>1215</v>
      </c>
      <c r="V311" s="3" t="s">
        <v>93</v>
      </c>
      <c r="W311" s="57" t="s">
        <v>145</v>
      </c>
      <c r="X311" t="str">
        <f>DataItems3[[#This Row],[Collection]]&amp;DataItems3[[#This Row],[Field]]&amp;DataItems3[[#This Row],[Options for supplying the Field]]&amp;DataItems3[[#This Row],[Fieldname]]&amp;DataItems3[[#This Row],[Parent]]</f>
        <v>StudentHighest qualification on entry - Qualent 3⁽¹⁾(Full)F_QUALENT3</v>
      </c>
      <c r="Y311" s="15">
        <v>42921</v>
      </c>
      <c r="Z311" t="s">
        <v>139</v>
      </c>
      <c r="AA311" s="28" t="str">
        <f t="shared" si="45"/>
        <v xml:space="preserve">IIF(ISNULL(s.F_QUALENT3,'') = '', 'X06', s.F_QUALENT3) </v>
      </c>
      <c r="AB311" s="28" t="str">
        <f t="shared" si="46"/>
        <v>isnull(QUALENT3.DW_currentlabel,'(X06) Not known')</v>
      </c>
      <c r="AC311" s="28" t="str">
        <f t="shared" si="47"/>
        <v xml:space="preserve">IIF(ISNULL(s.F_QUALENT3,'') = '', 'X06', s.F_QUALENT3) </v>
      </c>
      <c r="AD311" s="28" t="str">
        <f t="shared" si="48"/>
        <v>isnull(QUALENT3.DW_currentlabel,'(X06) Not known')</v>
      </c>
      <c r="AE311" t="str">
        <f t="shared" si="40"/>
        <v>[Highest qualification on entry - Qualent 3]</v>
      </c>
    </row>
    <row r="312" spans="1:31" ht="16" x14ac:dyDescent="0.2">
      <c r="A312">
        <v>100255</v>
      </c>
      <c r="B312" s="11" t="str">
        <f>DataItems3[[#This Row],[Field]]&amp;IF(DataItems3[[#This Row],[Options for supplying the Field]]="",""," "&amp;DataItems3[[#This Row],[Options for supplying the Field]])</f>
        <v>Highest qualification on entry - Qualent 3⁽¹⁾ (Grouped)</v>
      </c>
      <c r="C312">
        <v>100255</v>
      </c>
      <c r="D312" s="3" t="s">
        <v>86</v>
      </c>
      <c r="E312" s="3" t="s">
        <v>106</v>
      </c>
      <c r="F312" s="3" t="str">
        <f>"Highest qualification on entry - Qualent 3"&amp;"⁽"&amp;CHAR(185)&amp;"⁾"</f>
        <v>Highest qualification on entry - Qualent 3⁽¹⁾</v>
      </c>
      <c r="G312" s="13" t="s">
        <v>1208</v>
      </c>
      <c r="H312" s="14" t="s">
        <v>1216</v>
      </c>
      <c r="J312" s="3">
        <v>1</v>
      </c>
      <c r="K312" s="3">
        <v>2</v>
      </c>
      <c r="L312" s="3">
        <v>1</v>
      </c>
      <c r="M312" s="3">
        <v>0</v>
      </c>
      <c r="N312" s="3" t="s">
        <v>106</v>
      </c>
      <c r="Q312" s="16" t="s">
        <v>1217</v>
      </c>
      <c r="R312" s="3" t="s">
        <v>3066</v>
      </c>
      <c r="S312" s="16" t="s">
        <v>1218</v>
      </c>
      <c r="T312" s="16" t="s">
        <v>3067</v>
      </c>
      <c r="U312" s="3" t="s">
        <v>1219</v>
      </c>
      <c r="V312" s="3" t="s">
        <v>93</v>
      </c>
      <c r="W312" s="57" t="s">
        <v>109</v>
      </c>
      <c r="X312" t="str">
        <f>DataItems3[[#This Row],[Collection]]&amp;DataItems3[[#This Row],[Field]]&amp;DataItems3[[#This Row],[Options for supplying the Field]]&amp;DataItems3[[#This Row],[Fieldname]]&amp;DataItems3[[#This Row],[Parent]]</f>
        <v>StudentHighest qualification on entry - Qualent 3⁽¹⁾(Grouped)F_XQUALENT01</v>
      </c>
      <c r="Y312" s="15">
        <v>43234</v>
      </c>
      <c r="Z312" t="s">
        <v>102</v>
      </c>
      <c r="AA312" s="28" t="str">
        <f t="shared" si="45"/>
        <v>CASE WHEN s.DW_FromDate &lt;= 20090801 THEN CASE WHEN s.F_QUALENT3 IN ('DUK', 'DZZ', 'D80', 'MUK', 'M41','M44', 'M80', 'M90', 'MZZ') OR s.F_QUALENT2 IN ('01', '02', '05') THEN 'A' WHEN s.F_QUALENT3 IN ('H71', 'M71') OR s.F_QUALENT2 IN ('03', '04') THEN 'B' WHEN s.F_QUALENT3 IN ('M2X', 'HUK', 'HZZ', 'H11', 'JUK') OR s.F_QUALENT2 IN ('10','11') THEN 'C' WHEN s.F_QUALENT3 IN ('H80', 'J10', 'J20', 'J30', 'J48', 'J49','J80', 'C20', 'C30', 'C44', 'C80', 'C90') OR s.F_QUALENT2 IN ('12', '13', '14', '15', '16', '23', '24', '25','26', '27', '29', '30', '31') THEN 'D' WHEN s.F_QUALENT3 = 'X04' OR s.F_QUALENT2 IN ('21', '22', '28', '94', '97') THEN 'E' WHEN s.F_QUALENT3 IN ('P41', 'P42', 'P46', 'P47', 'P50', 'P51', 'P53', 'P62', 'P63', 'P64', 'P65', 'P68', 'P80', 'P91', 'P92', 'X00', 'X01') OR s.F_QUALENT2 IN ('37', '38', '39', '40', '41', '43', '44', '45', '47', '48', '72') THEN 'F' WHEN s.F_QUALENT3 IN ('Q51', 'Q52', 'Q80', 'R51', 'R52', 'R80') OR s.F_QUALENT2 IN ('55', '56', '57') THEN 'G' WHEN s.F_QUALENT3 IN ('X02', 'X05') OR s.F_QUALENT2 IN ('92', '93', '98') THEN 'H' WHEN s.F_QUALENT3 = 'X06' OR s.F_QUALENT2 = '99' THEN 'I' ELSE 'J' END else s.F_XQUALENT01 END</v>
      </c>
      <c r="AB312" s="28" t="str">
        <f t="shared" si="46"/>
        <v>XQUALENT01.DW_CURRENTLABEL</v>
      </c>
      <c r="AC312" s="28" t="str">
        <f t="shared" si="47"/>
        <v xml:space="preserve">  s.F_XQUALENT01 </v>
      </c>
      <c r="AD312" s="28" t="str">
        <f t="shared" si="48"/>
        <v>xqualent01.F_XQUALENT01</v>
      </c>
      <c r="AE312" t="str">
        <f t="shared" si="40"/>
        <v>[Highest qualification on entry - Qualent 3]</v>
      </c>
    </row>
    <row r="313" spans="1:31" ht="80" x14ac:dyDescent="0.2">
      <c r="A313">
        <v>100632</v>
      </c>
      <c r="B313" s="19" t="str">
        <f>DataItems3[[#This Row],[Field]]&amp;IF(DataItems3[[#This Row],[Options for supplying the Field]]="",""," "&amp;DataItems3[[#This Row],[Options for supplying the Field]])</f>
        <v>Highly skilled  (Highly skilled/ Non-highly skilled/ [Unknown/Not applicable]) [F_XWRKHSKILL]</v>
      </c>
      <c r="C313">
        <v>100632</v>
      </c>
      <c r="D313" s="3" t="s">
        <v>151</v>
      </c>
      <c r="F313" s="3" t="s">
        <v>1220</v>
      </c>
      <c r="G313" s="13" t="str">
        <f>" (Highly skilled/ Non-highly skilled/ [Unknown/Not applicable]) ["&amp;H313&amp;"]"</f>
        <v xml:space="preserve"> (Highly skilled/ Non-highly skilled/ [Unknown/Not applicable]) [F_XWRKHSKILL]</v>
      </c>
      <c r="H313" s="3" t="s">
        <v>1221</v>
      </c>
      <c r="J313" s="3">
        <v>1</v>
      </c>
      <c r="K313" s="3">
        <v>1</v>
      </c>
      <c r="L313" s="3">
        <v>0</v>
      </c>
      <c r="M313" s="3">
        <v>0</v>
      </c>
      <c r="P313" s="3" t="s">
        <v>952</v>
      </c>
      <c r="Q313" s="16" t="s">
        <v>1222</v>
      </c>
      <c r="R313" s="3" t="s">
        <v>93</v>
      </c>
      <c r="S313" s="16" t="s">
        <v>1223</v>
      </c>
      <c r="U313" s="3" t="s">
        <v>1224</v>
      </c>
      <c r="V313" s="3" t="s">
        <v>93</v>
      </c>
      <c r="W313" s="57" t="s">
        <v>2909</v>
      </c>
      <c r="X313" t="str">
        <f>DataItems3[[#This Row],[Collection]]&amp;DataItems3[[#This Row],[Field]]&amp;DataItems3[[#This Row],[Options for supplying the Field]]&amp;DataItems3[[#This Row],[Fieldname]]&amp;DataItems3[[#This Row],[Parent]]</f>
        <v>Graduate OutcomesHighly skilled (Highly skilled/ Non-highly skilled/ [Unknown/Not applicable]) [F_XWRKHSKILL]F_XWRKHSKILLProvider &gt; Official Stats Derived Field &gt; Work</v>
      </c>
      <c r="Y313" s="15">
        <v>44008</v>
      </c>
      <c r="Z313" t="s">
        <v>159</v>
      </c>
      <c r="AA313" s="28" t="str">
        <f t="shared" si="45"/>
        <v xml:space="preserve">CASE WHEN ISNULL(g.ZRESPSTATUS, '02')='02'       OR ISNULL(g.XACTIVITY, '99')='99' THEN 'Not in GO publication population' WHEN g.MIMPACT in ('01', '05') AND g.XEMP2020SOC1 in ('1','2','3') THEN '01' WHEN g.MIMPACT in ('01', '05') AND g.XEMP2020SOC1 in ('4','5','6') THEN '02' WHEN g.MIMPACT in ('01', '05') AND g.XEMP2020SOC1 in ('7','8','9') THEN '03' WHEN g.MIMPACT in ('01', '05') THEN '09' WHEN g.MIMPACT in ('02', '03', '04') AND g.XBUS2020SOC1 in ('1','2','3') THEN '01' WHEN g.MIMPACT in ('02', '03', '04') AND g.XBUS2020SOC1 in ('4','5','6') THEN '02' WHEN g.MIMPACT in ('02', '03', '04') AND g.XBUS2020SOC1 in ('7','8','9') THEN '03' WHEN g.MIMPACT in ('02', '03', '04') THEN '09' WHEN (g.ALLACT01 = '1') AND g.XEMP2020SOC1 in ('1','2','3') THEN '01' WHEN (g.ALLACT01 = '1') AND g.XEMP2020SOC1 in ('4','5','6') THEN '02' WHEN (g.ALLACT01 = '1') AND g.XEMP2020SOC1 in ('7','8','9') THEN '03' WHEN (g.ALLACT01 = '1') THEN '09' WHEN (g.ALLACT02 = '1') AND g.XBUS2020SOC1 in ('1','2','3') THEN '01' WHEN (g.ALLACT02 = '1') AND g.XBUS2020SOC1 in ('4','5','6') THEN '02' WHEN (g.ALLACT02 = '1') AND g.XBUS2020SOC1 in ('7','8','9') THEN '03' WHEN (g.ALLACT02 = '1') THEN '09' WHEN (g.ALLACT05 = '1') AND g.XEMP2020SOC1 in ('1','2','3') THEN '01' WHEN (g.ALLACT05 = '1') AND g.XEMP2020SOC1 in ('4','5','6') THEN '02' WHEN (g.ALLACT05 = '1') AND g.XEMP2020SOC1 in ('7','8','9') THEN '03' WHEN (g.ALLACT05 = '1') THEN '09' WHEN (g.ALLACT03 = '1' OR g.ALLACT04 = '1') AND g.XBUS2020SOC1 in ('1','2','3') THEN '01' WHEN (g.ALLACT03 = '1' OR g.ALLACT04 = '1') AND g.XBUS2020SOC1 in ('4','5','6') THEN '02' WHEN (g.ALLACT03 = '1' OR g.ALLACT04 = '1') AND g.XBUS2020SOC1 in ('7','8','9') THEN '03' WHEN (g.ALLACT03 = '1' OR g.ALLACT04 = '1') THEN '09' ELSE 'NA' END </v>
      </c>
      <c r="AB313" s="28" t="str">
        <f t="shared" si="46"/>
        <v>CASE WHEN ISNULL(g.ZRESPSTATUS, '02')='02' OR ISNULL(g.XACTIVITY, '99')='99' THEN 'Not in GO publication population' else ISNULL(XWRKHSKILL.label,'Not applicable') end</v>
      </c>
      <c r="AC313" s="28" t="str">
        <f t="shared" si="47"/>
        <v/>
      </c>
      <c r="AD313" s="28" t="str">
        <f t="shared" si="48"/>
        <v/>
      </c>
      <c r="AE313" t="str">
        <f t="shared" si="40"/>
        <v>[Highly skilled]</v>
      </c>
    </row>
    <row r="314" spans="1:31" ht="16" x14ac:dyDescent="0.2">
      <c r="A314">
        <v>100256</v>
      </c>
      <c r="B314" s="11" t="str">
        <f>DataItems3[[#This Row],[Field]]&amp;IF(DataItems3[[#This Row],[Options for supplying the Field]]="",""," "&amp;DataItems3[[#This Row],[Options for supplying the Field]])</f>
        <v>Home country [HOMECOUNTRY]</v>
      </c>
      <c r="C314">
        <v>100256</v>
      </c>
      <c r="D314" s="3" t="s">
        <v>151</v>
      </c>
      <c r="F314" s="3" t="s">
        <v>1225</v>
      </c>
      <c r="G314" s="13" t="s">
        <v>1226</v>
      </c>
      <c r="H314" s="3" t="s">
        <v>1227</v>
      </c>
      <c r="J314" s="3">
        <v>1</v>
      </c>
      <c r="K314" s="3">
        <v>5</v>
      </c>
      <c r="L314" s="3">
        <v>2</v>
      </c>
      <c r="M314" s="3">
        <v>0</v>
      </c>
      <c r="P314" s="3" t="s">
        <v>155</v>
      </c>
      <c r="Q314" s="16" t="s">
        <v>1228</v>
      </c>
      <c r="R314" s="3" t="s">
        <v>93</v>
      </c>
      <c r="S314" s="16" t="s">
        <v>1229</v>
      </c>
      <c r="U314" s="3" t="s">
        <v>1230</v>
      </c>
      <c r="V314" s="3" t="s">
        <v>93</v>
      </c>
      <c r="W314" s="57" t="s">
        <v>2909</v>
      </c>
      <c r="X314" t="str">
        <f>DataItems3[[#This Row],[Collection]]&amp;DataItems3[[#This Row],[Field]]&amp;DataItems3[[#This Row],[Options for supplying the Field]]&amp;DataItems3[[#This Row],[Fieldname]]&amp;DataItems3[[#This Row],[Parent]]</f>
        <v>Graduate OutcomesHome country[HOMECOUNTRY]HOMECOUNTRYProvider &gt; Graduate:</v>
      </c>
      <c r="Y314" s="15">
        <v>43550</v>
      </c>
      <c r="Z314" t="s">
        <v>159</v>
      </c>
      <c r="AA314" s="28" t="str">
        <f t="shared" si="45"/>
        <v>CASE WHEN ISNULL(g.ZRESPSTATUS, '02')='02' OR ISNULL(g.XACTIVITY, '99')='99' THEN 'Not in GO publication population' else iif(ISNULL(g.HOMECOUNTRY,'') in ('','OTHER','ZZ'),'Unknown',g.HOMECOUNTRY) end</v>
      </c>
      <c r="AB314" s="28" t="str">
        <f t="shared" si="46"/>
        <v>CASE WHEN ISNULL(g.ZRESPSTATUS, '02')='02' OR ISNULL(g.XACTIVITY, '99')='99' THEN 'Not in GO publication population' else iif(ISNULL(g.HOMECOUNTRY,'') in ('','ZZ','OTHER') , 'Unknown',HOMECOUNTRY.label) end</v>
      </c>
      <c r="AC314" s="28" t="str">
        <f t="shared" si="47"/>
        <v/>
      </c>
      <c r="AD314" s="28" t="str">
        <f t="shared" si="48"/>
        <v/>
      </c>
      <c r="AE314" t="str">
        <f t="shared" si="40"/>
        <v>[Home country]</v>
      </c>
    </row>
    <row r="315" spans="1:31" ht="16" x14ac:dyDescent="0.2">
      <c r="A315">
        <v>100258</v>
      </c>
      <c r="B315" s="11" t="str">
        <f>DataItems3[[#This Row],[Field]]&amp;IF(DataItems3[[#This Row],[Options for supplying the Field]]="",""," "&amp;DataItems3[[#This Row],[Options for supplying the Field]])</f>
        <v>Home country [ZHOMECOUNTRY]</v>
      </c>
      <c r="C315">
        <v>100258</v>
      </c>
      <c r="D315" s="3" t="s">
        <v>151</v>
      </c>
      <c r="F315" s="3" t="s">
        <v>1225</v>
      </c>
      <c r="G315" s="13" t="s">
        <v>1231</v>
      </c>
      <c r="H315" s="3" t="s">
        <v>1232</v>
      </c>
      <c r="J315" s="3">
        <v>1</v>
      </c>
      <c r="K315" s="3">
        <v>5</v>
      </c>
      <c r="L315" s="3">
        <v>2</v>
      </c>
      <c r="M315" s="3">
        <v>0</v>
      </c>
      <c r="P315" s="3" t="s">
        <v>502</v>
      </c>
      <c r="Q315" s="16" t="s">
        <v>3068</v>
      </c>
      <c r="R315" s="3" t="s">
        <v>93</v>
      </c>
      <c r="S315" s="16" t="s">
        <v>3069</v>
      </c>
      <c r="U315" s="3" t="s">
        <v>1233</v>
      </c>
      <c r="V315" s="3" t="s">
        <v>93</v>
      </c>
      <c r="W315" s="57" t="s">
        <v>2909</v>
      </c>
      <c r="X315" t="str">
        <f>DataItems3[[#This Row],[Collection]]&amp;DataItems3[[#This Row],[Field]]&amp;DataItems3[[#This Row],[Options for supplying the Field]]&amp;DataItems3[[#This Row],[Fieldname]]&amp;DataItems3[[#This Row],[Parent]]</f>
        <v>Graduate OutcomesHome country[ZHOMECOUNTRY]ZHOMECOUNTRYProvider &gt; Processing Field</v>
      </c>
      <c r="Y315" s="15">
        <v>43550</v>
      </c>
      <c r="Z315" t="s">
        <v>159</v>
      </c>
      <c r="AA315" s="28" t="str">
        <f t="shared" si="45"/>
        <v>CASE When g.dw_fromdate &gt;= 20200801 then 'N/A 2020/21 onwards' when ISNULL(g.ZRESPSTATUS, '02')='02' OR ISNULL(g.XACTIVITY, '99')='99' THEN 'Not in GO publication population' else isnull(g.ZHOMECOUNTRY,'NOTK') end</v>
      </c>
      <c r="AB315" s="28" t="str">
        <f t="shared" si="46"/>
        <v>CASE When g.dw_fromdate &gt;= 20200801 then 'N/A 2020/21 onwards' WHEN ISNULL(g.ZRESPSTATUS, '02')='02' OR ISNULL(g.XACTIVITY, '99')='99' THEN 'Not in GO publication population' else isnull(ZHOMECOUNTRY.label,'Not known') end</v>
      </c>
      <c r="AC315" s="28" t="str">
        <f t="shared" si="47"/>
        <v/>
      </c>
      <c r="AD315" s="28" t="str">
        <f t="shared" si="48"/>
        <v/>
      </c>
      <c r="AE315" t="str">
        <f t="shared" si="40"/>
        <v>[Home country]</v>
      </c>
    </row>
    <row r="316" spans="1:31" ht="16" x14ac:dyDescent="0.2">
      <c r="A316">
        <v>100259</v>
      </c>
      <c r="B316" s="11" t="str">
        <f>DataItems3[[#This Row],[Field]]&amp;IF(DataItems3[[#This Row],[Options for supplying the Field]]="",""," "&amp;DataItems3[[#This Row],[Options for supplying the Field]])</f>
        <v>Hourly paid marker</v>
      </c>
      <c r="C316">
        <v>100259</v>
      </c>
      <c r="D316" s="3" t="s">
        <v>100</v>
      </c>
      <c r="F316" s="3" t="s">
        <v>1234</v>
      </c>
      <c r="G316" s="13"/>
      <c r="H316" s="14" t="s">
        <v>1235</v>
      </c>
      <c r="J316" s="3">
        <v>1</v>
      </c>
      <c r="K316" s="3">
        <v>1</v>
      </c>
      <c r="L316" s="3">
        <v>0</v>
      </c>
      <c r="M316" s="3">
        <v>0</v>
      </c>
      <c r="N316" s="3" t="s">
        <v>89</v>
      </c>
      <c r="Q316" s="16" t="s">
        <v>1236</v>
      </c>
      <c r="R316" s="3" t="s">
        <v>93</v>
      </c>
      <c r="S316" s="16" t="s">
        <v>1237</v>
      </c>
      <c r="U316" s="3" t="s">
        <v>93</v>
      </c>
      <c r="V316" s="3" t="s">
        <v>93</v>
      </c>
      <c r="W316" s="57" t="s">
        <v>94</v>
      </c>
      <c r="X316" t="str">
        <f>DataItems3[[#This Row],[Collection]]&amp;DataItems3[[#This Row],[Field]]&amp;DataItems3[[#This Row],[Options for supplying the Field]]&amp;DataItems3[[#This Row],[Fieldname]]&amp;DataItems3[[#This Row],[Parent]]</f>
        <v>StaffHourly paid markerF_HOURLYPAID</v>
      </c>
      <c r="Y316" s="15">
        <v>43482</v>
      </c>
      <c r="Z316" t="s">
        <v>225</v>
      </c>
      <c r="AA316" s="28" t="str">
        <f t="shared" si="45"/>
        <v>CASE WHEN ISNULL(C.F_HOURLYPAID, 0) = 0 THEN 'Unknown' ELSE c.f_hourlypaid END</v>
      </c>
      <c r="AB316" s="28" t="str">
        <f t="shared" si="46"/>
        <v xml:space="preserve"> c.f_HOURLYPAID</v>
      </c>
      <c r="AC316" s="28" t="str">
        <f t="shared" si="47"/>
        <v/>
      </c>
      <c r="AD316" s="28" t="str">
        <f t="shared" si="48"/>
        <v/>
      </c>
      <c r="AE316" t="str">
        <f t="shared" si="40"/>
        <v>[Hourly paid marker]</v>
      </c>
    </row>
    <row r="317" spans="1:31" ht="16" x14ac:dyDescent="0.2">
      <c r="A317">
        <v>100260</v>
      </c>
      <c r="B317" s="11" t="str">
        <f>DataItems3[[#This Row],[Field]]&amp;IF(DataItems3[[#This Row],[Options for supplying the Field]]="",""," "&amp;DataItems3[[#This Row],[Options for supplying the Field]])</f>
        <v>How found job</v>
      </c>
      <c r="C317">
        <v>100260</v>
      </c>
      <c r="D317" s="3" t="s">
        <v>146</v>
      </c>
      <c r="F317" s="3" t="s">
        <v>1238</v>
      </c>
      <c r="G317" s="13"/>
      <c r="H317" s="14" t="s">
        <v>93</v>
      </c>
      <c r="J317" s="3">
        <v>1</v>
      </c>
      <c r="K317" s="3">
        <v>2</v>
      </c>
      <c r="L317" s="3">
        <v>0</v>
      </c>
      <c r="M317" s="3">
        <v>1</v>
      </c>
      <c r="N317" s="3" t="s">
        <v>89</v>
      </c>
      <c r="Q317" s="16" t="s">
        <v>93</v>
      </c>
      <c r="R317" s="3" t="s">
        <v>93</v>
      </c>
      <c r="S317" s="16" t="s">
        <v>93</v>
      </c>
      <c r="U317" s="3" t="s">
        <v>93</v>
      </c>
      <c r="V317" s="3" t="s">
        <v>93</v>
      </c>
      <c r="W317" s="57" t="s">
        <v>2926</v>
      </c>
      <c r="X317" t="str">
        <f>DataItems3[[#This Row],[Collection]]&amp;DataItems3[[#This Row],[Field]]&amp;DataItems3[[#This Row],[Options for supplying the Field]]&amp;DataItems3[[#This Row],[Fieldname]]&amp;DataItems3[[#This Row],[Parent]]</f>
        <v>DLHEHow found job</v>
      </c>
      <c r="Y317" s="15"/>
      <c r="AA317" s="28" t="str">
        <f t="shared" si="45"/>
        <v/>
      </c>
      <c r="AB317" s="28" t="str">
        <f t="shared" si="46"/>
        <v/>
      </c>
      <c r="AC317" s="28" t="str">
        <f t="shared" si="47"/>
        <v/>
      </c>
      <c r="AD317" s="28" t="str">
        <f t="shared" si="48"/>
        <v/>
      </c>
      <c r="AE317" t="str">
        <f t="shared" si="40"/>
        <v>[How found job]</v>
      </c>
    </row>
    <row r="318" spans="1:31" ht="16" x14ac:dyDescent="0.2">
      <c r="A318">
        <v>100261</v>
      </c>
      <c r="B318" s="11" t="str">
        <f>DataItems3[[#This Row],[Field]]&amp;IF(DataItems3[[#This Row],[Options for supplying the Field]]="",""," "&amp;DataItems3[[#This Row],[Options for supplying the Field]])</f>
        <v>How funding further study</v>
      </c>
      <c r="C318">
        <v>100261</v>
      </c>
      <c r="D318" s="3" t="s">
        <v>146</v>
      </c>
      <c r="F318" s="3" t="s">
        <v>1239</v>
      </c>
      <c r="G318" s="13"/>
      <c r="H318" s="14" t="s">
        <v>93</v>
      </c>
      <c r="J318" s="3">
        <v>1</v>
      </c>
      <c r="K318" s="3">
        <v>2</v>
      </c>
      <c r="L318" s="3">
        <v>0</v>
      </c>
      <c r="M318" s="3">
        <v>2</v>
      </c>
      <c r="N318" s="3" t="s">
        <v>89</v>
      </c>
      <c r="Q318" s="16" t="s">
        <v>93</v>
      </c>
      <c r="R318" s="3" t="s">
        <v>93</v>
      </c>
      <c r="S318" s="16" t="s">
        <v>93</v>
      </c>
      <c r="U318" s="3" t="s">
        <v>93</v>
      </c>
      <c r="V318" s="3" t="s">
        <v>93</v>
      </c>
      <c r="W318" s="57" t="s">
        <v>2926</v>
      </c>
      <c r="X318" t="str">
        <f>DataItems3[[#This Row],[Collection]]&amp;DataItems3[[#This Row],[Field]]&amp;DataItems3[[#This Row],[Options for supplying the Field]]&amp;DataItems3[[#This Row],[Fieldname]]&amp;DataItems3[[#This Row],[Parent]]</f>
        <v>DLHEHow funding further study</v>
      </c>
      <c r="Y318" s="15">
        <v>43416</v>
      </c>
      <c r="Z318" t="s">
        <v>95</v>
      </c>
      <c r="AA318" s="28" t="str">
        <f t="shared" si="45"/>
        <v/>
      </c>
      <c r="AB318" s="28" t="str">
        <f t="shared" si="46"/>
        <v/>
      </c>
      <c r="AC318" s="28" t="str">
        <f t="shared" si="47"/>
        <v/>
      </c>
      <c r="AD318" s="28" t="str">
        <f t="shared" si="48"/>
        <v/>
      </c>
      <c r="AE318" t="str">
        <f t="shared" ref="AE318:AE381" si="50">IF(F318="","","["&amp;SUBSTITUTE(SUBSTITUTE(SUBSTITUTE(F318,"[","{"),"]","}"),"⁽"&amp;CHAR(185)&amp;"⁾","")&amp;"]")</f>
        <v>[How funding further study]</v>
      </c>
    </row>
    <row r="319" spans="1:31" ht="16" x14ac:dyDescent="0.2">
      <c r="A319">
        <v>100790</v>
      </c>
      <c r="B319" s="11" t="str">
        <f>DataItems3[[#This Row],[Field]]&amp;IF(DataItems3[[#This Row],[Options for supplying the Field]]="",""," "&amp;DataItems3[[#This Row],[Options for supplying the Field]])</f>
        <v>IMD deciles</v>
      </c>
      <c r="C319">
        <v>100790</v>
      </c>
      <c r="D319" s="3" t="s">
        <v>86</v>
      </c>
      <c r="E319" s="3" t="s">
        <v>106</v>
      </c>
      <c r="F319" s="3" t="s">
        <v>1240</v>
      </c>
      <c r="G319" s="13"/>
      <c r="H319" s="3" t="s">
        <v>1241</v>
      </c>
      <c r="J319" s="3">
        <v>3</v>
      </c>
      <c r="K319" s="3">
        <v>2</v>
      </c>
      <c r="L319" s="3">
        <v>0</v>
      </c>
      <c r="M319" s="3">
        <v>2</v>
      </c>
      <c r="N319" s="3" t="s">
        <v>89</v>
      </c>
      <c r="Q319" s="16" t="s">
        <v>3070</v>
      </c>
      <c r="R319" s="16" t="s">
        <v>3070</v>
      </c>
      <c r="S319" s="16" t="s">
        <v>3070</v>
      </c>
      <c r="T319" s="16" t="s">
        <v>3070</v>
      </c>
      <c r="U319" s="3" t="s">
        <v>1242</v>
      </c>
      <c r="W319" s="57" t="s">
        <v>764</v>
      </c>
      <c r="X319" t="str">
        <f>DataItems3[[#This Row],[Collection]]&amp;DataItems3[[#This Row],[Field]]&amp;DataItems3[[#This Row],[Options for supplying the Field]]&amp;DataItems3[[#This Row],[Fieldname]]&amp;DataItems3[[#This Row],[Parent]]</f>
        <v>StudentIMD decilesIMD_Decile</v>
      </c>
      <c r="Y319" s="4">
        <v>44265</v>
      </c>
      <c r="Z319" t="s">
        <v>135</v>
      </c>
      <c r="AA319" s="28" t="str">
        <f t="shared" si="45"/>
        <v>ISNULL(imd.IMD_Decile,'Not applicable')</v>
      </c>
      <c r="AB319" s="28" t="str">
        <f t="shared" si="46"/>
        <v>ISNULL(imd.IMD_Decile,'Not applicable')</v>
      </c>
      <c r="AC319" s="28" t="str">
        <f t="shared" si="47"/>
        <v>ISNULL(imd.IMD_Decile,'Not applicable')</v>
      </c>
      <c r="AD319" s="28" t="str">
        <f t="shared" si="48"/>
        <v>ISNULL(imd.IMD_Decile,'Not applicable')</v>
      </c>
      <c r="AE319" t="str">
        <f t="shared" si="50"/>
        <v>[IMD deciles]</v>
      </c>
    </row>
    <row r="320" spans="1:31" ht="16" x14ac:dyDescent="0.2">
      <c r="A320">
        <v>100803</v>
      </c>
      <c r="B320" s="11" t="str">
        <f>DataItems3[[#This Row],[Field]]&amp;IF(DataItems3[[#This Row],[Options for supplying the Field]]="",""," "&amp;DataItems3[[#This Row],[Options for supplying the Field]])</f>
        <v>IMD quintiles</v>
      </c>
      <c r="C320">
        <v>100803</v>
      </c>
      <c r="D320" s="3" t="s">
        <v>86</v>
      </c>
      <c r="E320" s="3" t="s">
        <v>106</v>
      </c>
      <c r="F320" s="3" t="s">
        <v>1243</v>
      </c>
      <c r="G320" s="13"/>
      <c r="H320" s="3" t="s">
        <v>1244</v>
      </c>
      <c r="J320" s="3">
        <v>4</v>
      </c>
      <c r="K320" s="3">
        <v>1</v>
      </c>
      <c r="L320" s="3">
        <v>0</v>
      </c>
      <c r="M320" s="3">
        <v>2</v>
      </c>
      <c r="Q320" s="16" t="s">
        <v>3071</v>
      </c>
      <c r="S320" s="16" t="s">
        <v>3071</v>
      </c>
      <c r="T320" s="16" t="s">
        <v>3071</v>
      </c>
      <c r="U320" s="3" t="s">
        <v>1242</v>
      </c>
      <c r="W320" s="57" t="s">
        <v>145</v>
      </c>
      <c r="X320" t="str">
        <f>DataItems3[[#This Row],[Collection]]&amp;DataItems3[[#This Row],[Field]]&amp;DataItems3[[#This Row],[Options for supplying the Field]]&amp;DataItems3[[#This Row],[Fieldname]]&amp;DataItems3[[#This Row],[Parent]]</f>
        <v>StudentIMD quintilesIMD_Quintile</v>
      </c>
      <c r="Y320" s="4">
        <v>44329</v>
      </c>
      <c r="Z320" t="s">
        <v>135</v>
      </c>
      <c r="AA320" s="28" t="str">
        <f t="shared" si="45"/>
        <v>case when imd.IMD_Decile in (1,2) then '1'  when imd.IMD_Decile in (3,4) then '2' when imd.IMD_Decile in (5,6) then '3' when imd.IMD_Decile in (7,8) then '4' when imd.IMD_Decile in (9,10) then '5' else 'Not applicable' end</v>
      </c>
      <c r="AB320" s="28" t="str">
        <f t="shared" si="46"/>
        <v>case when imd.IMD_Decile in (1,2) then '1'  when imd.IMD_Decile in (3,4) then '2' when imd.IMD_Decile in (5,6) then '3' when imd.IMD_Decile in (7,8) then '4' when imd.IMD_Decile in (9,10) then '5' else 'Not applicable' end</v>
      </c>
      <c r="AC320" s="28" t="str">
        <f t="shared" si="47"/>
        <v/>
      </c>
      <c r="AD320" s="28" t="str">
        <f t="shared" si="48"/>
        <v>case when imd.IMD_Decile in (1,2) then '1'  when imd.IMD_Decile in (3,4) then '2' when imd.IMD_Decile in (5,6) then '3' when imd.IMD_Decile in (7,8) then '4' when imd.IMD_Decile in (9,10) then '5' else 'Not applicable' end</v>
      </c>
      <c r="AE320" t="str">
        <f t="shared" si="50"/>
        <v>[IMD quintiles]</v>
      </c>
    </row>
    <row r="321" spans="1:31" ht="16" x14ac:dyDescent="0.2">
      <c r="A321">
        <v>100262</v>
      </c>
      <c r="B321" s="11" t="str">
        <f>DataItems3[[#This Row],[Field]]&amp;IF(DataItems3[[#This Row],[Options for supplying the Field]]="",""," "&amp;DataItems3[[#This Row],[Options for supplying the Field]])</f>
        <v>Importance to employer</v>
      </c>
      <c r="C321">
        <v>100262</v>
      </c>
      <c r="D321" s="3" t="s">
        <v>146</v>
      </c>
      <c r="F321" s="3" t="s">
        <v>1245</v>
      </c>
      <c r="G321" s="13"/>
      <c r="H321" s="14" t="s">
        <v>93</v>
      </c>
      <c r="J321" s="3">
        <v>1</v>
      </c>
      <c r="K321" s="3">
        <v>2</v>
      </c>
      <c r="L321" s="3">
        <v>0</v>
      </c>
      <c r="M321" s="3">
        <v>0</v>
      </c>
      <c r="N321" s="3" t="s">
        <v>89</v>
      </c>
      <c r="Q321" s="16" t="s">
        <v>93</v>
      </c>
      <c r="R321" s="3" t="s">
        <v>93</v>
      </c>
      <c r="S321" s="16" t="s">
        <v>93</v>
      </c>
      <c r="U321" s="3" t="s">
        <v>93</v>
      </c>
      <c r="V321" s="3" t="s">
        <v>93</v>
      </c>
      <c r="W321" s="57" t="s">
        <v>2926</v>
      </c>
      <c r="X321" t="str">
        <f>DataItems3[[#This Row],[Collection]]&amp;DataItems3[[#This Row],[Field]]&amp;DataItems3[[#This Row],[Options for supplying the Field]]&amp;DataItems3[[#This Row],[Fieldname]]&amp;DataItems3[[#This Row],[Parent]]</f>
        <v>DLHEImportance to employer</v>
      </c>
      <c r="Y321" s="15">
        <v>43416</v>
      </c>
      <c r="Z321" t="s">
        <v>95</v>
      </c>
      <c r="AA321" s="28" t="str">
        <f t="shared" si="45"/>
        <v/>
      </c>
      <c r="AB321" s="28" t="str">
        <f t="shared" si="46"/>
        <v/>
      </c>
      <c r="AC321" s="28" t="str">
        <f t="shared" si="47"/>
        <v/>
      </c>
      <c r="AD321" s="28" t="str">
        <f t="shared" si="48"/>
        <v/>
      </c>
      <c r="AE321" t="str">
        <f t="shared" si="50"/>
        <v>[Importance to employer]</v>
      </c>
    </row>
    <row r="322" spans="1:31" ht="16" x14ac:dyDescent="0.2">
      <c r="A322">
        <v>100263</v>
      </c>
      <c r="B322" s="11" t="str">
        <f>DataItems3[[#This Row],[Field]]&amp;IF(DataItems3[[#This Row],[Options for supplying the Field]]="",""," "&amp;DataItems3[[#This Row],[Options for supplying the Field]])</f>
        <v>Incoming visiting and exchange (IVES) marker</v>
      </c>
      <c r="C322">
        <v>100263</v>
      </c>
      <c r="D322" s="3" t="s">
        <v>86</v>
      </c>
      <c r="F322" s="3" t="s">
        <v>1246</v>
      </c>
      <c r="G322" s="13"/>
      <c r="H322" s="14" t="s">
        <v>1247</v>
      </c>
      <c r="J322" s="3">
        <v>5</v>
      </c>
      <c r="K322" s="3">
        <v>2</v>
      </c>
      <c r="L322" s="3">
        <v>0</v>
      </c>
      <c r="M322" s="3">
        <v>0</v>
      </c>
      <c r="N322" s="3" t="s">
        <v>89</v>
      </c>
      <c r="Q322" s="16" t="s">
        <v>3072</v>
      </c>
      <c r="R322" s="3" t="s">
        <v>91</v>
      </c>
      <c r="S322" s="16" t="s">
        <v>3072</v>
      </c>
      <c r="U322" s="3" t="s">
        <v>93</v>
      </c>
      <c r="V322" s="3" t="s">
        <v>93</v>
      </c>
      <c r="W322" s="57" t="s">
        <v>3073</v>
      </c>
      <c r="X322" t="str">
        <f>DataItems3[[#This Row],[Collection]]&amp;DataItems3[[#This Row],[Field]]&amp;DataItems3[[#This Row],[Options for supplying the Field]]&amp;DataItems3[[#This Row],[Fieldname]]&amp;DataItems3[[#This Row],[Parent]]</f>
        <v>StudentIncoming visiting and exchange (IVES) markerIVES</v>
      </c>
      <c r="Y322" s="15">
        <v>43434</v>
      </c>
      <c r="Z322" t="s">
        <v>95</v>
      </c>
      <c r="AA322" s="28" t="str">
        <f t="shared" si="45"/>
        <v>case when  s.f_exchange in ('4','G','O') then 'Incoming and visiting exchange student' else 'Not an incoming and visiting exchange student' end</v>
      </c>
      <c r="AB322" s="28" t="str">
        <f t="shared" si="46"/>
        <v>case when  s.f_exchange in ('4','G','O') then 'Incoming and visiting exchange student' else 'Not an incoming and visiting exchange student' end</v>
      </c>
      <c r="AC322" s="28" t="str">
        <f t="shared" si="47"/>
        <v xml:space="preserve"> </v>
      </c>
      <c r="AD322" s="28" t="str">
        <f t="shared" si="48"/>
        <v/>
      </c>
      <c r="AE322" t="str">
        <f t="shared" si="50"/>
        <v>[Incoming visiting and exchange (IVES) marker]</v>
      </c>
    </row>
    <row r="323" spans="1:31" ht="16" x14ac:dyDescent="0.2">
      <c r="A323">
        <v>100753</v>
      </c>
      <c r="B323" s="11" t="str">
        <f>DataItems3[[#This Row],[Field]]&amp;IF(DataItems3[[#This Row],[Options for supplying the Field]]="",""," "&amp;DataItems3[[#This Row],[Options for supplying the Field]])</f>
        <v>Initiatives 1</v>
      </c>
      <c r="C323">
        <v>100753</v>
      </c>
      <c r="D323" s="3" t="s">
        <v>86</v>
      </c>
      <c r="E323" s="3" t="s">
        <v>106</v>
      </c>
      <c r="F323" s="3" t="s">
        <v>1248</v>
      </c>
      <c r="G323" s="13"/>
      <c r="H323" s="14" t="s">
        <v>1249</v>
      </c>
      <c r="J323" s="3">
        <v>2</v>
      </c>
      <c r="K323" s="3">
        <v>3</v>
      </c>
      <c r="L323" s="3">
        <v>0</v>
      </c>
      <c r="M323" s="3">
        <v>0</v>
      </c>
      <c r="Q323" s="16" t="s">
        <v>1250</v>
      </c>
      <c r="R323" s="16" t="s">
        <v>1250</v>
      </c>
      <c r="S323" s="16" t="s">
        <v>1251</v>
      </c>
      <c r="T323" s="16" t="s">
        <v>1251</v>
      </c>
      <c r="W323" s="57" t="s">
        <v>94</v>
      </c>
      <c r="X323" t="str">
        <f>DataItems3[[#This Row],[Collection]]&amp;DataItems3[[#This Row],[Field]]&amp;DataItems3[[#This Row],[Options for supplying the Field]]&amp;DataItems3[[#This Row],[Fieldname]]&amp;DataItems3[[#This Row],[Parent]]</f>
        <v>StudentInitiatives 1F_INITIATIVES1</v>
      </c>
      <c r="Y323" s="4">
        <v>44216</v>
      </c>
      <c r="Z323" t="s">
        <v>135</v>
      </c>
      <c r="AA323" s="28" t="str">
        <f t="shared" si="45"/>
        <v>CASE WHEN s.f_initiatives1 IN ('',' ') or s.f_initiatives1 is null THEN 'Unknown' ELSE s.f_initiatives1 END</v>
      </c>
      <c r="AB323" s="28" t="str">
        <f t="shared" si="46"/>
        <v xml:space="preserve"> s.F_initiatives1</v>
      </c>
      <c r="AC323" s="28" t="str">
        <f t="shared" si="47"/>
        <v>CASE WHEN s.f_initiatives1 IN ('',' ') or s.f_initiatives1 is null THEN 'Unknown' ELSE s.f_initiatives1 END</v>
      </c>
      <c r="AD323" s="28" t="str">
        <f t="shared" si="48"/>
        <v xml:space="preserve"> s.F_initiatives1</v>
      </c>
      <c r="AE323" t="str">
        <f t="shared" si="50"/>
        <v>[Initiatives 1]</v>
      </c>
    </row>
    <row r="324" spans="1:31" ht="16" x14ac:dyDescent="0.2">
      <c r="A324">
        <v>100752</v>
      </c>
      <c r="B324" s="11" t="str">
        <f>DataItems3[[#This Row],[Field]]&amp;IF(DataItems3[[#This Row],[Options for supplying the Field]]="",""," "&amp;DataItems3[[#This Row],[Options for supplying the Field]])</f>
        <v>Initiatives 2</v>
      </c>
      <c r="C324">
        <v>100752</v>
      </c>
      <c r="D324" s="3" t="s">
        <v>86</v>
      </c>
      <c r="E324" s="3" t="s">
        <v>106</v>
      </c>
      <c r="F324" s="3" t="s">
        <v>1252</v>
      </c>
      <c r="G324" s="13"/>
      <c r="H324" s="14" t="s">
        <v>1253</v>
      </c>
      <c r="J324" s="3">
        <v>1</v>
      </c>
      <c r="K324" s="3">
        <v>0</v>
      </c>
      <c r="L324" s="3">
        <v>0</v>
      </c>
      <c r="M324" s="3">
        <v>0</v>
      </c>
      <c r="Q324" s="16" t="s">
        <v>1254</v>
      </c>
      <c r="R324" s="16" t="s">
        <v>1254</v>
      </c>
      <c r="S324" s="16" t="s">
        <v>1255</v>
      </c>
      <c r="T324" s="16" t="s">
        <v>1255</v>
      </c>
      <c r="W324" s="57" t="s">
        <v>94</v>
      </c>
      <c r="X324" t="str">
        <f>DataItems3[[#This Row],[Collection]]&amp;DataItems3[[#This Row],[Field]]&amp;DataItems3[[#This Row],[Options for supplying the Field]]&amp;DataItems3[[#This Row],[Fieldname]]&amp;DataItems3[[#This Row],[Parent]]</f>
        <v>StudentInitiatives 2F_INITIATIVES2</v>
      </c>
      <c r="Y324" s="4">
        <v>44216</v>
      </c>
      <c r="Z324" t="s">
        <v>135</v>
      </c>
      <c r="AA324" s="28" t="str">
        <f t="shared" si="45"/>
        <v>CASE WHEN s.f_initiatives2 IN ('',' ') or s.f_initiatives2 is null THEN 'Unknown' ELSE s.f_initiatives2 END</v>
      </c>
      <c r="AB324" s="28" t="str">
        <f t="shared" si="46"/>
        <v xml:space="preserve"> s.F_initiatives2</v>
      </c>
      <c r="AC324" s="28" t="str">
        <f t="shared" si="47"/>
        <v>CASE WHEN s.f_initiatives2 IN ('',' ') or s.f_initiatives2 is null THEN 'Unknown' ELSE s.f_initiatives2 END</v>
      </c>
      <c r="AD324" s="28" t="str">
        <f t="shared" si="48"/>
        <v xml:space="preserve"> s.F_initiatives2</v>
      </c>
      <c r="AE324" t="str">
        <f t="shared" si="50"/>
        <v>[Initiatives 2]</v>
      </c>
    </row>
    <row r="325" spans="1:31" ht="16" x14ac:dyDescent="0.2">
      <c r="A325">
        <v>100751</v>
      </c>
      <c r="B325" s="11" t="str">
        <f>DataItems3[[#This Row],[Field]]&amp;IF(DataItems3[[#This Row],[Options for supplying the Field]]="",""," "&amp;DataItems3[[#This Row],[Options for supplying the Field]])</f>
        <v>Initiatives 3</v>
      </c>
      <c r="C325">
        <v>100751</v>
      </c>
      <c r="D325" s="3" t="s">
        <v>86</v>
      </c>
      <c r="E325" s="3" t="s">
        <v>89</v>
      </c>
      <c r="F325" s="3" t="s">
        <v>1256</v>
      </c>
      <c r="G325" s="13"/>
      <c r="H325" s="14" t="s">
        <v>1257</v>
      </c>
      <c r="J325" s="3">
        <v>1</v>
      </c>
      <c r="K325" s="3">
        <v>0</v>
      </c>
      <c r="L325" s="3">
        <v>0</v>
      </c>
      <c r="M325" s="3">
        <v>0</v>
      </c>
      <c r="Q325" s="16" t="s">
        <v>1258</v>
      </c>
      <c r="R325" s="14" t="s">
        <v>3000</v>
      </c>
      <c r="S325" s="16" t="s">
        <v>1259</v>
      </c>
      <c r="T325" s="14" t="s">
        <v>3074</v>
      </c>
      <c r="W325" s="57" t="s">
        <v>94</v>
      </c>
      <c r="X325" t="str">
        <f>DataItems3[[#This Row],[Collection]]&amp;DataItems3[[#This Row],[Field]]&amp;DataItems3[[#This Row],[Options for supplying the Field]]&amp;DataItems3[[#This Row],[Fieldname]]&amp;DataItems3[[#This Row],[Parent]]</f>
        <v>StudentInitiatives 3F_INITIATIVES3</v>
      </c>
      <c r="Y325" s="4">
        <v>44216</v>
      </c>
      <c r="Z325" t="s">
        <v>135</v>
      </c>
      <c r="AA325" s="28" t="str">
        <f t="shared" si="45"/>
        <v>CASE WHEN s.f_initiatives3 IN ('',' ') or s.f_initiatives3 is null THEN 'Unknown' ELSE s.f_initiatives3 END</v>
      </c>
      <c r="AB325" s="28" t="str">
        <f t="shared" si="46"/>
        <v xml:space="preserve"> s.F_initiatives3</v>
      </c>
      <c r="AC325" s="28"/>
      <c r="AD325" s="28"/>
      <c r="AE325" t="str">
        <f t="shared" si="50"/>
        <v>[Initiatives 3]</v>
      </c>
    </row>
    <row r="326" spans="1:31" ht="16" x14ac:dyDescent="0.2">
      <c r="A326">
        <v>100264</v>
      </c>
      <c r="B326" s="11" t="str">
        <f>DataItems3[[#This Row],[Field]]&amp;IF(DataItems3[[#This Row],[Options for supplying the Field]]="",""," "&amp;DataItems3[[#This Row],[Options for supplying the Field]])</f>
        <v>International Bacculaureate marker</v>
      </c>
      <c r="C326">
        <v>100264</v>
      </c>
      <c r="D326" s="3" t="s">
        <v>86</v>
      </c>
      <c r="F326" s="3" t="s">
        <v>1260</v>
      </c>
      <c r="G326" s="13"/>
      <c r="H326" s="14" t="s">
        <v>1261</v>
      </c>
      <c r="J326" s="3">
        <v>10</v>
      </c>
      <c r="K326" s="3">
        <v>2</v>
      </c>
      <c r="L326" s="3">
        <v>0</v>
      </c>
      <c r="M326" s="3">
        <v>0</v>
      </c>
      <c r="N326" s="3" t="s">
        <v>89</v>
      </c>
      <c r="Q326" s="16" t="s">
        <v>1262</v>
      </c>
      <c r="R326" s="3" t="s">
        <v>91</v>
      </c>
      <c r="S326" s="16" t="s">
        <v>1262</v>
      </c>
      <c r="U326" s="3" t="s">
        <v>1263</v>
      </c>
      <c r="V326" s="3" t="s">
        <v>93</v>
      </c>
      <c r="W326" s="57" t="s">
        <v>109</v>
      </c>
      <c r="X326" t="str">
        <f>DataItems3[[#This Row],[Collection]]&amp;DataItems3[[#This Row],[Field]]&amp;DataItems3[[#This Row],[Options for supplying the Field]]&amp;DataItems3[[#This Row],[Fieldname]]&amp;DataItems3[[#This Row],[Parent]]</f>
        <v>StudentInternational Bacculaureate markerIB_MKR</v>
      </c>
      <c r="Y326" s="15">
        <v>43438</v>
      </c>
      <c r="Z326" t="s">
        <v>95</v>
      </c>
      <c r="AA326" s="28" t="str">
        <f t="shared" si="45"/>
        <v>CASE WHEN q.DK_INSTANCE IS NULL THEN '0' ELSE '1' END</v>
      </c>
      <c r="AB326" s="28" t="str">
        <f t="shared" si="46"/>
        <v>CASE WHEN q.DK_INSTANCE IS NULL THEN '0' ELSE '1' END</v>
      </c>
      <c r="AC326" s="28" t="str">
        <f t="shared" ref="AC326:AC332" si="51">IF(R326="","",R326)</f>
        <v xml:space="preserve"> </v>
      </c>
      <c r="AD326" s="28" t="str">
        <f t="shared" ref="AD326:AD332" si="52">IF(T326="","",IF(IFERROR(SEARCH("select",T326)&gt;0,0),IF(U326="",IF(MID(T326,SEARCH(H326,T326)-4,1)=" ",MID(T326,SEARCH(H326,T326)-2,LEN(O335)+2),MID(T326,SEARCH(H326,T326)-3,LEN(H326)+3)),U326&amp;"."&amp;H326),T326))</f>
        <v/>
      </c>
      <c r="AE326" t="str">
        <f t="shared" si="50"/>
        <v>[International Bacculaureate marker]</v>
      </c>
    </row>
    <row r="327" spans="1:31" ht="32" x14ac:dyDescent="0.2">
      <c r="A327">
        <v>100265</v>
      </c>
      <c r="B327" s="11" t="str">
        <f>DataItems3[[#This Row],[Field]]&amp;IF(DataItems3[[#This Row],[Options for supplying the Field]]="",""," "&amp;DataItems3[[#This Row],[Options for supplying the Field]])</f>
        <v>International mobility [INTLMOB] -opt in question</v>
      </c>
      <c r="C327">
        <v>100265</v>
      </c>
      <c r="D327" s="3" t="s">
        <v>151</v>
      </c>
      <c r="F327" s="3" t="s">
        <v>1264</v>
      </c>
      <c r="G327" s="13" t="s">
        <v>1265</v>
      </c>
      <c r="I327" s="3" t="s">
        <v>2991</v>
      </c>
      <c r="J327" s="3">
        <v>1</v>
      </c>
      <c r="K327" s="3">
        <v>2</v>
      </c>
      <c r="L327" s="3">
        <v>0</v>
      </c>
      <c r="M327" s="3">
        <v>0</v>
      </c>
      <c r="P327" s="3" t="s">
        <v>448</v>
      </c>
      <c r="R327" s="3" t="s">
        <v>93</v>
      </c>
      <c r="V327" s="3" t="s">
        <v>93</v>
      </c>
      <c r="W327" s="57" t="s">
        <v>2926</v>
      </c>
      <c r="X327" t="str">
        <f>DataItems3[[#This Row],[Collection]]&amp;DataItems3[[#This Row],[Field]]&amp;DataItems3[[#This Row],[Options for supplying the Field]]&amp;DataItems3[[#This Row],[Fieldname]]&amp;DataItems3[[#This Row],[Parent]]</f>
        <v>Graduate OutcomesInternational mobility[INTLMOB] -opt in questionProvider &gt; Graduate &gt; Opt in questions:</v>
      </c>
      <c r="Y327" s="15">
        <v>43550</v>
      </c>
      <c r="Z327" t="s">
        <v>159</v>
      </c>
      <c r="AA327" s="28" t="str">
        <f t="shared" si="45"/>
        <v/>
      </c>
      <c r="AB327" s="28" t="str">
        <f t="shared" si="46"/>
        <v/>
      </c>
      <c r="AC327" s="28" t="str">
        <f t="shared" si="51"/>
        <v/>
      </c>
      <c r="AD327" s="28" t="str">
        <f t="shared" si="52"/>
        <v/>
      </c>
      <c r="AE327" t="str">
        <f t="shared" si="50"/>
        <v>[International mobility]</v>
      </c>
    </row>
    <row r="328" spans="1:31" ht="16" x14ac:dyDescent="0.2">
      <c r="A328">
        <v>100266</v>
      </c>
      <c r="B328" s="11" t="str">
        <f>DataItems3[[#This Row],[Field]]&amp;IF(DataItems3[[#This Row],[Options for supplying the Field]]="",""," "&amp;DataItems3[[#This Row],[Options for supplying the Field]])</f>
        <v>ITT marker</v>
      </c>
      <c r="C328">
        <v>100266</v>
      </c>
      <c r="D328" s="3" t="s">
        <v>86</v>
      </c>
      <c r="F328" s="3" t="s">
        <v>1266</v>
      </c>
      <c r="G328" s="13"/>
      <c r="H328" s="14" t="s">
        <v>1267</v>
      </c>
      <c r="J328" s="3">
        <v>5</v>
      </c>
      <c r="K328" s="3">
        <v>1</v>
      </c>
      <c r="L328" s="3">
        <v>0</v>
      </c>
      <c r="M328" s="3">
        <v>0</v>
      </c>
      <c r="N328" s="3" t="s">
        <v>106</v>
      </c>
      <c r="Q328" s="16" t="s">
        <v>1268</v>
      </c>
      <c r="R328" s="3" t="s">
        <v>91</v>
      </c>
      <c r="S328" s="16" t="s">
        <v>1268</v>
      </c>
      <c r="U328" s="3" t="s">
        <v>93</v>
      </c>
      <c r="V328" s="3">
        <v>1</v>
      </c>
      <c r="W328" s="57" t="s">
        <v>94</v>
      </c>
      <c r="X328" t="str">
        <f>DataItems3[[#This Row],[Collection]]&amp;DataItems3[[#This Row],[Field]]&amp;DataItems3[[#This Row],[Options for supplying the Field]]&amp;DataItems3[[#This Row],[Fieldname]]&amp;DataItems3[[#This Row],[Parent]]</f>
        <v>StudentITT markerF_TTCID</v>
      </c>
      <c r="Y328" s="15">
        <v>43434</v>
      </c>
      <c r="Z328" t="s">
        <v>95</v>
      </c>
      <c r="AA328" s="28" t="str">
        <f t="shared" si="45"/>
        <v>case when s.F_TTCID='' then 'Unknown' when s.F_TTCID='0' then 'Not ITT' else 'ITT' end</v>
      </c>
      <c r="AB328" s="28" t="str">
        <f t="shared" si="46"/>
        <v>case when s.F_TTCID='' then 'Unknown' when s.F_TTCID='0' then 'Not ITT' else 'ITT' end</v>
      </c>
      <c r="AC328" s="28" t="str">
        <f t="shared" si="51"/>
        <v xml:space="preserve"> </v>
      </c>
      <c r="AD328" s="28" t="str">
        <f t="shared" si="52"/>
        <v/>
      </c>
      <c r="AE328" t="str">
        <f t="shared" si="50"/>
        <v>[ITT marker]</v>
      </c>
    </row>
    <row r="329" spans="1:31" ht="16" x14ac:dyDescent="0.2">
      <c r="A329">
        <v>100267</v>
      </c>
      <c r="B329" s="11" t="str">
        <f>DataItems3[[#This Row],[Field]]&amp;IF(DataItems3[[#This Row],[Options for supplying the Field]]="",""," "&amp;DataItems3[[#This Row],[Options for supplying the Field]])</f>
        <v>ITT Phase/Scope</v>
      </c>
      <c r="C329">
        <v>100267</v>
      </c>
      <c r="D329" s="3" t="s">
        <v>86</v>
      </c>
      <c r="F329" s="3" t="s">
        <v>1269</v>
      </c>
      <c r="G329" s="13"/>
      <c r="H329" s="14" t="s">
        <v>1270</v>
      </c>
      <c r="J329" s="3">
        <v>5</v>
      </c>
      <c r="K329" s="3">
        <v>4</v>
      </c>
      <c r="L329" s="3">
        <v>0</v>
      </c>
      <c r="M329" s="3">
        <v>0</v>
      </c>
      <c r="N329" s="3" t="s">
        <v>89</v>
      </c>
      <c r="Q329" s="16" t="s">
        <v>1271</v>
      </c>
      <c r="R329" s="3" t="s">
        <v>91</v>
      </c>
      <c r="S329" s="16" t="s">
        <v>1272</v>
      </c>
      <c r="U329" s="3" t="s">
        <v>93</v>
      </c>
      <c r="V329" s="3" t="s">
        <v>93</v>
      </c>
      <c r="W329" s="57" t="s">
        <v>145</v>
      </c>
      <c r="X329" t="str">
        <f>DataItems3[[#This Row],[Collection]]&amp;DataItems3[[#This Row],[Field]]&amp;DataItems3[[#This Row],[Options for supplying the Field]]&amp;DataItems3[[#This Row],[Fieldname]]&amp;DataItems3[[#This Row],[Parent]]</f>
        <v>StudentITT Phase/ScopeF_ITTPHSC</v>
      </c>
      <c r="Y329" s="15">
        <v>43395</v>
      </c>
      <c r="Z329" t="s">
        <v>828</v>
      </c>
      <c r="AA329" s="28" t="str">
        <f t="shared" si="45"/>
        <v>IIF(s.F_ITTPHSC IN ('',' '),'N/A',ISNULL(s.F_ITTPHSC,'N/A'))</v>
      </c>
      <c r="AB329" s="28" t="str">
        <f t="shared" si="46"/>
        <v xml:space="preserve"> s.F_ITTPHSC</v>
      </c>
      <c r="AC329" s="28" t="str">
        <f t="shared" si="51"/>
        <v xml:space="preserve"> </v>
      </c>
      <c r="AD329" s="28" t="str">
        <f t="shared" si="52"/>
        <v/>
      </c>
      <c r="AE329" t="str">
        <f t="shared" si="50"/>
        <v>[ITT Phase/Scope]</v>
      </c>
    </row>
    <row r="330" spans="1:31" ht="16" x14ac:dyDescent="0.2">
      <c r="A330">
        <v>100270</v>
      </c>
      <c r="B330" s="11" t="str">
        <f>DataItems3[[#This Row],[Field]]&amp;IF(DataItems3[[#This Row],[Options for supplying the Field]]="",""," "&amp;DataItems3[[#This Row],[Options for supplying the Field]])</f>
        <v>Job title</v>
      </c>
      <c r="C330">
        <v>100270</v>
      </c>
      <c r="D330" s="3" t="s">
        <v>146</v>
      </c>
      <c r="F330" s="3" t="s">
        <v>1273</v>
      </c>
      <c r="G330" s="13"/>
      <c r="H330" s="14" t="s">
        <v>93</v>
      </c>
      <c r="J330" s="3">
        <v>2</v>
      </c>
      <c r="K330" s="3">
        <v>5</v>
      </c>
      <c r="L330" s="3">
        <v>4</v>
      </c>
      <c r="M330" s="3">
        <v>2</v>
      </c>
      <c r="N330" s="3" t="s">
        <v>89</v>
      </c>
      <c r="Q330" s="16" t="s">
        <v>93</v>
      </c>
      <c r="R330" s="3" t="s">
        <v>93</v>
      </c>
      <c r="S330" s="16" t="s">
        <v>93</v>
      </c>
      <c r="U330" s="3" t="s">
        <v>93</v>
      </c>
      <c r="V330" s="3" t="s">
        <v>93</v>
      </c>
      <c r="W330" s="57" t="s">
        <v>2926</v>
      </c>
      <c r="X330" t="str">
        <f>DataItems3[[#This Row],[Collection]]&amp;DataItems3[[#This Row],[Field]]&amp;DataItems3[[#This Row],[Options for supplying the Field]]&amp;DataItems3[[#This Row],[Fieldname]]&amp;DataItems3[[#This Row],[Parent]]</f>
        <v>DLHEJob title</v>
      </c>
      <c r="Y330" s="15">
        <v>43416</v>
      </c>
      <c r="Z330" t="s">
        <v>95</v>
      </c>
      <c r="AA330" s="28" t="str">
        <f t="shared" si="45"/>
        <v/>
      </c>
      <c r="AB330" s="28" t="str">
        <f t="shared" si="46"/>
        <v/>
      </c>
      <c r="AC330" s="28" t="str">
        <f t="shared" si="51"/>
        <v/>
      </c>
      <c r="AD330" s="28" t="str">
        <f t="shared" si="52"/>
        <v/>
      </c>
      <c r="AE330" t="str">
        <f t="shared" si="50"/>
        <v>[Job title]</v>
      </c>
    </row>
    <row r="331" spans="1:31" ht="32" x14ac:dyDescent="0.2">
      <c r="A331">
        <v>100271</v>
      </c>
      <c r="B331" s="11" t="str">
        <f>DataItems3[[#This Row],[Field]]&amp;IF(DataItems3[[#This Row],[Options for supplying the Field]]="",""," "&amp;DataItems3[[#This Row],[Options for supplying the Field]])</f>
        <v>Knowledge on which research degree based [KNOWBASE] -opt in question</v>
      </c>
      <c r="C331">
        <v>100271</v>
      </c>
      <c r="D331" s="3" t="s">
        <v>151</v>
      </c>
      <c r="F331" s="3" t="s">
        <v>1274</v>
      </c>
      <c r="G331" s="13" t="s">
        <v>1275</v>
      </c>
      <c r="I331" s="3" t="s">
        <v>2991</v>
      </c>
      <c r="J331" s="3">
        <v>1</v>
      </c>
      <c r="K331" s="3">
        <v>2</v>
      </c>
      <c r="L331" s="3">
        <v>0</v>
      </c>
      <c r="M331" s="3">
        <v>0</v>
      </c>
      <c r="P331" s="3" t="s">
        <v>448</v>
      </c>
      <c r="R331" s="3" t="s">
        <v>93</v>
      </c>
      <c r="V331" s="3" t="s">
        <v>93</v>
      </c>
      <c r="W331" s="57" t="s">
        <v>2926</v>
      </c>
      <c r="X331" t="str">
        <f>DataItems3[[#This Row],[Collection]]&amp;DataItems3[[#This Row],[Field]]&amp;DataItems3[[#This Row],[Options for supplying the Field]]&amp;DataItems3[[#This Row],[Fieldname]]&amp;DataItems3[[#This Row],[Parent]]</f>
        <v>Graduate OutcomesKnowledge on which research degree based[KNOWBASE] -opt in questionProvider &gt; Graduate &gt; Opt in questions:</v>
      </c>
      <c r="Y331" s="15">
        <v>43550</v>
      </c>
      <c r="Z331" t="s">
        <v>159</v>
      </c>
      <c r="AA331" s="28" t="str">
        <f t="shared" si="45"/>
        <v/>
      </c>
      <c r="AB331" s="28" t="str">
        <f t="shared" si="46"/>
        <v/>
      </c>
      <c r="AC331" s="28" t="str">
        <f t="shared" si="51"/>
        <v/>
      </c>
      <c r="AD331" s="28" t="str">
        <f t="shared" si="52"/>
        <v/>
      </c>
      <c r="AE331" t="str">
        <f t="shared" si="50"/>
        <v>[Knowledge on which research degree based]</v>
      </c>
    </row>
    <row r="332" spans="1:31" ht="16" x14ac:dyDescent="0.2">
      <c r="A332">
        <v>100907</v>
      </c>
      <c r="B332" s="11" t="str">
        <f>DataItems3[[#This Row],[Field]]&amp;IF(DataItems3[[#This Row],[Options for supplying the Field]]="",""," "&amp;DataItems3[[#This Row],[Options for supplying the Field]])</f>
        <v>Language preference</v>
      </c>
      <c r="C332">
        <v>100907</v>
      </c>
      <c r="D332" s="3" t="s">
        <v>86</v>
      </c>
      <c r="F332" s="3" t="s">
        <v>3075</v>
      </c>
      <c r="G332" s="13"/>
      <c r="H332" s="14" t="s">
        <v>3076</v>
      </c>
      <c r="I332" s="3" t="s">
        <v>3077</v>
      </c>
      <c r="J332" s="3">
        <v>1</v>
      </c>
      <c r="K332" s="3">
        <v>1</v>
      </c>
      <c r="L332" s="3">
        <v>0</v>
      </c>
      <c r="M332" s="3">
        <v>0</v>
      </c>
      <c r="N332" s="3" t="s">
        <v>89</v>
      </c>
      <c r="Q332" s="24" t="s">
        <v>3078</v>
      </c>
      <c r="S332" s="16" t="s">
        <v>3079</v>
      </c>
      <c r="T332" s="24"/>
      <c r="W332" s="57" t="s">
        <v>2661</v>
      </c>
      <c r="X332" t="str">
        <f>DataItems3[[#This Row],[Collection]]&amp;DataItems3[[#This Row],[Field]]&amp;DataItems3[[#This Row],[Options for supplying the Field]]&amp;DataItems3[[#This Row],[Fieldname]]&amp;DataItems3[[#This Row],[Parent]]</f>
        <v>StudentLanguage preferenceLANGPREF</v>
      </c>
      <c r="Y332" s="4">
        <v>44908</v>
      </c>
      <c r="Z332" t="s">
        <v>3080</v>
      </c>
      <c r="AA332" s="28" t="str">
        <f t="shared" si="45"/>
        <v>CASE WHEN s.DW_FromDate&lt;=20200801 then 'Not applicable' else isnull(s.F_LANGPREF,'99') end F_LANGPREF</v>
      </c>
      <c r="AB332" s="28" t="str">
        <f t="shared" si="46"/>
        <v>CASE WHEN s.DW_FromDate&lt;=20200801 then 'Not applicable before 2021/22'  WHEN s.F_LANGPREF='01' then 'Welsh' WHEN s.F_LANGPREF='02' then 'English' else 'Unknown/Not applicable' end F_LANGPREF</v>
      </c>
      <c r="AC332" s="28" t="str">
        <f t="shared" si="51"/>
        <v/>
      </c>
      <c r="AD332" s="28" t="str">
        <f t="shared" si="52"/>
        <v/>
      </c>
      <c r="AE332" t="str">
        <f t="shared" si="50"/>
        <v>[Language preference]</v>
      </c>
    </row>
    <row r="333" spans="1:31" ht="16" x14ac:dyDescent="0.2">
      <c r="A333">
        <v>100272</v>
      </c>
      <c r="B333" s="11" t="str">
        <f>DataItems3[[#This Row],[Field]]&amp;IF(DataItems3[[#This Row],[Options for supplying the Field]]="",""," "&amp;DataItems3[[#This Row],[Options for supplying the Field]])</f>
        <v>Last provider attended (Full postcode)</v>
      </c>
      <c r="C333">
        <v>100272</v>
      </c>
      <c r="D333" s="3" t="s">
        <v>86</v>
      </c>
      <c r="E333" s="3" t="s">
        <v>89</v>
      </c>
      <c r="F333" s="3" t="s">
        <v>1276</v>
      </c>
      <c r="G333" s="13" t="s">
        <v>1277</v>
      </c>
      <c r="H333" s="14" t="s">
        <v>1278</v>
      </c>
      <c r="J333" s="3">
        <v>3</v>
      </c>
      <c r="K333" s="3">
        <v>4</v>
      </c>
      <c r="L333" s="3">
        <v>4</v>
      </c>
      <c r="M333" s="3">
        <v>0</v>
      </c>
      <c r="N333" s="3" t="s">
        <v>89</v>
      </c>
      <c r="Q333" s="16" t="s">
        <v>1279</v>
      </c>
      <c r="R333" s="14" t="s">
        <v>3000</v>
      </c>
      <c r="S333" s="16" t="s">
        <v>1279</v>
      </c>
      <c r="T333" s="14" t="s">
        <v>3000</v>
      </c>
      <c r="U333" s="3" t="s">
        <v>1280</v>
      </c>
      <c r="V333" s="3">
        <v>1</v>
      </c>
      <c r="W333" s="57" t="s">
        <v>786</v>
      </c>
      <c r="X333" t="str">
        <f>DataItems3[[#This Row],[Collection]]&amp;DataItems3[[#This Row],[Field]]&amp;DataItems3[[#This Row],[Options for supplying the Field]]&amp;DataItems3[[#This Row],[Fieldname]]&amp;DataItems3[[#This Row],[Parent]]</f>
        <v>StudentLast provider attended(Full postcode)F_PREVINSTPCODE</v>
      </c>
      <c r="Y333" s="15">
        <v>42921</v>
      </c>
      <c r="Z333" t="s">
        <v>139</v>
      </c>
      <c r="AA333" s="28" t="str">
        <f t="shared" si="45"/>
        <v>ISNULL(SCH.F_POSTCODE,'Not known')</v>
      </c>
      <c r="AB333" s="28" t="str">
        <f t="shared" si="46"/>
        <v>ISNULL(SCH.F_POSTCODE,'Not known')</v>
      </c>
      <c r="AC333" s="28"/>
      <c r="AD333" s="28"/>
      <c r="AE333" t="str">
        <f t="shared" si="50"/>
        <v>[Last provider attended]</v>
      </c>
    </row>
    <row r="334" spans="1:31" ht="16" x14ac:dyDescent="0.2">
      <c r="A334">
        <v>100273</v>
      </c>
      <c r="B334" s="11" t="str">
        <f>DataItems3[[#This Row],[Field]]&amp;IF(DataItems3[[#This Row],[Options for supplying the Field]]="",""," "&amp;DataItems3[[#This Row],[Options for supplying the Field]])</f>
        <v>Last provider attended</v>
      </c>
      <c r="C334">
        <v>100273</v>
      </c>
      <c r="D334" s="3" t="s">
        <v>86</v>
      </c>
      <c r="E334" s="3" t="s">
        <v>89</v>
      </c>
      <c r="F334" s="3" t="s">
        <v>1276</v>
      </c>
      <c r="G334" s="13"/>
      <c r="H334" s="14" t="s">
        <v>1281</v>
      </c>
      <c r="J334" s="3">
        <v>3</v>
      </c>
      <c r="K334" s="3">
        <v>4</v>
      </c>
      <c r="L334" s="3">
        <v>4</v>
      </c>
      <c r="M334" s="3">
        <v>0</v>
      </c>
      <c r="N334" s="3" t="s">
        <v>89</v>
      </c>
      <c r="Q334" s="16" t="s">
        <v>1282</v>
      </c>
      <c r="R334" s="14" t="s">
        <v>3000</v>
      </c>
      <c r="S334" s="16" t="s">
        <v>1283</v>
      </c>
      <c r="T334" s="14" t="s">
        <v>3000</v>
      </c>
      <c r="U334" s="3" t="s">
        <v>1284</v>
      </c>
      <c r="V334" s="3" t="s">
        <v>93</v>
      </c>
      <c r="W334" s="57" t="s">
        <v>134</v>
      </c>
      <c r="X334" t="str">
        <f>DataItems3[[#This Row],[Collection]]&amp;DataItems3[[#This Row],[Field]]&amp;DataItems3[[#This Row],[Options for supplying the Field]]&amp;DataItems3[[#This Row],[Fieldname]]&amp;DataItems3[[#This Row],[Parent]]</f>
        <v>StudentLast provider attendedF_ZPREVINST_UKPRN</v>
      </c>
      <c r="Y334" s="15">
        <v>42921</v>
      </c>
      <c r="Z334" t="s">
        <v>139</v>
      </c>
      <c r="AA334" s="28" t="str">
        <f t="shared" si="45"/>
        <v>case when s.dw_fromdate &lt;= 20130801 THEN case when ISNULL(sch.F_ukprn,'-1') = '-1' then 'N/K' else sch.F_ukprn end else CASE WHEN d.F_zprevinst_ukprn = '-1' THEN 'N/K' else d.F_zprevinst_ukprn end end</v>
      </c>
      <c r="AB334" s="28" t="str">
        <f t="shared" si="46"/>
        <v>isnull(prev.ukprn_legalname,'(N/K) Unnown')</v>
      </c>
      <c r="AC334" s="28"/>
      <c r="AD334" s="28"/>
      <c r="AE334" t="str">
        <f t="shared" si="50"/>
        <v>[Last provider attended]</v>
      </c>
    </row>
    <row r="335" spans="1:31" ht="80" x14ac:dyDescent="0.2">
      <c r="A335">
        <v>100274</v>
      </c>
      <c r="B335" s="11" t="str">
        <f>DataItems3[[#This Row],[Field]]&amp;IF(DataItems3[[#This Row],[Options for supplying the Field]]="",""," "&amp;DataItems3[[#This Row],[Options for supplying the Field]])</f>
        <v>Length of contract [Years calculated from start date to either July 31 or end date] (&lt;1/ &lt;2 up to &lt;30/ 30 years and over)</v>
      </c>
      <c r="C335">
        <v>100274</v>
      </c>
      <c r="D335" s="3" t="s">
        <v>100</v>
      </c>
      <c r="F335" s="3" t="s">
        <v>1285</v>
      </c>
      <c r="G335" s="13" t="s">
        <v>1286</v>
      </c>
      <c r="H335" s="14" t="s">
        <v>1287</v>
      </c>
      <c r="J335" s="3">
        <v>10</v>
      </c>
      <c r="K335" s="3">
        <v>3</v>
      </c>
      <c r="L335" s="3">
        <v>1</v>
      </c>
      <c r="M335" s="3">
        <v>0</v>
      </c>
      <c r="N335" s="3" t="s">
        <v>89</v>
      </c>
      <c r="Q335" s="16" t="s">
        <v>1288</v>
      </c>
      <c r="R335" s="3" t="s">
        <v>93</v>
      </c>
      <c r="S335" s="16" t="s">
        <v>1289</v>
      </c>
      <c r="U335" s="3" t="s">
        <v>93</v>
      </c>
      <c r="V335" s="3" t="s">
        <v>93</v>
      </c>
      <c r="W335" s="57" t="s">
        <v>114</v>
      </c>
      <c r="X335" t="str">
        <f>DataItems3[[#This Row],[Collection]]&amp;DataItems3[[#This Row],[Field]]&amp;DataItems3[[#This Row],[Options for supplying the Field]]&amp;DataItems3[[#This Row],[Fieldname]]&amp;DataItems3[[#This Row],[Parent]]</f>
        <v>StaffLength of contract[Years calculated from start date to either July 31 or end date] (&lt;1/ &lt;2 up to &lt;30/ 30 years and over)LEN_CON</v>
      </c>
      <c r="Y335" s="15">
        <v>43860</v>
      </c>
      <c r="Z335" t="s">
        <v>159</v>
      </c>
      <c r="AA335" s="28" t="str">
        <f t="shared" si="45"/>
        <v>CASE WHEN C.F_STARTCON IS NULL  OR C.F_STARTCON='9999-12-31' or c.f_startcon='9999/12' THEN 'U' WHEN FLOOR(DATEDIFF(MONTH, C.F_STARTCON, IIF(C.F_ENDCON IS NULL OR c.f_endcon='9999/12' or C.F_ENDCON='',SUBSTRING(CAST(P.DW_FromDate + 10000 AS VARCHAR), 1, 4) + '-07-31',c.F_ENDCON))) / 12&lt;1 THEN '&lt;1'  WHEN FLOOR(DATEDIFF(MONTH, C.F_STARTCON, IIF(C.F_ENDCON IS NULL OR C.F_ENDCON='',SUBSTRING(CAST(P.DW_FromDate + 10000 AS VARCHAR), 1, 4) + '-07-31',c.F_ENDCON))) / 12&gt;=30 THEN '&gt;=30' ELSE CAST(FLOOR(DATEDIFF(MONTH, C.F_STARTCON, IIF(C.F_ENDCON IS NULL OR C.F_ENDCON='',SUBSTRING(CAST(P.DW_FromDate + 10000 AS VARCHAR), 1, 4) + '-07-31',c.F_ENDCON))) / 12 AS VARCHAR)END</v>
      </c>
      <c r="AB335" s="28" t="str">
        <f t="shared" si="46"/>
        <v>CASE WHEN C.F_STARTCON IS NULL  OR C.F_STARTCON='9999-12-31'  or c.f_startcon='9999/12' THEN 'U' WHEN FLOOR(DATEDIFF(MONTH, C.F_STARTCON, IIF(C.F_ENDCON IS NULL OR c.f_endcon='9999/12' or C.F_ENDCON='',SUBSTRING(CAST(P.DW_FromDate + 10000 AS VARCHAR), 1, 4) + '-07-31',c.F_ENDCON))) / 12&lt;1 THEN '&lt;1'  WHEN FLOOR(DATEDIFF(MONTH, C.F_STARTCON, IIF(C.F_ENDCON IS NULL OR C.F_ENDCON='',SUBSTRING(CAST(P.DW_FromDate + 10000 AS VARCHAR), 1, 4) + '-07-31',c.F_ENDCON))) / 12&gt;=30 THEN '&gt;=30' ELSE CAST(FLOOR(DATEDIFF(MONTH, C.F_STARTCON, IIF(C.F_ENDCON IS NULL OR C.F_ENDCON='',SUBSTRING(CAST(P.DW_FromDate + 10000 AS VARCHAR), 1, 4) + '-07-31',c.F_ENDCON))) / 12 AS VARCHAR)END</v>
      </c>
      <c r="AC335" s="28" t="str">
        <f t="shared" ref="AC335:AC398" si="53">IF(R335="","",R335)</f>
        <v/>
      </c>
      <c r="AD335" s="28" t="str">
        <f t="shared" ref="AD335:AD354" si="54">IF(T335="","",IF(IFERROR(SEARCH("select",T335)&gt;0,0),IF(U335="",IF(MID(T335,SEARCH(H335,T335)-4,1)=" ",MID(T335,SEARCH(H335,T335)-2,LEN(O344)+2),MID(T335,SEARCH(H335,T335)-3,LEN(H335)+3)),U335&amp;"."&amp;H335),T335))</f>
        <v/>
      </c>
      <c r="AE335" t="str">
        <f t="shared" si="50"/>
        <v>[Length of contract]</v>
      </c>
    </row>
    <row r="336" spans="1:31" ht="80" x14ac:dyDescent="0.2">
      <c r="A336">
        <v>100275</v>
      </c>
      <c r="B336" s="11" t="str">
        <f>DataItems3[[#This Row],[Field]]&amp;IF(DataItems3[[#This Row],[Options for supplying the Field]]="",""," "&amp;DataItems3[[#This Row],[Options for supplying the Field]])</f>
        <v>Length of employment [Years calculated from start date to either July 31 or end date] (&lt;1/ &lt;2 up to &lt;30/ 30 years and over)</v>
      </c>
      <c r="C336">
        <v>100275</v>
      </c>
      <c r="D336" s="3" t="s">
        <v>100</v>
      </c>
      <c r="F336" s="3" t="s">
        <v>1290</v>
      </c>
      <c r="G336" s="13" t="s">
        <v>1286</v>
      </c>
      <c r="H336" s="14" t="s">
        <v>1291</v>
      </c>
      <c r="I336" s="3" t="s">
        <v>1292</v>
      </c>
      <c r="J336" s="3">
        <v>10</v>
      </c>
      <c r="K336" s="3">
        <v>3</v>
      </c>
      <c r="L336" s="3">
        <v>2</v>
      </c>
      <c r="M336" s="3">
        <v>0</v>
      </c>
      <c r="N336" s="3" t="s">
        <v>89</v>
      </c>
      <c r="Q336" s="16" t="s">
        <v>1293</v>
      </c>
      <c r="R336" s="3" t="s">
        <v>93</v>
      </c>
      <c r="S336" s="16" t="s">
        <v>1294</v>
      </c>
      <c r="U336" s="3" t="s">
        <v>93</v>
      </c>
      <c r="V336" s="3" t="s">
        <v>93</v>
      </c>
      <c r="W336" s="57" t="s">
        <v>114</v>
      </c>
      <c r="X336" t="str">
        <f>DataItems3[[#This Row],[Collection]]&amp;DataItems3[[#This Row],[Field]]&amp;DataItems3[[#This Row],[Options for supplying the Field]]&amp;DataItems3[[#This Row],[Fieldname]]&amp;DataItems3[[#This Row],[Parent]]</f>
        <v>StaffLength of employment[Years calculated from start date to either July 31 or end date] (&lt;1/ &lt;2 up to &lt;30/ 30 years and over)LEN_EMP</v>
      </c>
      <c r="Y336" s="15">
        <v>43860</v>
      </c>
      <c r="Z336" t="s">
        <v>159</v>
      </c>
      <c r="AA336" s="28" t="str">
        <f t="shared" si="45"/>
        <v>CASE when p.dw_fromdate &gt;= 20200801 then 'N/A' WHEN P.F_DATEFHEI IS NULL OR P.F_DATEFHEI='9999-12-31' THEN 'U' WHEN FLOOR(DATEDIFF(MONTH, P.F_DATEFHEI, IIF(P.F_DATELEFT='9999-12-31', SUBSTRING(CAST(P.DW_FromDate + 10000 AS VARCHAR), 1, 4) + '-07-31', P.F_DATELEFT))) / 12&lt;1 THEN '&lt;1' WHEN FLOOR(DATEDIFF(MONTH, P.F_DATEFHEI, IIF(P.F_DATELEFT='9999-12-31', SUBSTRING(CAST(P.DW_FromDate + 10000 AS VARCHAR), 1, 4) + '-07-31', P.F_DATELEFT))) / 12&gt;=30 THEN '&gt;=30' ELSE CAST(FLOOR(DATEDIFF(MONTH, P.F_DATEFHEI,IIF(P.F_DATELEFT='9999-12-31', SUBSTRING(CAST(P.DW_FromDate + 10000 AS VARCHAR), 1, 4) + '-07-31', P.F_DATELEFT))) / 12 AS VARCHAR)END</v>
      </c>
      <c r="AB336" s="28" t="str">
        <f t="shared" si="46"/>
        <v>CASE when p.dw_fromdate &gt;= 20200801 then 'N/A'  WHEN P.F_DATEFHEI IS NULL OR P.F_DATEFHEI='9999-12-31' THEN 'U' WHEN FLOOR(DATEDIFF(MONTH, P.F_DATEFHEI, IIF(P.F_DATELEFT='9999-12-31', SUBSTRING(CAST(P.DW_FromDate + 10000 AS VARCHAR), 1, 4) + '-07-31', P.F_DATELEFT))) / 12&lt;1 THEN '&lt;1' WHEN FLOOR(DATEDIFF(MONTH, P.F_DATEFHEI, IIF(P.F_DATELEFT='9999-12-31', SUBSTRING(CAST(P.DW_FromDate + 10000 AS VARCHAR), 1, 4) + '-07-31', P.F_DATELEFT))) / 12&gt;=30 THEN '&gt;=30' ELSE CAST(FLOOR(DATEDIFF(MONTH, P.F_DATEFHEI,IIF(P.F_DATELEFT='9999-12-31', SUBSTRING(CAST(P.DW_FromDate + 10000 AS VARCHAR), 1, 4) + '-07-31', P.F_DATELEFT))) / 12 AS VARCHAR)END</v>
      </c>
      <c r="AC336" s="28" t="str">
        <f t="shared" si="53"/>
        <v/>
      </c>
      <c r="AD336" s="28" t="str">
        <f t="shared" si="54"/>
        <v/>
      </c>
      <c r="AE336" t="str">
        <f t="shared" si="50"/>
        <v>[Length of employment]</v>
      </c>
    </row>
    <row r="337" spans="1:31" ht="64" x14ac:dyDescent="0.2">
      <c r="A337">
        <v>100278</v>
      </c>
      <c r="B337" s="11" t="str">
        <f>DataItems3[[#This Row],[Field]]&amp;IF(DataItems3[[#This Row],[Options for supplying the Field]]="",""," "&amp;DataItems3[[#This Row],[Options for supplying the Field]])</f>
        <v>Level of DLHE qualification (Postgraduate (research)/ Postgraduate (taught)/ First degree/ Other undergraduate)</v>
      </c>
      <c r="C337">
        <v>100278</v>
      </c>
      <c r="D337" s="3" t="s">
        <v>146</v>
      </c>
      <c r="F337" s="3" t="s">
        <v>1295</v>
      </c>
      <c r="G337" s="13" t="s">
        <v>1296</v>
      </c>
      <c r="H337" s="14" t="s">
        <v>93</v>
      </c>
      <c r="J337" s="3">
        <v>1</v>
      </c>
      <c r="K337" s="3">
        <v>1</v>
      </c>
      <c r="L337" s="3">
        <v>0</v>
      </c>
      <c r="M337" s="3">
        <v>0</v>
      </c>
      <c r="N337" s="3" t="s">
        <v>1297</v>
      </c>
      <c r="Q337" s="16" t="s">
        <v>93</v>
      </c>
      <c r="R337" s="3" t="s">
        <v>93</v>
      </c>
      <c r="S337" s="16" t="s">
        <v>93</v>
      </c>
      <c r="U337" s="3" t="s">
        <v>93</v>
      </c>
      <c r="V337" s="3" t="s">
        <v>93</v>
      </c>
      <c r="W337" s="57" t="s">
        <v>2926</v>
      </c>
      <c r="X337" t="str">
        <f>DataItems3[[#This Row],[Collection]]&amp;DataItems3[[#This Row],[Field]]&amp;DataItems3[[#This Row],[Options for supplying the Field]]&amp;DataItems3[[#This Row],[Fieldname]]&amp;DataItems3[[#This Row],[Parent]]</f>
        <v>DLHELevel of DLHE qualification(Postgraduate (research)/ Postgraduate (taught)/ First degree/ Other undergraduate)</v>
      </c>
      <c r="Y337" s="15">
        <v>43416</v>
      </c>
      <c r="Z337" t="s">
        <v>95</v>
      </c>
      <c r="AA337" s="28" t="str">
        <f t="shared" si="45"/>
        <v/>
      </c>
      <c r="AB337" s="28" t="str">
        <f t="shared" si="46"/>
        <v/>
      </c>
      <c r="AC337" s="28" t="str">
        <f t="shared" si="53"/>
        <v/>
      </c>
      <c r="AD337" s="28" t="str">
        <f t="shared" si="54"/>
        <v/>
      </c>
      <c r="AE337" t="str">
        <f t="shared" si="50"/>
        <v>[Level of DLHE qualification]</v>
      </c>
    </row>
    <row r="338" spans="1:31" ht="32" x14ac:dyDescent="0.2">
      <c r="A338">
        <v>100279</v>
      </c>
      <c r="B338" s="11" t="str">
        <f>DataItems3[[#This Row],[Field]]&amp;IF(DataItems3[[#This Row],[Options for supplying the Field]]="",""," "&amp;DataItems3[[#This Row],[Options for supplying the Field]])</f>
        <v>Level of DLHE qualification (Postgraduate/ Undergraduate)</v>
      </c>
      <c r="C338">
        <v>100279</v>
      </c>
      <c r="D338" s="3" t="s">
        <v>146</v>
      </c>
      <c r="F338" s="3" t="s">
        <v>1295</v>
      </c>
      <c r="G338" s="13" t="s">
        <v>1298</v>
      </c>
      <c r="H338" s="14" t="s">
        <v>93</v>
      </c>
      <c r="J338" s="3">
        <v>1</v>
      </c>
      <c r="K338" s="3">
        <v>1</v>
      </c>
      <c r="L338" s="3">
        <v>0</v>
      </c>
      <c r="M338" s="3">
        <v>0</v>
      </c>
      <c r="N338" s="3" t="s">
        <v>1299</v>
      </c>
      <c r="Q338" s="16" t="s">
        <v>93</v>
      </c>
      <c r="R338" s="3" t="s">
        <v>93</v>
      </c>
      <c r="S338" s="16" t="s">
        <v>93</v>
      </c>
      <c r="U338" s="3" t="s">
        <v>93</v>
      </c>
      <c r="V338" s="3" t="s">
        <v>93</v>
      </c>
      <c r="W338" s="57" t="s">
        <v>2926</v>
      </c>
      <c r="X338" t="str">
        <f>DataItems3[[#This Row],[Collection]]&amp;DataItems3[[#This Row],[Field]]&amp;DataItems3[[#This Row],[Options for supplying the Field]]&amp;DataItems3[[#This Row],[Fieldname]]&amp;DataItems3[[#This Row],[Parent]]</f>
        <v>DLHELevel of DLHE qualification(Postgraduate/ Undergraduate)</v>
      </c>
      <c r="Y338" s="15">
        <v>43416</v>
      </c>
      <c r="Z338" t="s">
        <v>95</v>
      </c>
      <c r="AA338" s="28" t="str">
        <f t="shared" si="45"/>
        <v/>
      </c>
      <c r="AB338" s="28" t="str">
        <f t="shared" si="46"/>
        <v/>
      </c>
      <c r="AC338" s="28" t="str">
        <f t="shared" si="53"/>
        <v/>
      </c>
      <c r="AD338" s="28" t="str">
        <f t="shared" si="54"/>
        <v/>
      </c>
      <c r="AE338" t="str">
        <f t="shared" si="50"/>
        <v>[Level of DLHE qualification]</v>
      </c>
    </row>
    <row r="339" spans="1:31" ht="96" x14ac:dyDescent="0.2">
      <c r="A339">
        <v>100276</v>
      </c>
      <c r="B339" s="11" t="str">
        <f>DataItems3[[#This Row],[Field]]&amp;IF(DataItems3[[#This Row],[Options for supplying the Field]]="",""," "&amp;DataItems3[[#This Row],[Options for supplying the Field]])</f>
        <v>Level of DLHE qualification (Higher National Diploma (HND)/ Higher National Certificate (HNC)/ Foundation degree/ Other undergraduate)</v>
      </c>
      <c r="C339">
        <v>100276</v>
      </c>
      <c r="D339" s="3" t="s">
        <v>146</v>
      </c>
      <c r="F339" s="3" t="s">
        <v>1295</v>
      </c>
      <c r="G339" s="13" t="s">
        <v>1302</v>
      </c>
      <c r="H339" s="14"/>
      <c r="J339" s="3">
        <v>3</v>
      </c>
      <c r="K339" s="3">
        <v>2</v>
      </c>
      <c r="L339" s="3">
        <v>0</v>
      </c>
      <c r="M339" s="3">
        <v>0</v>
      </c>
      <c r="N339" s="3" t="s">
        <v>89</v>
      </c>
      <c r="P339" s="3" t="s">
        <v>146</v>
      </c>
      <c r="Q339" s="16" t="s">
        <v>93</v>
      </c>
      <c r="R339" s="3" t="s">
        <v>91</v>
      </c>
      <c r="S339" s="16" t="s">
        <v>93</v>
      </c>
      <c r="U339" s="3" t="s">
        <v>93</v>
      </c>
      <c r="V339" s="3" t="s">
        <v>93</v>
      </c>
      <c r="W339" s="57" t="s">
        <v>2926</v>
      </c>
      <c r="X339" t="str">
        <f>DataItems3[[#This Row],[Collection]]&amp;DataItems3[[#This Row],[Field]]&amp;DataItems3[[#This Row],[Options for supplying the Field]]&amp;DataItems3[[#This Row],[Fieldname]]&amp;DataItems3[[#This Row],[Parent]]</f>
        <v>DLHELevel of DLHE qualification(Higher National Diploma (HND)/ Higher National Certificate (HNC)/ Foundation degree/ Other undergraduate)DLHE</v>
      </c>
      <c r="Y339" s="15">
        <v>42919</v>
      </c>
      <c r="Z339" t="s">
        <v>139</v>
      </c>
      <c r="AA339" s="28" t="str">
        <f t="shared" si="45"/>
        <v/>
      </c>
      <c r="AB339" s="28" t="str">
        <f t="shared" si="46"/>
        <v/>
      </c>
      <c r="AC339" s="28" t="str">
        <f t="shared" si="53"/>
        <v xml:space="preserve"> </v>
      </c>
      <c r="AD339" s="28" t="str">
        <f t="shared" si="54"/>
        <v/>
      </c>
      <c r="AE339" t="str">
        <f t="shared" si="50"/>
        <v>[Level of DLHE qualification]</v>
      </c>
    </row>
    <row r="340" spans="1:31" ht="80" x14ac:dyDescent="0.2">
      <c r="A340">
        <v>100277</v>
      </c>
      <c r="B340" s="11" t="str">
        <f>DataItems3[[#This Row],[Field]]&amp;IF(DataItems3[[#This Row],[Options for supplying the Field]]="",""," "&amp;DataItems3[[#This Row],[Options for supplying the Field]])</f>
        <v>Level of DLHE qualification (Postgraduate (research)/ Postgraduate (taught)/ First degree/ Foundation degree/ Other undergraduate)</v>
      </c>
      <c r="C340">
        <v>100277</v>
      </c>
      <c r="D340" s="3" t="s">
        <v>146</v>
      </c>
      <c r="F340" s="3" t="s">
        <v>1295</v>
      </c>
      <c r="G340" s="13" t="s">
        <v>1300</v>
      </c>
      <c r="H340" s="14"/>
      <c r="J340" s="3">
        <v>3</v>
      </c>
      <c r="K340" s="3">
        <v>2</v>
      </c>
      <c r="L340" s="3">
        <v>0</v>
      </c>
      <c r="M340" s="3">
        <v>0</v>
      </c>
      <c r="N340" s="3" t="s">
        <v>89</v>
      </c>
      <c r="P340" s="3" t="s">
        <v>146</v>
      </c>
      <c r="Q340" s="16" t="s">
        <v>93</v>
      </c>
      <c r="R340" s="3" t="s">
        <v>91</v>
      </c>
      <c r="S340" s="16" t="s">
        <v>93</v>
      </c>
      <c r="U340" s="3" t="s">
        <v>93</v>
      </c>
      <c r="V340" s="3" t="s">
        <v>93</v>
      </c>
      <c r="W340" s="57" t="s">
        <v>2926</v>
      </c>
      <c r="X340" t="str">
        <f>DataItems3[[#This Row],[Collection]]&amp;DataItems3[[#This Row],[Field]]&amp;DataItems3[[#This Row],[Options for supplying the Field]]&amp;DataItems3[[#This Row],[Fieldname]]&amp;DataItems3[[#This Row],[Parent]]</f>
        <v>DLHELevel of DLHE qualification(Postgraduate (research)/ Postgraduate (taught)/ First degree/ Foundation degree/ Other undergraduate)DLHE</v>
      </c>
      <c r="Y340" s="15">
        <v>43004</v>
      </c>
      <c r="Z340" t="s">
        <v>1301</v>
      </c>
      <c r="AA340" s="28" t="str">
        <f t="shared" si="45"/>
        <v/>
      </c>
      <c r="AB340" s="28" t="str">
        <f t="shared" si="46"/>
        <v/>
      </c>
      <c r="AC340" s="28" t="str">
        <f t="shared" si="53"/>
        <v xml:space="preserve"> </v>
      </c>
      <c r="AD340" s="28" t="str">
        <f t="shared" si="54"/>
        <v/>
      </c>
      <c r="AE340" t="str">
        <f t="shared" si="50"/>
        <v>[Level of DLHE qualification]</v>
      </c>
    </row>
    <row r="341" spans="1:31" ht="48" x14ac:dyDescent="0.2">
      <c r="A341">
        <v>100651</v>
      </c>
      <c r="B341" s="11" t="str">
        <f>DataItems3[[#This Row],[Field]]&amp;IF(DataItems3[[#This Row],[Options for supplying the Field]]="",""," "&amp;DataItems3[[#This Row],[Options for supplying the Field]])</f>
        <v>Level of Graduate Outcomes qualification (Postgraduate/ First degree/ Other undergraduate)</v>
      </c>
      <c r="C341">
        <v>100651</v>
      </c>
      <c r="D341" s="3" t="s">
        <v>151</v>
      </c>
      <c r="F341" s="3" t="s">
        <v>1303</v>
      </c>
      <c r="G341" s="13" t="s">
        <v>1304</v>
      </c>
      <c r="H341" s="3" t="s">
        <v>1305</v>
      </c>
      <c r="J341" s="3">
        <v>2</v>
      </c>
      <c r="K341" s="3">
        <v>1</v>
      </c>
      <c r="L341" s="3">
        <v>0</v>
      </c>
      <c r="M341" s="3">
        <v>0</v>
      </c>
      <c r="Q341" s="16" t="s">
        <v>1306</v>
      </c>
      <c r="R341" s="3" t="s">
        <v>93</v>
      </c>
      <c r="S341" s="16" t="s">
        <v>1306</v>
      </c>
      <c r="U341" s="3" t="s">
        <v>93</v>
      </c>
      <c r="V341" s="3" t="s">
        <v>93</v>
      </c>
      <c r="W341" s="57" t="s">
        <v>2909</v>
      </c>
      <c r="X341" t="str">
        <f>DataItems3[[#This Row],[Collection]]&amp;DataItems3[[#This Row],[Field]]&amp;DataItems3[[#This Row],[Options for supplying the Field]]&amp;DataItems3[[#This Row],[Fieldname]]&amp;DataItems3[[#This Row],[Parent]]</f>
        <v>Graduate OutcomesLevel of Graduate Outcomes qualification(Postgraduate/ First degree/ Other undergraduate)F_XGLEV301</v>
      </c>
      <c r="Y341" s="4">
        <v>44014</v>
      </c>
      <c r="Z341" t="s">
        <v>139</v>
      </c>
      <c r="AA341" s="28" t="str">
        <f t="shared" si="45"/>
        <v>CASE WHEN ISNULL(g.ZRESPSTATUS, '02')='02' OR ISNULL(g.XACTIVITY, '99')='99' THEN 'Not in GO publication population' WHEN s.F_XGLEV501 = '3' THEN 'First degree'  WHEN s.F_XGLEV301 = '1' THEN 'Postgraduate' WHEN s.F_XGLEV301 = '2' THEN 'Other undergraduate'  ELSE s.F_XGLEV301    END</v>
      </c>
      <c r="AB341" s="28" t="str">
        <f t="shared" si="46"/>
        <v>CASE WHEN ISNULL(g.ZRESPSTATUS, '02')='02' OR ISNULL(g.XACTIVITY, '99')='99' THEN 'Not in GO publication population' WHEN s.F_XGLEV501 = '3' THEN 'First degree'  WHEN s.F_XGLEV301 = '1' THEN 'Postgraduate' WHEN s.F_XGLEV301 = '2' THEN 'Other undergraduate'  ELSE s.F_XGLEV301    END</v>
      </c>
      <c r="AC341" s="28" t="str">
        <f t="shared" si="53"/>
        <v/>
      </c>
      <c r="AD341" s="28" t="str">
        <f t="shared" si="54"/>
        <v/>
      </c>
      <c r="AE341" t="str">
        <f t="shared" si="50"/>
        <v>[Level of Graduate Outcomes qualification]</v>
      </c>
    </row>
    <row r="342" spans="1:31" ht="48" x14ac:dyDescent="0.2">
      <c r="A342">
        <v>100648</v>
      </c>
      <c r="B342" s="11" t="str">
        <f>DataItems3[[#This Row],[Field]]&amp;IF(DataItems3[[#This Row],[Options for supplying the Field]]="",""," "&amp;DataItems3[[#This Row],[Options for supplying the Field]])</f>
        <v>Level of Graduate Outcomes qualification (Postgraduate/ Undergraduate) [XGLEV301]</v>
      </c>
      <c r="C342">
        <v>100648</v>
      </c>
      <c r="D342" s="3" t="s">
        <v>151</v>
      </c>
      <c r="F342" s="3" t="s">
        <v>1303</v>
      </c>
      <c r="G342" s="13" t="s">
        <v>1307</v>
      </c>
      <c r="H342" s="3" t="s">
        <v>1305</v>
      </c>
      <c r="J342" s="3">
        <v>1</v>
      </c>
      <c r="K342" s="3">
        <v>1</v>
      </c>
      <c r="L342" s="3">
        <v>0</v>
      </c>
      <c r="M342" s="3">
        <v>0</v>
      </c>
      <c r="Q342" s="16" t="s">
        <v>1308</v>
      </c>
      <c r="R342" s="3" t="s">
        <v>93</v>
      </c>
      <c r="S342" s="16" t="s">
        <v>1309</v>
      </c>
      <c r="U342" s="3" t="s">
        <v>1310</v>
      </c>
      <c r="V342" s="3" t="s">
        <v>93</v>
      </c>
      <c r="W342" s="57" t="s">
        <v>2909</v>
      </c>
      <c r="X342" t="str">
        <f>DataItems3[[#This Row],[Collection]]&amp;DataItems3[[#This Row],[Field]]&amp;DataItems3[[#This Row],[Options for supplying the Field]]&amp;DataItems3[[#This Row],[Fieldname]]&amp;DataItems3[[#This Row],[Parent]]</f>
        <v>Graduate OutcomesLevel of Graduate Outcomes qualification(Postgraduate/ Undergraduate) [XGLEV301]F_XGLEV301</v>
      </c>
      <c r="Y342" s="4">
        <v>44014</v>
      </c>
      <c r="Z342" t="s">
        <v>139</v>
      </c>
      <c r="AA342" s="28" t="str">
        <f t="shared" si="45"/>
        <v>CASE WHEN ISNULL(g.ZRESPSTATUS, '02')='02' OR ISNULL(g.XACTIVITY, '99')='99' THEN 'Not in GO publication population' else cast(s.F_XGLEV301 as varchar) end</v>
      </c>
      <c r="AB342" s="28" t="str">
        <f t="shared" si="46"/>
        <v>CASE WHEN ISNULL(g.ZRESPSTATUS, '02')='02' OR ISNULL(g.XACTIVITY, '99')='99' THEN 'Not in GO publication population' else XGLEV301.dw_currentlabel end</v>
      </c>
      <c r="AC342" s="28" t="str">
        <f t="shared" si="53"/>
        <v/>
      </c>
      <c r="AD342" s="28" t="str">
        <f t="shared" si="54"/>
        <v/>
      </c>
      <c r="AE342" t="str">
        <f t="shared" si="50"/>
        <v>[Level of Graduate Outcomes qualification]</v>
      </c>
    </row>
    <row r="343" spans="1:31" ht="96" x14ac:dyDescent="0.2">
      <c r="A343">
        <v>100667</v>
      </c>
      <c r="B343" s="11" t="str">
        <f>DataItems3[[#This Row],[Field]]&amp;IF(DataItems3[[#This Row],[Options for supplying the Field]]="",""," "&amp;DataItems3[[#This Row],[Options for supplying the Field]])</f>
        <v>Level of Graduate Outcomes qualification (Doctorate/ Masters/ Other postgraduate (research)/ Other postgraduate (taught)/ First degree/ Other undergraduate)</v>
      </c>
      <c r="C343">
        <v>100667</v>
      </c>
      <c r="D343" s="3" t="s">
        <v>151</v>
      </c>
      <c r="F343" s="3" t="s">
        <v>1303</v>
      </c>
      <c r="G343" s="13" t="s">
        <v>1311</v>
      </c>
      <c r="H343" s="14" t="s">
        <v>1312</v>
      </c>
      <c r="J343" s="3">
        <v>3</v>
      </c>
      <c r="K343" s="3">
        <v>2</v>
      </c>
      <c r="L343" s="3">
        <v>0</v>
      </c>
      <c r="M343" s="3">
        <v>0</v>
      </c>
      <c r="Q343" s="16" t="s">
        <v>1313</v>
      </c>
      <c r="R343" s="3" t="s">
        <v>91</v>
      </c>
      <c r="S343" s="16" t="s">
        <v>1313</v>
      </c>
      <c r="U343" s="3" t="s">
        <v>93</v>
      </c>
      <c r="W343" s="57" t="s">
        <v>2909</v>
      </c>
      <c r="X343" t="str">
        <f>DataItems3[[#This Row],[Collection]]&amp;DataItems3[[#This Row],[Field]]&amp;DataItems3[[#This Row],[Options for supplying the Field]]&amp;DataItems3[[#This Row],[Fieldname]]&amp;DataItems3[[#This Row],[Parent]]</f>
        <v>Graduate OutcomesLevel of Graduate Outcomes qualification(Doctorate/ Masters/ Other postgraduate (research)/ Other postgraduate (taught)/ First degree/ Other undergraduate)F_XGLEV501</v>
      </c>
      <c r="Y343" s="4">
        <v>44021</v>
      </c>
      <c r="Z343" t="s">
        <v>1200</v>
      </c>
      <c r="AA343" s="28" t="str">
        <f t="shared" si="45"/>
        <v>CASE WHEN ISNULL(g.ZRESPSTATUS, '02') = '02' OR ISNULL(g.XACTIVITY, '99') = '99' THEN 'Not in GO publication population' WHEN s.F_XOBTNG01 = 'M22' THEN 'M22 Integrated undergraduate/postgraduate taught masters degree' ELSE 'Other' END</v>
      </c>
      <c r="AB343" s="28" t="str">
        <f t="shared" si="46"/>
        <v>CASE WHEN ISNULL(g.ZRESPSTATUS, '02') = '02' OR ISNULL(g.XACTIVITY, '99') = '99' THEN 'Not in GO publication population' WHEN s.F_XOBTNG01 = 'M22' THEN 'M22 Integrated undergraduate/postgraduate taught masters degree' ELSE 'Other' END</v>
      </c>
      <c r="AC343" s="28" t="str">
        <f t="shared" si="53"/>
        <v xml:space="preserve"> </v>
      </c>
      <c r="AD343" s="28" t="str">
        <f t="shared" si="54"/>
        <v/>
      </c>
      <c r="AE343" t="str">
        <f t="shared" si="50"/>
        <v>[Level of Graduate Outcomes qualification]</v>
      </c>
    </row>
    <row r="344" spans="1:31" ht="64" x14ac:dyDescent="0.2">
      <c r="A344">
        <v>100666</v>
      </c>
      <c r="B344" s="11" t="str">
        <f>DataItems3[[#This Row],[Field]]&amp;IF(DataItems3[[#This Row],[Options for supplying the Field]]="",""," "&amp;DataItems3[[#This Row],[Options for supplying the Field]])</f>
        <v>Level of Graduate Outcomes qualification (Doctorate/ Masters/ Other postgraduate/ First degree/ Other undergraduate)</v>
      </c>
      <c r="C344">
        <v>100666</v>
      </c>
      <c r="D344" s="3" t="s">
        <v>151</v>
      </c>
      <c r="F344" s="3" t="s">
        <v>1303</v>
      </c>
      <c r="G344" s="13" t="s">
        <v>1314</v>
      </c>
      <c r="H344" s="14" t="s">
        <v>1312</v>
      </c>
      <c r="J344" s="3">
        <v>3</v>
      </c>
      <c r="K344" s="3">
        <v>2</v>
      </c>
      <c r="L344" s="3">
        <v>0</v>
      </c>
      <c r="M344" s="3">
        <v>0</v>
      </c>
      <c r="Q344" s="16" t="s">
        <v>1315</v>
      </c>
      <c r="S344" s="16" t="s">
        <v>1316</v>
      </c>
      <c r="U344" s="3" t="s">
        <v>1317</v>
      </c>
      <c r="W344" s="57" t="s">
        <v>2909</v>
      </c>
      <c r="X344" t="str">
        <f>DataItems3[[#This Row],[Collection]]&amp;DataItems3[[#This Row],[Field]]&amp;DataItems3[[#This Row],[Options for supplying the Field]]&amp;DataItems3[[#This Row],[Fieldname]]&amp;DataItems3[[#This Row],[Parent]]</f>
        <v>Graduate OutcomesLevel of Graduate Outcomes qualification(Doctorate/ Masters/ Other postgraduate/ First degree/ Other undergraduate)F_XGLEV501</v>
      </c>
      <c r="Y344" s="4">
        <v>44021</v>
      </c>
      <c r="Z344" t="s">
        <v>1200</v>
      </c>
      <c r="AA344" s="28" t="str">
        <f t="shared" si="45"/>
        <v xml:space="preserve">CASE WHEN s.F_XOBTNG01 in ('E00','D00','D01') then 'Doctorate'     WHEN s.F_XOBTNG01 in ('L00','M00','M01','M02','M10','M11','M16') then 'Masters'  WHEN  s.F_XGLEV501 in ('1','2') then 'Other postgraduate'   ELSE CAST(s.F_XGLEV501 AS VARCHAR) END </v>
      </c>
      <c r="AB344" s="28" t="str">
        <f t="shared" si="46"/>
        <v xml:space="preserve">CASE WHEN s.F_XOBTNG01 in ('E00','D00','D01') then 'Doctorate'     WHEN s.F_XOBTNG01 in ('L00','M00','M01','M02','M10','M11','M16') then 'Masters'  WHEN  s.F_XGLEV501 in ('1','2') then 'Other postgraduate'    ELSE xglev501.dw_currentlabel END </v>
      </c>
      <c r="AC344" s="28" t="str">
        <f t="shared" si="53"/>
        <v/>
      </c>
      <c r="AD344" s="28" t="str">
        <f t="shared" si="54"/>
        <v/>
      </c>
      <c r="AE344" t="str">
        <f t="shared" si="50"/>
        <v>[Level of Graduate Outcomes qualification]</v>
      </c>
    </row>
    <row r="345" spans="1:31" ht="96" x14ac:dyDescent="0.2">
      <c r="A345">
        <v>100665</v>
      </c>
      <c r="B345" s="11" t="str">
        <f>DataItems3[[#This Row],[Field]]&amp;IF(DataItems3[[#This Row],[Options for supplying the Field]]="",""," "&amp;DataItems3[[#This Row],[Options for supplying the Field]])</f>
        <v>Level of Graduate Outcomes qualification (Higher National Diploma (HND)/ Higher National Certificate (HNC)/ Foundation degree/ Other undergraduate)</v>
      </c>
      <c r="C345">
        <v>100665</v>
      </c>
      <c r="D345" s="3" t="s">
        <v>151</v>
      </c>
      <c r="F345" s="3" t="s">
        <v>1303</v>
      </c>
      <c r="G345" s="13" t="s">
        <v>1302</v>
      </c>
      <c r="H345" s="14" t="s">
        <v>1312</v>
      </c>
      <c r="J345" s="3">
        <v>3</v>
      </c>
      <c r="K345" s="3">
        <v>2</v>
      </c>
      <c r="L345" s="3">
        <v>0</v>
      </c>
      <c r="M345" s="3">
        <v>0</v>
      </c>
      <c r="Q345" s="16" t="s">
        <v>1318</v>
      </c>
      <c r="S345" s="16" t="s">
        <v>1319</v>
      </c>
      <c r="U345" s="3" t="s">
        <v>1317</v>
      </c>
      <c r="W345" s="57" t="s">
        <v>2909</v>
      </c>
      <c r="X345" t="str">
        <f>DataItems3[[#This Row],[Collection]]&amp;DataItems3[[#This Row],[Field]]&amp;DataItems3[[#This Row],[Options for supplying the Field]]&amp;DataItems3[[#This Row],[Fieldname]]&amp;DataItems3[[#This Row],[Parent]]</f>
        <v>Graduate OutcomesLevel of Graduate Outcomes qualification(Higher National Diploma (HND)/ Higher National Certificate (HNC)/ Foundation degree/ Other undergraduate)F_XGLEV501</v>
      </c>
      <c r="Y345" s="4">
        <v>44021</v>
      </c>
      <c r="Z345" t="s">
        <v>1200</v>
      </c>
      <c r="AA345" s="28" t="str">
        <f t="shared" si="45"/>
        <v>CASE WHEN ISNULL(g.ZRESPSTATUS, '02') = '02' OR ISNULL(g.XACTIVITY, '99') = '99' THEN 'Not in GO publication population' WHEN s.F_XOBTNG01 IN ('D00', 'D01', 'E00') THEN 'Doctorate' WHEN s.F_XOBTNG01 IN ('L00', 'M00', 'M01', 'M02', 'M10', 'M11', 'M16') THEN 'Masters' WHEN s.F_XGLEV501 = '1' THEN 'Other postgraduate (research)'  WHEN s.F_XGLEV501 = '2' THEN 'Other postgraduate (taught)' ELSE s.F_XGLEV501 END</v>
      </c>
      <c r="AB345" s="28" t="str">
        <f t="shared" si="46"/>
        <v>CASE WHEN ISNULL(g.ZRESPSTATUS, '02') = '02' OR ISNULL(g.XACTIVITY, '99') = '99' THEN 'Not in GO publication population' WHEN s.F_XOBTNG01 IN ('D00', 'D01', 'E00') THEN 'Doctorate' WHEN s.F_XOBTNG01 IN ('L00', 'M00', 'M01', 'M02', 'M10', 'M11', 'M16') THEN 'Masters' WHEN s.F_XGLEV501 = '1' THEN 'Other postgraduate (research)' WHEN s.F_XGLEV501 = '2' THEN 'Other postgraduate (taught)' ELSE xglev501.DW_CurrentLabel END</v>
      </c>
      <c r="AC345" s="28" t="str">
        <f t="shared" si="53"/>
        <v/>
      </c>
      <c r="AD345" s="28" t="str">
        <f t="shared" si="54"/>
        <v/>
      </c>
      <c r="AE345" t="str">
        <f t="shared" si="50"/>
        <v>[Level of Graduate Outcomes qualification]</v>
      </c>
    </row>
    <row r="346" spans="1:31" ht="48" x14ac:dyDescent="0.2">
      <c r="A346">
        <v>100664</v>
      </c>
      <c r="B346" s="11" t="str">
        <f>DataItems3[[#This Row],[Field]]&amp;IF(DataItems3[[#This Row],[Options for supplying the Field]]="",""," "&amp;DataItems3[[#This Row],[Options for supplying the Field]])</f>
        <v>Level of Graduate Outcomes qualification (M16/ Other Masters/ First degree/ Other undergraduate)</v>
      </c>
      <c r="C346">
        <v>100664</v>
      </c>
      <c r="D346" s="3" t="s">
        <v>151</v>
      </c>
      <c r="F346" s="3" t="s">
        <v>1303</v>
      </c>
      <c r="G346" s="13" t="s">
        <v>1320</v>
      </c>
      <c r="H346" s="14" t="s">
        <v>1312</v>
      </c>
      <c r="J346" s="3">
        <v>3</v>
      </c>
      <c r="K346" s="3">
        <v>2</v>
      </c>
      <c r="L346" s="3">
        <v>0</v>
      </c>
      <c r="M346" s="3">
        <v>0</v>
      </c>
      <c r="Q346" s="16" t="s">
        <v>1321</v>
      </c>
      <c r="S346" s="16" t="s">
        <v>1322</v>
      </c>
      <c r="U346" s="3" t="s">
        <v>1317</v>
      </c>
      <c r="W346" s="57" t="s">
        <v>2909</v>
      </c>
      <c r="X346" t="str">
        <f>DataItems3[[#This Row],[Collection]]&amp;DataItems3[[#This Row],[Field]]&amp;DataItems3[[#This Row],[Options for supplying the Field]]&amp;DataItems3[[#This Row],[Fieldname]]&amp;DataItems3[[#This Row],[Parent]]</f>
        <v>Graduate OutcomesLevel of Graduate Outcomes qualification(M16/ Other Masters/ First degree/ Other undergraduate)F_XGLEV501</v>
      </c>
      <c r="Y346" s="4">
        <v>44021</v>
      </c>
      <c r="Z346" t="s">
        <v>1200</v>
      </c>
      <c r="AA346" s="28" t="str">
        <f t="shared" si="45"/>
        <v>CASE WHEN ISNULL(g.ZRESPSTATUS, '02') = '02' OR ISNULL(g.XACTIVITY, '99') = '99' THEN 'Not in GO publication population' WHEN s.F_XOBTNG01 IN ('D00', 'D01', 'E00') THEN 'Doctorate' WHEN s.F_XOBTNG01 IN ('L00', 'M00', 'M01', 'M02', 'M10', 'M11', 'M16') THEN 'Masters' WHEN s.F_XGLEV301 = '1' THEN 'Other postgraduate' ELSE s.F_XGLEV501 END</v>
      </c>
      <c r="AB346" s="28" t="str">
        <f t="shared" si="46"/>
        <v>CASE WHEN ISNULL(g.ZRESPSTATUS, '02') = '02' OR ISNULL(g.XACTIVITY, '99') = '99' THEN 'Not in GO publication population' WHEN s.F_XOBTNG01 IN ('D00', 'D01', 'E00') THEN 'Doctorate' WHEN s.F_XOBTNG01 IN ('L00', 'M00', 'M01', 'M02', 'M10', 'M11', 'M16') THEN 'Masters' WHEN s.F_XGLEV301 = '1' THEN 'Other postgraduate' ELSE xglev501.DW_CurrentLabel END</v>
      </c>
      <c r="AC346" s="28" t="str">
        <f t="shared" si="53"/>
        <v/>
      </c>
      <c r="AD346" s="28" t="str">
        <f t="shared" si="54"/>
        <v/>
      </c>
      <c r="AE346" t="str">
        <f t="shared" si="50"/>
        <v>[Level of Graduate Outcomes qualification]</v>
      </c>
    </row>
    <row r="347" spans="1:31" ht="80" x14ac:dyDescent="0.2">
      <c r="A347">
        <v>100663</v>
      </c>
      <c r="B347" s="11" t="str">
        <f>DataItems3[[#This Row],[Field]]&amp;IF(DataItems3[[#This Row],[Options for supplying the Field]]="",""," "&amp;DataItems3[[#This Row],[Options for supplying the Field]])</f>
        <v>Level of Graduate Outcomes qualification (Masters (research)/ Masters (taught)/ Other postgraduate/ First degree/ Other undergraduate)</v>
      </c>
      <c r="C347">
        <v>100663</v>
      </c>
      <c r="D347" s="3" t="s">
        <v>151</v>
      </c>
      <c r="F347" s="3" t="s">
        <v>1303</v>
      </c>
      <c r="G347" s="13" t="s">
        <v>1323</v>
      </c>
      <c r="H347" s="14" t="s">
        <v>1312</v>
      </c>
      <c r="J347" s="3">
        <v>3</v>
      </c>
      <c r="K347" s="3">
        <v>2</v>
      </c>
      <c r="L347" s="3">
        <v>0</v>
      </c>
      <c r="M347" s="3">
        <v>0</v>
      </c>
      <c r="Q347" s="16" t="s">
        <v>1324</v>
      </c>
      <c r="S347" s="16" t="s">
        <v>1324</v>
      </c>
      <c r="U347" s="3" t="s">
        <v>1325</v>
      </c>
      <c r="W347" s="57" t="s">
        <v>2909</v>
      </c>
      <c r="X347" t="str">
        <f>DataItems3[[#This Row],[Collection]]&amp;DataItems3[[#This Row],[Field]]&amp;DataItems3[[#This Row],[Options for supplying the Field]]&amp;DataItems3[[#This Row],[Fieldname]]&amp;DataItems3[[#This Row],[Parent]]</f>
        <v>Graduate OutcomesLevel of Graduate Outcomes qualification(Masters (research)/ Masters (taught)/ Other postgraduate/ First degree/ Other undergraduate)F_XGLEV501</v>
      </c>
      <c r="Y347" s="4">
        <v>44021</v>
      </c>
      <c r="Z347" t="s">
        <v>1200</v>
      </c>
      <c r="AA347" s="28" t="str">
        <f t="shared" si="45"/>
        <v>CASE WHEN ISNULL(g.ZRESPSTATUS, '02') = '02' OR ISNULL(g.XACTIVITY, '99') = '99' THEN 'Not in GO publication population' WHEN s.F_XGLEV501 = '3' THEN 'First degree' WHEN s.F_XGLEV501 = '4' THEN 'Other undergraduate' WHEN s.F_XOBTNG01 = 'L00' THEN 'Masters research' WHEN s.F_XOBTNG01 IN ('M00', 'M01', 'M02', 'M10', 'M11', 'M16') THEN 'Masters taught' WHEN s.F_XGLEV301 = '1' THEN 'Other postgraduate' ELSE s.F_XGLEV301 END</v>
      </c>
      <c r="AB347" s="28" t="str">
        <f t="shared" si="46"/>
        <v>CASE WHEN ISNULL(g.ZRESPSTATUS, '02') = '02' OR ISNULL(g.XACTIVITY, '99') = '99' THEN 'Not in GO publication population' WHEN s.F_XGLEV501 = '3' THEN 'First degree' WHEN s.F_XGLEV501 = '4' THEN 'Other undergraduate' WHEN s.F_XOBTNG01 = 'L00' THEN 'Masters research' WHEN s.F_XOBTNG01 IN ('M00', 'M01', 'M02', 'M10', 'M11', 'M16') THEN 'Masters taught' WHEN s.F_XGLEV301 = '1' THEN 'Other postgraduate' ELSE s.F_XGLEV301 END</v>
      </c>
      <c r="AC347" s="28" t="str">
        <f t="shared" si="53"/>
        <v/>
      </c>
      <c r="AD347" s="28" t="str">
        <f t="shared" si="54"/>
        <v/>
      </c>
      <c r="AE347" t="str">
        <f t="shared" si="50"/>
        <v>[Level of Graduate Outcomes qualification]</v>
      </c>
    </row>
    <row r="348" spans="1:31" ht="80" x14ac:dyDescent="0.2">
      <c r="A348">
        <v>100662</v>
      </c>
      <c r="B348" s="11" t="str">
        <f>DataItems3[[#This Row],[Field]]&amp;IF(DataItems3[[#This Row],[Options for supplying the Field]]="",""," "&amp;DataItems3[[#This Row],[Options for supplying the Field]])</f>
        <v>Level of Graduate Outcomes qualification (Postgraduate (research)/ Postgraduate (taught)/ First degree/ Foundation degree/ Other undergraduate)</v>
      </c>
      <c r="C348">
        <v>100662</v>
      </c>
      <c r="D348" s="3" t="s">
        <v>151</v>
      </c>
      <c r="F348" s="3" t="s">
        <v>1303</v>
      </c>
      <c r="G348" s="13" t="s">
        <v>1300</v>
      </c>
      <c r="H348" s="14" t="s">
        <v>1312</v>
      </c>
      <c r="J348" s="3">
        <v>3</v>
      </c>
      <c r="K348" s="3">
        <v>2</v>
      </c>
      <c r="L348" s="3">
        <v>0</v>
      </c>
      <c r="M348" s="3">
        <v>0</v>
      </c>
      <c r="Q348" s="16" t="s">
        <v>1326</v>
      </c>
      <c r="S348" s="16" t="s">
        <v>1326</v>
      </c>
      <c r="U348" s="3" t="s">
        <v>1317</v>
      </c>
      <c r="W348" s="57" t="s">
        <v>2909</v>
      </c>
      <c r="X348" t="str">
        <f>DataItems3[[#This Row],[Collection]]&amp;DataItems3[[#This Row],[Field]]&amp;DataItems3[[#This Row],[Options for supplying the Field]]&amp;DataItems3[[#This Row],[Fieldname]]&amp;DataItems3[[#This Row],[Parent]]</f>
        <v>Graduate OutcomesLevel of Graduate Outcomes qualification(Postgraduate (research)/ Postgraduate (taught)/ First degree/ Foundation degree/ Other undergraduate)F_XGLEV501</v>
      </c>
      <c r="Y348" s="4">
        <v>44021</v>
      </c>
      <c r="Z348" t="s">
        <v>1200</v>
      </c>
      <c r="AA348" s="28" t="str">
        <f t="shared" si="45"/>
        <v>CASE WHEN ISNULL(g.ZRESPSTATUS, '02') = '02' OR ISNULL(g.XACTIVITY, '99') = '99' THEN 'Not in GO publication population' WHEN s.F_XGLEV501 = '1' THEN 'Postgraduate research' WHEN s.F_XGLEV501 = '2' THEN 'Postgraduate taught' WHEN s.F_XGLEV501 = '3' THEN 'First degree' WHEN s.F_XOBTNG01 IN ('J10', 'J16') THEN 'Foundation degree' WHEN s.F_XGLEV501 = '4' THEN 'Other undergraduate' ELSE s.F_XGLEV301 END</v>
      </c>
      <c r="AB348" s="28" t="str">
        <f t="shared" si="46"/>
        <v>CASE WHEN ISNULL(g.ZRESPSTATUS, '02') = '02' OR ISNULL(g.XACTIVITY, '99') = '99' THEN 'Not in GO publication population' WHEN s.F_XGLEV501 = '1' THEN 'Postgraduate research' WHEN s.F_XGLEV501 = '2' THEN 'Postgraduate taught' WHEN s.F_XGLEV501 = '3' THEN 'First degree' WHEN s.F_XOBTNG01 IN ('J10', 'J16') THEN 'Foundation degree' WHEN s.F_XGLEV501 = '4' THEN 'Other undergraduate' ELSE s.F_XGLEV301 END</v>
      </c>
      <c r="AC348" s="28" t="str">
        <f t="shared" si="53"/>
        <v/>
      </c>
      <c r="AD348" s="28" t="str">
        <f t="shared" si="54"/>
        <v/>
      </c>
      <c r="AE348" t="str">
        <f t="shared" si="50"/>
        <v>[Level of Graduate Outcomes qualification]</v>
      </c>
    </row>
    <row r="349" spans="1:31" ht="64" x14ac:dyDescent="0.2">
      <c r="A349">
        <v>100661</v>
      </c>
      <c r="B349" s="11" t="str">
        <f>DataItems3[[#This Row],[Field]]&amp;IF(DataItems3[[#This Row],[Options for supplying the Field]]="",""," "&amp;DataItems3[[#This Row],[Options for supplying the Field]])</f>
        <v>Level of Graduate Outcomes qualification (Postgraduate (research)/ Postgraduate (taught)/ First degree/ Other undergraduate)</v>
      </c>
      <c r="C349">
        <v>100661</v>
      </c>
      <c r="D349" s="3" t="s">
        <v>151</v>
      </c>
      <c r="F349" s="3" t="s">
        <v>1303</v>
      </c>
      <c r="G349" s="13" t="s">
        <v>1296</v>
      </c>
      <c r="H349" s="14" t="s">
        <v>1312</v>
      </c>
      <c r="J349" s="3">
        <v>1</v>
      </c>
      <c r="K349" s="3">
        <v>2</v>
      </c>
      <c r="L349" s="3">
        <v>0</v>
      </c>
      <c r="M349" s="3">
        <v>0</v>
      </c>
      <c r="Q349" s="16" t="s">
        <v>1327</v>
      </c>
      <c r="S349" s="16" t="s">
        <v>1328</v>
      </c>
      <c r="T349" s="16"/>
      <c r="U349" s="3" t="s">
        <v>1317</v>
      </c>
      <c r="W349" s="57" t="s">
        <v>2909</v>
      </c>
      <c r="X349" t="str">
        <f>DataItems3[[#This Row],[Collection]]&amp;DataItems3[[#This Row],[Field]]&amp;DataItems3[[#This Row],[Options for supplying the Field]]&amp;DataItems3[[#This Row],[Fieldname]]&amp;DataItems3[[#This Row],[Parent]]</f>
        <v>Graduate OutcomesLevel of Graduate Outcomes qualification(Postgraduate (research)/ Postgraduate (taught)/ First degree/ Other undergraduate)F_XGLEV501</v>
      </c>
      <c r="Y349" s="4">
        <v>44021</v>
      </c>
      <c r="Z349" t="s">
        <v>1200</v>
      </c>
      <c r="AA349" s="28" t="str">
        <f t="shared" si="45"/>
        <v>CASE WHEN ISNULL(g.ZRESPSTATUS, '02')='02' OR ISNULL(g.XACTIVITY, '99')='99' THEN 'Not in GO publication population' else cast(s.f_xglev501 as varchar) end</v>
      </c>
      <c r="AB349" s="28" t="str">
        <f t="shared" si="46"/>
        <v>CASE WHEN ISNULL(g.ZRESPSTATUS, '02')='02' OR ISNULL(g.XACTIVITY, '99')='99' THEN 'Not in GO publication population' else xglev501.dw_currentlabel end</v>
      </c>
      <c r="AC349" s="28" t="str">
        <f t="shared" si="53"/>
        <v/>
      </c>
      <c r="AD349" s="28" t="str">
        <f t="shared" si="54"/>
        <v/>
      </c>
      <c r="AE349" t="str">
        <f t="shared" si="50"/>
        <v>[Level of Graduate Outcomes qualification]</v>
      </c>
    </row>
    <row r="350" spans="1:31" ht="80" x14ac:dyDescent="0.2">
      <c r="A350">
        <v>100649</v>
      </c>
      <c r="B350" s="11" t="str">
        <f>DataItems3[[#This Row],[Field]]&amp;IF(DataItems3[[#This Row],[Options for supplying the Field]]="",""," "&amp;DataItems3[[#This Row],[Options for supplying the Field]])</f>
        <v>Level of Graduate Outcomes qualification (Postgraduate (research)/ Postgraduate (taught)/ First degree/ Other undergraduate) [XGLEV501]</v>
      </c>
      <c r="C350">
        <v>100649</v>
      </c>
      <c r="D350" s="3" t="s">
        <v>151</v>
      </c>
      <c r="F350" s="3" t="s">
        <v>1303</v>
      </c>
      <c r="G350" s="13" t="s">
        <v>1329</v>
      </c>
      <c r="H350" s="3" t="s">
        <v>1312</v>
      </c>
      <c r="J350" s="3">
        <v>1</v>
      </c>
      <c r="K350" s="3">
        <v>2</v>
      </c>
      <c r="L350" s="3">
        <v>0</v>
      </c>
      <c r="M350" s="3">
        <v>0</v>
      </c>
      <c r="Q350" s="16" t="s">
        <v>1327</v>
      </c>
      <c r="R350" s="3" t="s">
        <v>93</v>
      </c>
      <c r="S350" s="16" t="s">
        <v>1330</v>
      </c>
      <c r="U350" s="3" t="s">
        <v>1317</v>
      </c>
      <c r="V350" s="3" t="s">
        <v>93</v>
      </c>
      <c r="W350" s="57" t="s">
        <v>2909</v>
      </c>
      <c r="X350" t="str">
        <f>DataItems3[[#This Row],[Collection]]&amp;DataItems3[[#This Row],[Field]]&amp;DataItems3[[#This Row],[Options for supplying the Field]]&amp;DataItems3[[#This Row],[Fieldname]]&amp;DataItems3[[#This Row],[Parent]]</f>
        <v>Graduate OutcomesLevel of Graduate Outcomes qualification(Postgraduate (research)/ Postgraduate (taught)/ First degree/ Other undergraduate) [XGLEV501]F_XGLEV501</v>
      </c>
      <c r="Y350" s="4">
        <v>44014</v>
      </c>
      <c r="Z350" t="s">
        <v>139</v>
      </c>
      <c r="AA350" s="28" t="str">
        <f t="shared" si="45"/>
        <v>CASE WHEN ISNULL(g.ZRESPSTATUS, '02')='02' OR ISNULL(g.XACTIVITY, '99')='99' THEN 'Not in GO publication population' else cast(s.f_xglev501 as varchar) end</v>
      </c>
      <c r="AB350" s="28" t="str">
        <f t="shared" si="46"/>
        <v>CASE WHEN ISNULL(g.ZRESPSTATUS, '02')='02' OR ISNULL(g.XACTIVITY, '99')='99' THEN 'Not in GO publication population' else xglev501.dw_Currentlabel end</v>
      </c>
      <c r="AC350" s="28" t="str">
        <f t="shared" si="53"/>
        <v/>
      </c>
      <c r="AD350" s="28" t="str">
        <f t="shared" si="54"/>
        <v/>
      </c>
      <c r="AE350" t="str">
        <f t="shared" si="50"/>
        <v>[Level of Graduate Outcomes qualification]</v>
      </c>
    </row>
    <row r="351" spans="1:31" ht="80" x14ac:dyDescent="0.2">
      <c r="A351">
        <v>100660</v>
      </c>
      <c r="B351" s="11" t="str">
        <f>DataItems3[[#This Row],[Field]]&amp;IF(DataItems3[[#This Row],[Options for supplying the Field]]="",""," "&amp;DataItems3[[#This Row],[Options for supplying the Field]])</f>
        <v>Level of Graduate Outcomes qualification (Postgraduate (research)/ Postgraduate (taught)/ First degree/ Other undergraduate/ FE)</v>
      </c>
      <c r="C351">
        <v>100660</v>
      </c>
      <c r="D351" s="3" t="s">
        <v>151</v>
      </c>
      <c r="F351" s="3" t="s">
        <v>1303</v>
      </c>
      <c r="G351" s="13" t="s">
        <v>1331</v>
      </c>
      <c r="H351" s="14" t="s">
        <v>1312</v>
      </c>
      <c r="J351" s="3">
        <v>1</v>
      </c>
      <c r="K351" s="3">
        <v>2</v>
      </c>
      <c r="L351" s="3">
        <v>0</v>
      </c>
      <c r="M351" s="3">
        <v>0</v>
      </c>
      <c r="Q351" s="16" t="s">
        <v>1332</v>
      </c>
      <c r="S351" s="16" t="s">
        <v>1333</v>
      </c>
      <c r="U351" s="3" t="s">
        <v>1317</v>
      </c>
      <c r="W351" s="57" t="s">
        <v>2909</v>
      </c>
      <c r="X351" t="str">
        <f>DataItems3[[#This Row],[Collection]]&amp;DataItems3[[#This Row],[Field]]&amp;DataItems3[[#This Row],[Options for supplying the Field]]&amp;DataItems3[[#This Row],[Fieldname]]&amp;DataItems3[[#This Row],[Parent]]</f>
        <v>Graduate OutcomesLevel of Graduate Outcomes qualification(Postgraduate (research)/ Postgraduate (taught)/ First degree/ Other undergraduate/ FE)F_XGLEV501</v>
      </c>
      <c r="Y351" s="4">
        <v>44021</v>
      </c>
      <c r="Z351" t="s">
        <v>1200</v>
      </c>
      <c r="AA351" s="28" t="str">
        <f t="shared" si="45"/>
        <v>CASE WHEN ISNULL(g.ZRESPSTATUS, '02') = '02' OR ISNULL(g.XACTIVITY, '99') = '99' THEN 'Not in GO publication population' ELSE s.F_XGLEV501 END</v>
      </c>
      <c r="AB351" s="28" t="str">
        <f t="shared" si="46"/>
        <v>CASE WHEN ISNULL(g.ZRESPSTATUS, '02') = '02' OR ISNULL(g.XACTIVITY, '99') = '99' THEN 'Not in GO publication population' ELSE xglev501.DW_CurrentLabel END</v>
      </c>
      <c r="AC351" s="28" t="str">
        <f t="shared" si="53"/>
        <v/>
      </c>
      <c r="AD351" s="28" t="str">
        <f t="shared" si="54"/>
        <v/>
      </c>
      <c r="AE351" t="str">
        <f t="shared" si="50"/>
        <v>[Level of Graduate Outcomes qualification]</v>
      </c>
    </row>
    <row r="352" spans="1:31" ht="96" x14ac:dyDescent="0.2">
      <c r="A352">
        <v>100671</v>
      </c>
      <c r="B352" s="11" t="str">
        <f>DataItems3[[#This Row],[Field]]&amp;IF(DataItems3[[#This Row],[Options for supplying the Field]]="",""," "&amp;DataItems3[[#This Row],[Options for supplying the Field]])</f>
        <v>Level of Graduate Outcomes qualification (Postgraduate (research)/ Postgraduate (taught)/ Other postgraduate/ First degree/ Other undergraduate)</v>
      </c>
      <c r="C352">
        <v>100671</v>
      </c>
      <c r="D352" s="3" t="s">
        <v>151</v>
      </c>
      <c r="F352" s="3" t="s">
        <v>1303</v>
      </c>
      <c r="G352" s="13" t="s">
        <v>1334</v>
      </c>
      <c r="H352" s="14" t="s">
        <v>1312</v>
      </c>
      <c r="J352" s="3">
        <v>1</v>
      </c>
      <c r="K352" s="3">
        <v>2</v>
      </c>
      <c r="L352" s="3">
        <v>0</v>
      </c>
      <c r="M352" s="3">
        <v>0</v>
      </c>
      <c r="Q352" s="16" t="s">
        <v>1332</v>
      </c>
      <c r="S352" s="16" t="s">
        <v>1333</v>
      </c>
      <c r="U352" s="3" t="s">
        <v>1317</v>
      </c>
      <c r="W352" s="57" t="s">
        <v>2909</v>
      </c>
      <c r="X352" t="str">
        <f>DataItems3[[#This Row],[Collection]]&amp;DataItems3[[#This Row],[Field]]&amp;DataItems3[[#This Row],[Options for supplying the Field]]&amp;DataItems3[[#This Row],[Fieldname]]&amp;DataItems3[[#This Row],[Parent]]</f>
        <v>Graduate OutcomesLevel of Graduate Outcomes qualification(Postgraduate (research)/ Postgraduate (taught)/ Other postgraduate/ First degree/ Other undergraduate)F_XGLEV501</v>
      </c>
      <c r="Y352" s="4">
        <v>44021</v>
      </c>
      <c r="Z352" t="s">
        <v>1200</v>
      </c>
      <c r="AA352" s="28" t="str">
        <f t="shared" si="45"/>
        <v>CASE WHEN ISNULL(g.ZRESPSTATUS, '02') = '02' OR ISNULL(g.XACTIVITY, '99') = '99' THEN 'Not in GO publication population' ELSE s.F_XGLEV501 END</v>
      </c>
      <c r="AB352" s="28" t="str">
        <f t="shared" si="46"/>
        <v>CASE WHEN ISNULL(g.ZRESPSTATUS, '02') = '02' OR ISNULL(g.XACTIVITY, '99') = '99' THEN 'Not in GO publication population' ELSE xglev501.DW_CurrentLabel END</v>
      </c>
      <c r="AC352" s="28" t="str">
        <f t="shared" si="53"/>
        <v/>
      </c>
      <c r="AD352" s="28" t="str">
        <f t="shared" si="54"/>
        <v/>
      </c>
      <c r="AE352" t="str">
        <f t="shared" si="50"/>
        <v>[Level of Graduate Outcomes qualification]</v>
      </c>
    </row>
    <row r="353" spans="1:31" ht="96" x14ac:dyDescent="0.2">
      <c r="A353">
        <v>100670</v>
      </c>
      <c r="B353" s="11" t="str">
        <f>DataItems3[[#This Row],[Field]]&amp;IF(DataItems3[[#This Row],[Options for supplying the Field]]="",""," "&amp;DataItems3[[#This Row],[Options for supplying the Field]])</f>
        <v>Level of Graduate Outcomes qualification (Postgraduate (research)/ Postgraduate (taught)/ Postgraduate PGCE/ First degree/ Undergraduate PGCE/ Other undergraduate)</v>
      </c>
      <c r="C353">
        <v>100670</v>
      </c>
      <c r="D353" s="3" t="s">
        <v>151</v>
      </c>
      <c r="F353" s="3" t="s">
        <v>1303</v>
      </c>
      <c r="G353" s="13" t="s">
        <v>1335</v>
      </c>
      <c r="H353" s="14" t="s">
        <v>1312</v>
      </c>
      <c r="J353" s="3">
        <v>3</v>
      </c>
      <c r="K353" s="3">
        <v>2</v>
      </c>
      <c r="L353" s="3">
        <v>0</v>
      </c>
      <c r="M353" s="3">
        <v>0</v>
      </c>
      <c r="Q353" s="16" t="s">
        <v>1336</v>
      </c>
      <c r="S353" s="16" t="s">
        <v>1337</v>
      </c>
      <c r="U353" s="3" t="s">
        <v>1317</v>
      </c>
      <c r="W353" s="57" t="s">
        <v>2909</v>
      </c>
      <c r="X353" t="str">
        <f>DataItems3[[#This Row],[Collection]]&amp;DataItems3[[#This Row],[Field]]&amp;DataItems3[[#This Row],[Options for supplying the Field]]&amp;DataItems3[[#This Row],[Fieldname]]&amp;DataItems3[[#This Row],[Parent]]</f>
        <v>Graduate OutcomesLevel of Graduate Outcomes qualification(Postgraduate (research)/ Postgraduate (taught)/ Postgraduate PGCE/ First degree/ Undergraduate PGCE/ Other undergraduate)F_XGLEV501</v>
      </c>
      <c r="Y353" s="4">
        <v>44021</v>
      </c>
      <c r="Z353" t="s">
        <v>1200</v>
      </c>
      <c r="AA353" s="28" t="str">
        <f t="shared" si="45"/>
        <v>CASE WHEN ISNULL(g.ZRESPSTATUS, '02') = '02' OR ISNULL(g.XACTIVITY, '99') = '99' THEN 'Not in GO publication population' WHEN s.F_XOBTNG01 = 'M71' THEN 'Postgraduate PGCE' WHEN s.F_XOBTNG01 = 'H71' THEN 'Undergraduate PGCE' ELSE s.F_XGLEV501 END</v>
      </c>
      <c r="AB353" s="28" t="str">
        <f t="shared" si="46"/>
        <v>CASE WHEN ISNULL(g.ZRESPSTATUS, '02') = '02' OR ISNULL(g.XACTIVITY, '99') = '99' THEN 'Not in GO publication population' WHEN s.F_XOBTNG01 = 'M71' THEN 'Postgraduate PGCE' WHEN s.F_XOBTNG01 = 'H71' THEN 'Undergraduate PGCE' ELSE xglev501.DW_CurrentLabel END</v>
      </c>
      <c r="AC353" s="28" t="str">
        <f t="shared" si="53"/>
        <v/>
      </c>
      <c r="AD353" s="28" t="str">
        <f t="shared" si="54"/>
        <v/>
      </c>
      <c r="AE353" t="str">
        <f t="shared" si="50"/>
        <v>[Level of Graduate Outcomes qualification]</v>
      </c>
    </row>
    <row r="354" spans="1:31" ht="64" x14ac:dyDescent="0.2">
      <c r="A354">
        <v>100669</v>
      </c>
      <c r="B354" s="11" t="str">
        <f>DataItems3[[#This Row],[Field]]&amp;IF(DataItems3[[#This Row],[Options for supplying the Field]]="",""," "&amp;DataItems3[[#This Row],[Options for supplying the Field]])</f>
        <v>Level of Graduate Outcomes qualification (Postgraduate (research)/ Postgraduate (taught)/ Undergraduate)</v>
      </c>
      <c r="C354">
        <v>100669</v>
      </c>
      <c r="D354" s="3" t="s">
        <v>151</v>
      </c>
      <c r="F354" s="3" t="s">
        <v>1303</v>
      </c>
      <c r="G354" s="13" t="s">
        <v>1338</v>
      </c>
      <c r="H354" s="14" t="s">
        <v>1312</v>
      </c>
      <c r="J354" s="3">
        <v>2</v>
      </c>
      <c r="K354" s="3">
        <v>2</v>
      </c>
      <c r="L354" s="3">
        <v>0</v>
      </c>
      <c r="M354" s="3">
        <v>0</v>
      </c>
      <c r="Q354" s="16" t="s">
        <v>1339</v>
      </c>
      <c r="S354" s="16" t="s">
        <v>1340</v>
      </c>
      <c r="U354" s="3" t="s">
        <v>1317</v>
      </c>
      <c r="W354" s="57" t="s">
        <v>2909</v>
      </c>
      <c r="X354" t="str">
        <f>DataItems3[[#This Row],[Collection]]&amp;DataItems3[[#This Row],[Field]]&amp;DataItems3[[#This Row],[Options for supplying the Field]]&amp;DataItems3[[#This Row],[Fieldname]]&amp;DataItems3[[#This Row],[Parent]]</f>
        <v>Graduate OutcomesLevel of Graduate Outcomes qualification(Postgraduate (research)/ Postgraduate (taught)/ Undergraduate)F_XGLEV501</v>
      </c>
      <c r="Y354" s="4">
        <v>44021</v>
      </c>
      <c r="Z354" t="s">
        <v>1200</v>
      </c>
      <c r="AA354" s="28" t="str">
        <f t="shared" ref="AA354:AA417" si="55">IF(Q354="","",Q354)</f>
        <v>CASE WHEN ISNULL(g.ZRESPSTATUS, '02') = '02' OR ISNULL(g.XACTIVITY, '99') = '99' THEN 'Not in GO publication population' WHEN s.F_XGLEV301 = '2' THEN 'Undergraduate' ELSE s.F_XGLEV501 END</v>
      </c>
      <c r="AB354" s="28" t="str">
        <f t="shared" ref="AB354" si="56">IF(S354="","",IF(IFERROR(SEARCH("select",S354)&gt;0,0),IF(U354="",IF(MID(S354,SEARCH(H354,S354)-4,1)=" ",MID(S354,SEARCH(H354,S354)-2,LEN(O363)+2),MID(S354,SEARCH(H354,S354)-3,LEN(H354)+3)),U354&amp;"."&amp;H354),S354))</f>
        <v>CASE WHEN ISNULL(g.ZRESPSTATUS, '02') = '02' OR ISNULL(g.XACTIVITY, '99') = '99' THEN 'Not in GO publication population' WHEN s.F_XGLEV301 = '2' THEN 'Undergraduate' ELSE xglev501.DW_CurrentLabel END</v>
      </c>
      <c r="AC354" s="28" t="str">
        <f t="shared" si="53"/>
        <v/>
      </c>
      <c r="AD354" s="28" t="str">
        <f t="shared" si="54"/>
        <v/>
      </c>
      <c r="AE354" t="str">
        <f t="shared" si="50"/>
        <v>[Level of Graduate Outcomes qualification]</v>
      </c>
    </row>
    <row r="355" spans="1:31" ht="80" x14ac:dyDescent="0.2">
      <c r="A355">
        <v>100659</v>
      </c>
      <c r="B355" s="11" t="str">
        <f>DataItems3[[#This Row],[Field]]&amp;IF(DataItems3[[#This Row],[Options for supplying the Field]]="",""," "&amp;DataItems3[[#This Row],[Options for supplying the Field]])</f>
        <v>Level of Graduate Outcomes qualification (Postgraduate taught/ Other postgraduate/ First degree/ HND/ Foundation degree/ Other undergraduate)</v>
      </c>
      <c r="C355">
        <v>100659</v>
      </c>
      <c r="D355" s="3" t="s">
        <v>151</v>
      </c>
      <c r="F355" s="3" t="s">
        <v>1303</v>
      </c>
      <c r="G355" s="13" t="s">
        <v>1341</v>
      </c>
      <c r="H355" s="14" t="s">
        <v>1312</v>
      </c>
      <c r="J355" s="3">
        <v>3</v>
      </c>
      <c r="K355" s="3">
        <v>2</v>
      </c>
      <c r="L355" s="3">
        <v>0</v>
      </c>
      <c r="M355" s="3">
        <v>0</v>
      </c>
      <c r="Q355" s="16" t="s">
        <v>1342</v>
      </c>
      <c r="S355" s="16" t="s">
        <v>1343</v>
      </c>
      <c r="U355" s="3" t="s">
        <v>1317</v>
      </c>
      <c r="W355" s="57" t="s">
        <v>2909</v>
      </c>
      <c r="X355" t="str">
        <f>DataItems3[[#This Row],[Collection]]&amp;DataItems3[[#This Row],[Field]]&amp;DataItems3[[#This Row],[Options for supplying the Field]]&amp;DataItems3[[#This Row],[Fieldname]]&amp;DataItems3[[#This Row],[Parent]]</f>
        <v>Graduate OutcomesLevel of Graduate Outcomes qualification(Postgraduate taught/ Other postgraduate/ First degree/ HND/ Foundation degree/ Other undergraduate)F_XGLEV501</v>
      </c>
      <c r="Y355" s="4">
        <v>44021</v>
      </c>
      <c r="Z355" t="s">
        <v>1200</v>
      </c>
      <c r="AA355" s="28" t="str">
        <f t="shared" si="55"/>
        <v>CASE WHEN ISNULL(g.ZRESPSTATUS, '02') = '02' OR ISNULL(g.XACTIVITY, '99') = '99' THEN 'Not in GO publication population' WHEN s.F_XGLEV501 = '2' THEN 'Postgraduate taught' WHEN s.F_XGLEV301 = '1' THEN 'Other postgraduate' WHEN s.F_XOBTNG01 = 'J30' THEN 'Higher National Diploma (HND)' WHEN s.F_XOBTNG01 IN ('J10', 'J16') THEN 'Foundation degree' ELSE s.F_XGLEV501 END</v>
      </c>
      <c r="AB355" s="28" t="str">
        <f>IF(S355="","",IF(IFERROR(SEARCH("select",S355)&gt;0,0),IF(U355="",IF(MID(S355,SEARCH(H355,S355)-4,1)=" ",MID(S355,SEARCH(H355,S355)-2,LEN(#REF!)+2),MID(S355,SEARCH(H355,S355)-3,LEN(H355)+3)),U355&amp;"."&amp;H355),S355))</f>
        <v>CASE WHEN ISNULL(g.ZRESPSTATUS, '02') = '02' OR ISNULL(g.XACTIVITY, '99') = '99' THEN 'Not in GO publication population' WHEN s.F_XGLEV501 = '2' THEN 'Postgraduate taught' WHEN s.F_XGLEV301 = '1' THEN 'Other postgraduate' WHEN s.F_XOBTNG01 = 'J30' THEN 'Higher National Diploma (HND)' WHEN s.F_XOBTNG01 IN ('J10', 'J16') THEN 'Foundation degree' ELSE xglev501.DW_CurrentLabel END</v>
      </c>
      <c r="AC355" s="28" t="str">
        <f t="shared" si="53"/>
        <v/>
      </c>
      <c r="AD355" s="28" t="str">
        <f>IF(T355="","",IF(IFERROR(SEARCH("select",T355)&gt;0,0),IF(U355="",IF(MID(T355,SEARCH(H355,T355)-4,1)=" ",MID(T355,SEARCH(H355,T355)-2,LEN(#REF!)+2),MID(T355,SEARCH(H355,T355)-3,LEN(H355)+3)),U355&amp;"."&amp;H355),T355))</f>
        <v/>
      </c>
      <c r="AE355" t="str">
        <f t="shared" si="50"/>
        <v>[Level of Graduate Outcomes qualification]</v>
      </c>
    </row>
    <row r="356" spans="1:31" ht="64" x14ac:dyDescent="0.2">
      <c r="A356">
        <v>100654</v>
      </c>
      <c r="B356" s="11" t="str">
        <f>DataItems3[[#This Row],[Field]]&amp;IF(DataItems3[[#This Row],[Options for supplying the Field]]="",""," "&amp;DataItems3[[#This Row],[Options for supplying the Field]])</f>
        <v>Level of Graduate Outcomes qualification ([M22 Integrated undergraduate/postgraduate taught masters degree]/ Other)</v>
      </c>
      <c r="C356">
        <v>100654</v>
      </c>
      <c r="D356" s="3" t="s">
        <v>151</v>
      </c>
      <c r="F356" s="3" t="s">
        <v>1303</v>
      </c>
      <c r="G356" s="13" t="s">
        <v>1344</v>
      </c>
      <c r="H356" s="14" t="s">
        <v>1097</v>
      </c>
      <c r="J356" s="3">
        <v>3</v>
      </c>
      <c r="K356" s="3">
        <v>1</v>
      </c>
      <c r="L356" s="3">
        <v>1</v>
      </c>
      <c r="M356" s="3">
        <v>0</v>
      </c>
      <c r="Q356" s="16" t="s">
        <v>1313</v>
      </c>
      <c r="R356" s="3" t="s">
        <v>91</v>
      </c>
      <c r="S356" s="16" t="s">
        <v>1313</v>
      </c>
      <c r="U356" s="3" t="s">
        <v>93</v>
      </c>
      <c r="V356" s="3" t="s">
        <v>93</v>
      </c>
      <c r="W356" s="57" t="s">
        <v>2909</v>
      </c>
      <c r="X356" t="str">
        <f>DataItems3[[#This Row],[Collection]]&amp;DataItems3[[#This Row],[Field]]&amp;DataItems3[[#This Row],[Options for supplying the Field]]&amp;DataItems3[[#This Row],[Fieldname]]&amp;DataItems3[[#This Row],[Parent]]</f>
        <v>Graduate OutcomesLevel of Graduate Outcomes qualification([M22 Integrated undergraduate/postgraduate taught masters degree]/ Other)F_XOBTNG01</v>
      </c>
      <c r="Y356" s="4">
        <v>44014</v>
      </c>
      <c r="Z356" t="s">
        <v>139</v>
      </c>
      <c r="AA356" s="28" t="str">
        <f t="shared" si="55"/>
        <v>CASE WHEN ISNULL(g.ZRESPSTATUS, '02') = '02' OR ISNULL(g.XACTIVITY, '99') = '99' THEN 'Not in GO publication population' WHEN s.F_XOBTNG01 = 'M22' THEN 'M22 Integrated undergraduate/postgraduate taught masters degree' ELSE 'Other' END</v>
      </c>
      <c r="AB356" s="28" t="str">
        <f t="shared" ref="AB356:AB363" si="57">IF(S356="","",IF(IFERROR(SEARCH("select",S356)&gt;0,0),IF(U356="",IF(MID(S356,SEARCH(H356,S356)-4,1)=" ",MID(S356,SEARCH(H356,S356)-2,LEN(O364)+2),MID(S356,SEARCH(H356,S356)-3,LEN(H356)+3)),U356&amp;"."&amp;H356),S356))</f>
        <v>CASE WHEN ISNULL(g.ZRESPSTATUS, '02') = '02' OR ISNULL(g.XACTIVITY, '99') = '99' THEN 'Not in GO publication population' WHEN s.F_XOBTNG01 = 'M22' THEN 'M22 Integrated undergraduate/postgraduate taught masters degree' ELSE 'Other' END</v>
      </c>
      <c r="AC356" s="28" t="str">
        <f t="shared" si="53"/>
        <v xml:space="preserve"> </v>
      </c>
      <c r="AD356" s="28" t="str">
        <f t="shared" ref="AD356:AD363" si="58">IF(T356="","",IF(IFERROR(SEARCH("select",T356)&gt;0,0),IF(U356="",IF(MID(T356,SEARCH(H356,T356)-4,1)=" ",MID(T356,SEARCH(H356,T356)-2,LEN(O364)+2),MID(T356,SEARCH(H356,T356)-3,LEN(H356)+3)),U356&amp;"."&amp;H356),T356))</f>
        <v/>
      </c>
      <c r="AE356" t="str">
        <f t="shared" si="50"/>
        <v>[Level of Graduate Outcomes qualification]</v>
      </c>
    </row>
    <row r="357" spans="1:31" ht="128" x14ac:dyDescent="0.2">
      <c r="A357">
        <v>100817</v>
      </c>
      <c r="B357" s="11" t="str">
        <f>DataItems3[[#This Row],[Field]]&amp;IF(DataItems3[[#This Row],[Options for supplying the Field]]="",""," "&amp;DataItems3[[#This Row],[Options for supplying the Field]])</f>
        <v>Level of Graduate Outcomes qualification (Doctorate (research)/ Doctorate (taught) / Masters (research)/ Masters (taught)/ Other postgraduate (research)/ Other postgraduate (taught)/ First degree/ Other undergraduate)</v>
      </c>
      <c r="C357">
        <v>100817</v>
      </c>
      <c r="D357" s="3" t="s">
        <v>151</v>
      </c>
      <c r="F357" s="3" t="s">
        <v>1303</v>
      </c>
      <c r="G357" s="13" t="s">
        <v>1345</v>
      </c>
      <c r="H357" s="14" t="s">
        <v>1097</v>
      </c>
      <c r="J357" s="3">
        <v>2</v>
      </c>
      <c r="K357" s="3">
        <v>2</v>
      </c>
      <c r="L357" s="3">
        <v>0</v>
      </c>
      <c r="M357" s="3">
        <v>0</v>
      </c>
      <c r="N357" s="3" t="s">
        <v>89</v>
      </c>
      <c r="Q357" s="16" t="s">
        <v>1346</v>
      </c>
      <c r="S357" s="16" t="s">
        <v>1347</v>
      </c>
      <c r="U357" s="3" t="s">
        <v>1317</v>
      </c>
      <c r="W357" s="57" t="s">
        <v>2909</v>
      </c>
      <c r="X357" t="str">
        <f>DataItems3[[#This Row],[Collection]]&amp;DataItems3[[#This Row],[Field]]&amp;DataItems3[[#This Row],[Options for supplying the Field]]&amp;DataItems3[[#This Row],[Fieldname]]&amp;DataItems3[[#This Row],[Parent]]</f>
        <v>Graduate OutcomesLevel of Graduate Outcomes qualification(Doctorate (research)/ Doctorate (taught) / Masters (research)/ Masters (taught)/ Other postgraduate (research)/ Other postgraduate (taught)/ First degree/ Other undergraduate)F_XOBTNG01</v>
      </c>
      <c r="Y357" s="4">
        <v>44364</v>
      </c>
      <c r="Z357" t="s">
        <v>135</v>
      </c>
      <c r="AA357" s="28" t="str">
        <f t="shared" si="55"/>
        <v xml:space="preserve">CASE WHEN s.F_XOBTNG01 in ('E00') then 'Doctorate (Taught)'     WHEN s.F_XOBTNG01 in ('D00','D01') then 'Doctorate (Research)'     WHEN s.F_XOBTNG01 in ('L00') then 'Masters (Research)'     WHEN s.F_XOBTNG01 in ('M00','M01','M02','M10','M11','M16') then 'Masters (Taught)'     ELSE CAST(s.F_XGLEV501 AS VARCHAR) END </v>
      </c>
      <c r="AB357" s="28" t="str">
        <f t="shared" si="57"/>
        <v xml:space="preserve">CASE WHEN s.F_XOBTNG01 in ('E00') then 'Doctorate (Taught)'     WHEN s.F_XOBTNG01 in ('D00','D01') then 'Doctorate (Research)'     WHEN s.F_XOBTNG01 in ('L00') then 'Masters (Research)'     WHEN s.F_XOBTNG01 in ('M00','M01','M02','M10','M11','M16') then 'Masters (Taught)'     ELSE xglev501.dw_currentlabel END </v>
      </c>
      <c r="AC357" s="28" t="str">
        <f t="shared" si="53"/>
        <v/>
      </c>
      <c r="AD357" s="28" t="str">
        <f t="shared" si="58"/>
        <v/>
      </c>
      <c r="AE357" t="str">
        <f t="shared" si="50"/>
        <v>[Level of Graduate Outcomes qualification]</v>
      </c>
    </row>
    <row r="358" spans="1:31" ht="16" x14ac:dyDescent="0.2">
      <c r="A358">
        <v>100295</v>
      </c>
      <c r="B358" s="11" t="str">
        <f>DataItems3[[#This Row],[Field]]&amp;IF(DataItems3[[#This Row],[Options for supplying the Field]]="",""," "&amp;DataItems3[[#This Row],[Options for supplying the Field]])</f>
        <v>Level of provision (Full)</v>
      </c>
      <c r="C358">
        <v>100295</v>
      </c>
      <c r="D358" s="3" t="s">
        <v>562</v>
      </c>
      <c r="F358" s="3" t="s">
        <v>1348</v>
      </c>
      <c r="G358" s="13" t="s">
        <v>277</v>
      </c>
      <c r="H358" s="14" t="s">
        <v>1349</v>
      </c>
      <c r="J358" s="3">
        <v>1</v>
      </c>
      <c r="K358" s="3">
        <v>3</v>
      </c>
      <c r="L358" s="3">
        <v>0</v>
      </c>
      <c r="M358" s="3">
        <v>0</v>
      </c>
      <c r="Q358" s="16" t="s">
        <v>1350</v>
      </c>
      <c r="R358" s="3" t="s">
        <v>93</v>
      </c>
      <c r="S358" s="16" t="s">
        <v>1351</v>
      </c>
      <c r="U358" s="3" t="s">
        <v>567</v>
      </c>
      <c r="V358" s="3" t="s">
        <v>93</v>
      </c>
      <c r="W358" s="57" t="s">
        <v>109</v>
      </c>
      <c r="X358" t="str">
        <f>DataItems3[[#This Row],[Collection]]&amp;DataItems3[[#This Row],[Field]]&amp;DataItems3[[#This Row],[Options for supplying the Field]]&amp;DataItems3[[#This Row],[Fieldname]]&amp;DataItems3[[#This Row],[Parent]]</f>
        <v>AORLevel of provision(Full)F_LEVEL</v>
      </c>
      <c r="Y358" s="15">
        <v>43684</v>
      </c>
      <c r="Z358" t="s">
        <v>95</v>
      </c>
      <c r="AA358" s="28" t="str">
        <f t="shared" si="55"/>
        <v>a.F_LEVEL</v>
      </c>
      <c r="AB358" s="28" t="str">
        <f t="shared" si="57"/>
        <v>a.F_LEVEL</v>
      </c>
      <c r="AC358" s="28" t="str">
        <f t="shared" si="53"/>
        <v/>
      </c>
      <c r="AD358" s="28" t="str">
        <f t="shared" si="58"/>
        <v/>
      </c>
      <c r="AE358" t="str">
        <f t="shared" si="50"/>
        <v>[Level of provision]</v>
      </c>
    </row>
    <row r="359" spans="1:31" ht="64" x14ac:dyDescent="0.2">
      <c r="A359">
        <v>100292</v>
      </c>
      <c r="B359" s="11" t="str">
        <f>DataItems3[[#This Row],[Field]]&amp;IF(DataItems3[[#This Row],[Options for supplying the Field]]="",""," "&amp;DataItems3[[#This Row],[Options for supplying the Field]])</f>
        <v>Level of provision (Postgraduate/ First degree/ Other undergraduate/ Further education)</v>
      </c>
      <c r="C359">
        <v>100292</v>
      </c>
      <c r="D359" s="3" t="s">
        <v>562</v>
      </c>
      <c r="F359" s="3" t="s">
        <v>1348</v>
      </c>
      <c r="G359" s="13" t="s">
        <v>1352</v>
      </c>
      <c r="H359" s="14" t="s">
        <v>1353</v>
      </c>
      <c r="J359" s="3">
        <v>1</v>
      </c>
      <c r="K359" s="3">
        <v>2</v>
      </c>
      <c r="L359" s="3">
        <v>0</v>
      </c>
      <c r="M359" s="3">
        <v>0</v>
      </c>
      <c r="N359" s="3" t="s">
        <v>89</v>
      </c>
      <c r="Q359" s="16" t="s">
        <v>1354</v>
      </c>
      <c r="R359" s="3" t="s">
        <v>93</v>
      </c>
      <c r="S359" s="16" t="s">
        <v>3081</v>
      </c>
      <c r="U359" s="3" t="s">
        <v>567</v>
      </c>
      <c r="V359" s="3" t="s">
        <v>93</v>
      </c>
      <c r="W359" s="57" t="s">
        <v>109</v>
      </c>
      <c r="X359" t="str">
        <f>DataItems3[[#This Row],[Collection]]&amp;DataItems3[[#This Row],[Field]]&amp;DataItems3[[#This Row],[Options for supplying the Field]]&amp;DataItems3[[#This Row],[Fieldname]]&amp;DataItems3[[#This Row],[Parent]]</f>
        <v>AORLevel of provision(Postgraduate/ First degree/ Other undergraduate/ Further education)F_XLEVAG01</v>
      </c>
      <c r="Y359" s="15"/>
      <c r="AA359" s="28" t="str">
        <f t="shared" si="55"/>
        <v>a.F_XLEVAG01</v>
      </c>
      <c r="AB359" s="28" t="str">
        <f t="shared" si="57"/>
        <v>CASE WHEN a.F_LEVEL IN ('D','L') THEN 'Postgraduate (research)' WHEN a.F_LEVEL IN ('E','M') THEN 'Postgraduate (taught)' WHEN a.F_LEVEL IN ('H', 'I') THEN 'First degree' WHEN a.F_LEVEL IN ('J', 'C') THEN 'Other undergraduate' WHEN a.F_LEVEL = 'F' THEN 'Further education' ELSE a.F_LEVEL END</v>
      </c>
      <c r="AC359" s="28" t="str">
        <f t="shared" si="53"/>
        <v/>
      </c>
      <c r="AD359" s="28" t="str">
        <f t="shared" si="58"/>
        <v/>
      </c>
      <c r="AE359" t="str">
        <f t="shared" si="50"/>
        <v>[Level of provision]</v>
      </c>
    </row>
    <row r="360" spans="1:31" ht="16" x14ac:dyDescent="0.2">
      <c r="A360">
        <v>100800</v>
      </c>
      <c r="B360" s="11" t="str">
        <f>DataItems3[[#This Row],[Field]]&amp;IF(DataItems3[[#This Row],[Options for supplying the Field]]="",""," "&amp;DataItems3[[#This Row],[Options for supplying the Field]])</f>
        <v>Level of qualification (10 Way)</v>
      </c>
      <c r="C360">
        <v>100800</v>
      </c>
      <c r="D360" s="3" t="s">
        <v>86</v>
      </c>
      <c r="E360" s="3" t="s">
        <v>106</v>
      </c>
      <c r="F360" s="3" t="s">
        <v>1355</v>
      </c>
      <c r="G360" s="13" t="s">
        <v>1356</v>
      </c>
      <c r="H360" s="14" t="s">
        <v>1357</v>
      </c>
      <c r="J360" s="3">
        <v>1</v>
      </c>
      <c r="K360" s="3">
        <v>3</v>
      </c>
      <c r="L360" s="3">
        <v>0</v>
      </c>
      <c r="M360" s="3">
        <v>0</v>
      </c>
      <c r="N360" s="3" t="s">
        <v>89</v>
      </c>
      <c r="P360" s="3" t="s">
        <v>280</v>
      </c>
      <c r="Q360" s="16" t="s">
        <v>1358</v>
      </c>
      <c r="R360" s="3" t="s">
        <v>1358</v>
      </c>
      <c r="S360" s="16" t="s">
        <v>1359</v>
      </c>
      <c r="T360" s="3" t="s">
        <v>1359</v>
      </c>
      <c r="W360" s="57" t="s">
        <v>114</v>
      </c>
      <c r="X360" t="str">
        <f>DataItems3[[#This Row],[Collection]]&amp;DataItems3[[#This Row],[Field]]&amp;DataItems3[[#This Row],[Options for supplying the Field]]&amp;DataItems3[[#This Row],[Fieldname]]&amp;DataItems3[[#This Row],[Parent]]</f>
        <v>StudentLevel of qualification(10 Way)F_XQLEV1003Qualifiers</v>
      </c>
      <c r="Y360" s="4">
        <v>44286</v>
      </c>
      <c r="Z360" t="s">
        <v>1126</v>
      </c>
      <c r="AA360" s="28" t="str">
        <f t="shared" si="55"/>
        <v>cast(s.F_XQLEV1003 as varchar)</v>
      </c>
      <c r="AB360" s="28" t="str">
        <f t="shared" si="57"/>
        <v xml:space="preserve"> s.f_XQLEV1003</v>
      </c>
      <c r="AC360" s="28" t="str">
        <f t="shared" si="53"/>
        <v>cast(s.F_XQLEV1003 as varchar)</v>
      </c>
      <c r="AD360" s="28" t="str">
        <f t="shared" si="58"/>
        <v xml:space="preserve"> s.f_XQLEV1003</v>
      </c>
      <c r="AE360" t="str">
        <f t="shared" si="50"/>
        <v>[Level of qualification]</v>
      </c>
    </row>
    <row r="361" spans="1:31" ht="32" x14ac:dyDescent="0.2">
      <c r="A361">
        <v>100291</v>
      </c>
      <c r="B361" s="11" t="str">
        <f>DataItems3[[#This Row],[Field]]&amp;IF(DataItems3[[#This Row],[Options for supplying the Field]]="",""," "&amp;DataItems3[[#This Row],[Options for supplying the Field]])</f>
        <v>Level of qualification (Postgraduate/ Undergraduate)</v>
      </c>
      <c r="C361">
        <v>100291</v>
      </c>
      <c r="D361" s="3" t="s">
        <v>86</v>
      </c>
      <c r="E361" s="3" t="s">
        <v>106</v>
      </c>
      <c r="F361" s="3" t="s">
        <v>1355</v>
      </c>
      <c r="G361" s="13" t="s">
        <v>1298</v>
      </c>
      <c r="H361" s="14" t="s">
        <v>1360</v>
      </c>
      <c r="J361" s="3">
        <v>1</v>
      </c>
      <c r="K361" s="3">
        <v>1</v>
      </c>
      <c r="L361" s="3">
        <v>0</v>
      </c>
      <c r="M361" s="3">
        <v>0</v>
      </c>
      <c r="N361" s="3" t="s">
        <v>89</v>
      </c>
      <c r="P361" s="3" t="s">
        <v>280</v>
      </c>
      <c r="Q361" s="16" t="s">
        <v>1361</v>
      </c>
      <c r="R361" s="3" t="s">
        <v>1361</v>
      </c>
      <c r="S361" s="16" t="s">
        <v>1362</v>
      </c>
      <c r="T361" s="3" t="s">
        <v>1362</v>
      </c>
      <c r="U361" s="3" t="s">
        <v>93</v>
      </c>
      <c r="V361" s="3" t="s">
        <v>93</v>
      </c>
      <c r="W361" s="57" t="s">
        <v>114</v>
      </c>
      <c r="X361" t="str">
        <f>DataItems3[[#This Row],[Collection]]&amp;DataItems3[[#This Row],[Field]]&amp;DataItems3[[#This Row],[Options for supplying the Field]]&amp;DataItems3[[#This Row],[Fieldname]]&amp;DataItems3[[#This Row],[Parent]]</f>
        <v>StudentLevel of qualification(Postgraduate/ Undergraduate)F_XQLEV301Qualifiers</v>
      </c>
      <c r="Y361" s="15"/>
      <c r="AA361" s="28" t="str">
        <f t="shared" si="55"/>
        <v>cast(s.F_XQLEV301 as varchar)</v>
      </c>
      <c r="AB361" s="28" t="str">
        <f t="shared" si="57"/>
        <v xml:space="preserve"> s.F_XQLEV301</v>
      </c>
      <c r="AC361" s="28" t="str">
        <f t="shared" si="53"/>
        <v>cast(s.F_XQLEV301 as varchar)</v>
      </c>
      <c r="AD361" s="28" t="str">
        <f t="shared" si="58"/>
        <v xml:space="preserve"> s.F_XQLEV301</v>
      </c>
      <c r="AE361" t="str">
        <f t="shared" si="50"/>
        <v>[Level of qualification]</v>
      </c>
    </row>
    <row r="362" spans="1:31" ht="64" x14ac:dyDescent="0.2">
      <c r="A362">
        <v>100285</v>
      </c>
      <c r="B362" s="11" t="str">
        <f>DataItems3[[#This Row],[Field]]&amp;IF(DataItems3[[#This Row],[Options for supplying the Field]]="",""," "&amp;DataItems3[[#This Row],[Options for supplying the Field]])</f>
        <v>Level of qualification (Postgraduate (research)/ Postgraduate (taught)/ First degree/ Other undergraduate)</v>
      </c>
      <c r="C362">
        <v>100285</v>
      </c>
      <c r="D362" s="3" t="s">
        <v>86</v>
      </c>
      <c r="E362" s="3" t="s">
        <v>106</v>
      </c>
      <c r="F362" s="3" t="s">
        <v>1355</v>
      </c>
      <c r="G362" s="13" t="s">
        <v>1296</v>
      </c>
      <c r="H362" s="14" t="s">
        <v>1363</v>
      </c>
      <c r="J362" s="3">
        <v>1</v>
      </c>
      <c r="K362" s="3">
        <v>2</v>
      </c>
      <c r="L362" s="3">
        <v>0</v>
      </c>
      <c r="M362" s="3">
        <v>0</v>
      </c>
      <c r="N362" s="3" t="s">
        <v>89</v>
      </c>
      <c r="P362" s="3" t="s">
        <v>280</v>
      </c>
      <c r="Q362" s="16" t="s">
        <v>1364</v>
      </c>
      <c r="R362" s="3" t="s">
        <v>1364</v>
      </c>
      <c r="S362" s="16" t="s">
        <v>1365</v>
      </c>
      <c r="T362" s="3" t="s">
        <v>1365</v>
      </c>
      <c r="U362" s="3" t="s">
        <v>93</v>
      </c>
      <c r="V362" s="3" t="s">
        <v>93</v>
      </c>
      <c r="W362" s="57" t="s">
        <v>109</v>
      </c>
      <c r="X362" t="str">
        <f>DataItems3[[#This Row],[Collection]]&amp;DataItems3[[#This Row],[Field]]&amp;DataItems3[[#This Row],[Options for supplying the Field]]&amp;DataItems3[[#This Row],[Fieldname]]&amp;DataItems3[[#This Row],[Parent]]</f>
        <v>StudentLevel of qualification(Postgraduate (research)/ Postgraduate (taught)/ First degree/ Other undergraduate)F_XQLEV501Qualifiers</v>
      </c>
      <c r="Y362" s="15"/>
      <c r="AA362" s="28" t="str">
        <f t="shared" si="55"/>
        <v>CAST(s.F_XQLEV501 AS VARCHAR(1))</v>
      </c>
      <c r="AB362" s="28" t="str">
        <f t="shared" si="57"/>
        <v xml:space="preserve"> s.f_xqlev501</v>
      </c>
      <c r="AC362" s="28" t="str">
        <f t="shared" si="53"/>
        <v>CAST(s.F_XQLEV501 AS VARCHAR(1))</v>
      </c>
      <c r="AD362" s="28" t="str">
        <f t="shared" si="58"/>
        <v xml:space="preserve"> s.f_xqlev501</v>
      </c>
      <c r="AE362" t="str">
        <f t="shared" si="50"/>
        <v>[Level of qualification]</v>
      </c>
    </row>
    <row r="363" spans="1:31" ht="80" x14ac:dyDescent="0.2">
      <c r="A363">
        <v>100286</v>
      </c>
      <c r="B363" s="11" t="str">
        <f>DataItems3[[#This Row],[Field]]&amp;IF(DataItems3[[#This Row],[Options for supplying the Field]]="",""," "&amp;DataItems3[[#This Row],[Options for supplying the Field]])</f>
        <v>Level of qualification (Postgraduate (research)/ Postgraduate (taught)/ First degree/ Other undergraduate/ FE)</v>
      </c>
      <c r="C363">
        <v>100286</v>
      </c>
      <c r="D363" s="3" t="s">
        <v>86</v>
      </c>
      <c r="E363" s="3" t="s">
        <v>106</v>
      </c>
      <c r="F363" s="3" t="s">
        <v>1355</v>
      </c>
      <c r="G363" s="13" t="s">
        <v>1331</v>
      </c>
      <c r="H363" s="14" t="s">
        <v>1363</v>
      </c>
      <c r="J363" s="3">
        <v>1</v>
      </c>
      <c r="K363" s="3">
        <v>2</v>
      </c>
      <c r="L363" s="3">
        <v>0</v>
      </c>
      <c r="M363" s="3">
        <v>0</v>
      </c>
      <c r="N363" s="3" t="s">
        <v>89</v>
      </c>
      <c r="P363" s="3" t="s">
        <v>280</v>
      </c>
      <c r="Q363" s="16" t="s">
        <v>1364</v>
      </c>
      <c r="R363" s="3" t="s">
        <v>1364</v>
      </c>
      <c r="S363" s="16" t="s">
        <v>1365</v>
      </c>
      <c r="T363" s="3" t="s">
        <v>1365</v>
      </c>
      <c r="U363" s="3" t="s">
        <v>93</v>
      </c>
      <c r="V363" s="3" t="s">
        <v>93</v>
      </c>
      <c r="W363" s="57" t="s">
        <v>109</v>
      </c>
      <c r="X363" t="str">
        <f>DataItems3[[#This Row],[Collection]]&amp;DataItems3[[#This Row],[Field]]&amp;DataItems3[[#This Row],[Options for supplying the Field]]&amp;DataItems3[[#This Row],[Fieldname]]&amp;DataItems3[[#This Row],[Parent]]</f>
        <v>StudentLevel of qualification(Postgraduate (research)/ Postgraduate (taught)/ First degree/ Other undergraduate/ FE)F_XQLEV501Qualifiers</v>
      </c>
      <c r="Y363" s="15"/>
      <c r="AA363" s="28" t="str">
        <f t="shared" si="55"/>
        <v>CAST(s.F_XQLEV501 AS VARCHAR(1))</v>
      </c>
      <c r="AB363" s="28" t="str">
        <f t="shared" si="57"/>
        <v xml:space="preserve"> s.f_xqlev501</v>
      </c>
      <c r="AC363" s="28" t="str">
        <f t="shared" si="53"/>
        <v>CAST(s.F_XQLEV501 AS VARCHAR(1))</v>
      </c>
      <c r="AD363" s="28" t="str">
        <f t="shared" si="58"/>
        <v xml:space="preserve"> s.f_xqlev501</v>
      </c>
      <c r="AE363" t="str">
        <f t="shared" si="50"/>
        <v>[Level of qualification]</v>
      </c>
    </row>
    <row r="364" spans="1:31" ht="48" x14ac:dyDescent="0.2">
      <c r="A364">
        <v>100289</v>
      </c>
      <c r="B364" s="11" t="str">
        <f>DataItems3[[#This Row],[Field]]&amp;IF(DataItems3[[#This Row],[Options for supplying the Field]]="",""," "&amp;DataItems3[[#This Row],[Options for supplying the Field]])</f>
        <v>Level of qualification (Postgraduate research/ Postgraduate taught/ Undergraduate)</v>
      </c>
      <c r="C364">
        <v>100289</v>
      </c>
      <c r="D364" s="3" t="s">
        <v>86</v>
      </c>
      <c r="E364" s="3" t="s">
        <v>106</v>
      </c>
      <c r="F364" s="3" t="s">
        <v>1355</v>
      </c>
      <c r="G364" s="13" t="s">
        <v>1366</v>
      </c>
      <c r="H364" s="14" t="s">
        <v>1363</v>
      </c>
      <c r="J364" s="3">
        <v>2</v>
      </c>
      <c r="K364" s="3">
        <v>2</v>
      </c>
      <c r="L364" s="3">
        <v>0</v>
      </c>
      <c r="M364" s="3">
        <v>0</v>
      </c>
      <c r="N364" s="3" t="s">
        <v>89</v>
      </c>
      <c r="P364" s="3" t="s">
        <v>280</v>
      </c>
      <c r="Q364" s="16" t="s">
        <v>1367</v>
      </c>
      <c r="R364" s="3" t="s">
        <v>1367</v>
      </c>
      <c r="S364" s="16" t="s">
        <v>1368</v>
      </c>
      <c r="T364" s="3" t="s">
        <v>1368</v>
      </c>
      <c r="U364" s="3" t="s">
        <v>1369</v>
      </c>
      <c r="V364" s="3" t="s">
        <v>93</v>
      </c>
      <c r="W364" s="57" t="s">
        <v>114</v>
      </c>
      <c r="X364" t="str">
        <f>DataItems3[[#This Row],[Collection]]&amp;DataItems3[[#This Row],[Field]]&amp;DataItems3[[#This Row],[Options for supplying the Field]]&amp;DataItems3[[#This Row],[Fieldname]]&amp;DataItems3[[#This Row],[Parent]]</f>
        <v>StudentLevel of qualification(Postgraduate research/ Postgraduate taught/ Undergraduate)F_XQLEV501Qualifiers</v>
      </c>
      <c r="Y364" s="15"/>
      <c r="AA364" s="28" t="str">
        <f t="shared" si="55"/>
        <v>CASE WHEN s.F_XQLEV301 = '2' THEN 'Undergraduate' WHEN s.F_XQLEV501 = '1' THEN 'Postgraduate(research)' WHEN s.F_XQLEV501 = '2' THEN 'Postgraduate (taught)'    ELSE cast(s.F_XQLEV301 as varchar)    END</v>
      </c>
      <c r="AB364" s="28" t="str">
        <f t="shared" ref="AB364:AB396" si="59">IF(S364="","",IF(IFERROR(SEARCH("select",S364)&gt;0,0),IF(U364="",IF(MID(S364,SEARCH(H364,S364)-4,1)=" ",MID(S364,SEARCH(H364,S364)-2,LEN(O373)+2),MID(S364,SEARCH(H364,S364)-3,LEN(H364)+3)),U364&amp;"."&amp;H364),S364))</f>
        <v>CASE WHEN s.F_XQLEV301 = '2' THEN 'Undergraduate' WHEN s.F_XQLEV501 = '1' THEN 'Postgraduate(research)' WHEN s.F_XQLEV501 = '2' THEN 'Postgraduate (taught)'    ELSE xqlev301.dw_currentlabel    END</v>
      </c>
      <c r="AC364" s="28" t="str">
        <f t="shared" si="53"/>
        <v>CASE WHEN s.F_XQLEV301 = '2' THEN 'Undergraduate' WHEN s.F_XQLEV501 = '1' THEN 'Postgraduate(research)' WHEN s.F_XQLEV501 = '2' THEN 'Postgraduate (taught)'    ELSE cast(s.F_XQLEV301 as varchar)    END</v>
      </c>
      <c r="AD364" s="28" t="str">
        <f t="shared" ref="AD364:AD427" si="60">IF(T364="","",IF(IFERROR(SEARCH("select",T364)&gt;0,0),IF(U364="",IF(MID(T364,SEARCH(H364,T364)-4,1)=" ",MID(T364,SEARCH(H364,T364)-2,LEN(O373)+2),MID(T364,SEARCH(H364,T364)-3,LEN(H364)+3)),U364&amp;"."&amp;H364),T364))</f>
        <v>CASE WHEN s.F_XQLEV301 = '2' THEN 'Undergraduate' WHEN s.F_XQLEV501 = '1' THEN 'Postgraduate(research)' WHEN s.F_XQLEV501 = '2' THEN 'Postgraduate (taught)'    ELSE xqlev301.dw_currentlabel    END</v>
      </c>
      <c r="AE364" t="str">
        <f t="shared" si="50"/>
        <v>[Level of qualification]</v>
      </c>
    </row>
    <row r="365" spans="1:31" ht="48" x14ac:dyDescent="0.2">
      <c r="A365">
        <v>100290</v>
      </c>
      <c r="B365" s="11" t="str">
        <f>DataItems3[[#This Row],[Field]]&amp;IF(DataItems3[[#This Row],[Options for supplying the Field]]="",""," "&amp;DataItems3[[#This Row],[Options for supplying the Field]])</f>
        <v>Level of qualification (Postgraduate/ First degree/ Other undergraduate)</v>
      </c>
      <c r="C365">
        <v>100290</v>
      </c>
      <c r="D365" s="3" t="s">
        <v>86</v>
      </c>
      <c r="E365" s="3" t="s">
        <v>106</v>
      </c>
      <c r="F365" s="3" t="s">
        <v>1355</v>
      </c>
      <c r="G365" s="13" t="s">
        <v>1304</v>
      </c>
      <c r="H365" s="14" t="s">
        <v>1363</v>
      </c>
      <c r="J365" s="3">
        <v>2</v>
      </c>
      <c r="K365" s="3">
        <v>2</v>
      </c>
      <c r="L365" s="3">
        <v>0</v>
      </c>
      <c r="M365" s="3">
        <v>0</v>
      </c>
      <c r="N365" s="3" t="s">
        <v>89</v>
      </c>
      <c r="P365" s="3" t="s">
        <v>280</v>
      </c>
      <c r="Q365" s="16" t="s">
        <v>1370</v>
      </c>
      <c r="R365" s="3" t="s">
        <v>1370</v>
      </c>
      <c r="S365" s="16" t="s">
        <v>1371</v>
      </c>
      <c r="T365" s="3" t="s">
        <v>1371</v>
      </c>
      <c r="U365" s="3" t="s">
        <v>1369</v>
      </c>
      <c r="V365" s="3" t="s">
        <v>93</v>
      </c>
      <c r="W365" s="57" t="s">
        <v>114</v>
      </c>
      <c r="X365" t="str">
        <f>DataItems3[[#This Row],[Collection]]&amp;DataItems3[[#This Row],[Field]]&amp;DataItems3[[#This Row],[Options for supplying the Field]]&amp;DataItems3[[#This Row],[Fieldname]]&amp;DataItems3[[#This Row],[Parent]]</f>
        <v>StudentLevel of qualification(Postgraduate/ First degree/ Other undergraduate)F_XQLEV501Qualifiers</v>
      </c>
      <c r="Y365" s="15"/>
      <c r="AA365" s="28" t="str">
        <f t="shared" si="55"/>
        <v>CASE WHEN s.F_XQLEV501 = '3' THEN 'First degree' WHEN s.F_XQLEV301 = '1' THEN 'Postgraduate' WHEN s.F_XQLEV501 = '4' THEN 'Other undergraduate'    ELSE cast(s.F_XQLEV301  as varchar)  END</v>
      </c>
      <c r="AB365" s="28" t="str">
        <f t="shared" si="59"/>
        <v>CASE WHEN s.F_XQLEV501 = '3' THEN 'First degree' WHEN s.F_XQLEV301 = '1' THEN 'Postgraduate' WHEN s.F_XQLEV501 = '4' THEN 'Other undergraduate'    ELSE xqlev301.dw_currentlabel    END</v>
      </c>
      <c r="AC365" s="28" t="str">
        <f t="shared" si="53"/>
        <v>CASE WHEN s.F_XQLEV501 = '3' THEN 'First degree' WHEN s.F_XQLEV301 = '1' THEN 'Postgraduate' WHEN s.F_XQLEV501 = '4' THEN 'Other undergraduate'    ELSE cast(s.F_XQLEV301  as varchar)  END</v>
      </c>
      <c r="AD365" s="28" t="str">
        <f t="shared" si="60"/>
        <v>CASE WHEN s.F_XQLEV501 = '3' THEN 'First degree' WHEN s.F_XQLEV301 = '1' THEN 'Postgraduate' WHEN s.F_XQLEV501 = '4' THEN 'Other undergraduate'    ELSE xqlev301.dw_currentlabel    END</v>
      </c>
      <c r="AE365" t="str">
        <f t="shared" si="50"/>
        <v>[Level of qualification]</v>
      </c>
    </row>
    <row r="366" spans="1:31" ht="128" x14ac:dyDescent="0.2">
      <c r="A366">
        <v>100816</v>
      </c>
      <c r="B366" s="11" t="str">
        <f>DataItems3[[#This Row],[Field]]&amp;IF(DataItems3[[#This Row],[Options for supplying the Field]]="",""," "&amp;DataItems3[[#This Row],[Options for supplying the Field]])</f>
        <v>Level of qualification (Doctorate (research)/ Doctorate (taught) / Masters (research)/ Masters (taught)/ Other postgraduate (research)/ Other postgraduate (taught)/ First degree/ Other undergraduate)</v>
      </c>
      <c r="C366">
        <v>100816</v>
      </c>
      <c r="D366" s="3" t="s">
        <v>86</v>
      </c>
      <c r="E366" s="3" t="s">
        <v>106</v>
      </c>
      <c r="F366" s="3" t="s">
        <v>1355</v>
      </c>
      <c r="G366" s="13" t="s">
        <v>1345</v>
      </c>
      <c r="H366" s="14" t="s">
        <v>1372</v>
      </c>
      <c r="J366" s="3">
        <v>2</v>
      </c>
      <c r="K366" s="3">
        <v>2</v>
      </c>
      <c r="L366" s="3">
        <v>0</v>
      </c>
      <c r="M366" s="3">
        <v>0</v>
      </c>
      <c r="N366" s="3" t="s">
        <v>89</v>
      </c>
      <c r="Q366" s="16" t="s">
        <v>1373</v>
      </c>
      <c r="R366" s="3" t="s">
        <v>1373</v>
      </c>
      <c r="S366" s="16" t="s">
        <v>1374</v>
      </c>
      <c r="T366" s="3" t="s">
        <v>1374</v>
      </c>
      <c r="U366" s="3" t="s">
        <v>1375</v>
      </c>
      <c r="W366" s="57" t="s">
        <v>114</v>
      </c>
      <c r="X366" t="str">
        <f>DataItems3[[#This Row],[Collection]]&amp;DataItems3[[#This Row],[Field]]&amp;DataItems3[[#This Row],[Options for supplying the Field]]&amp;DataItems3[[#This Row],[Fieldname]]&amp;DataItems3[[#This Row],[Parent]]</f>
        <v>StudentLevel of qualification(Doctorate (research)/ Doctorate (taught) / Masters (research)/ Masters (taught)/ Other postgraduate (research)/ Other postgraduate (taught)/ First degree/ Other undergraduate)F_XQOBTN01</v>
      </c>
      <c r="Y366" s="4">
        <v>44364</v>
      </c>
      <c r="Z366" t="s">
        <v>135</v>
      </c>
      <c r="AA366" s="28" t="str">
        <f t="shared" si="55"/>
        <v xml:space="preserve">CASE WHEN s.F_XQOBTN01 in ('E00') then 'Doctorate (Taught)' WHEN s.F_XQOBTN01 in ('D00','D01') then 'Doctorate (Research)'     WHEN s.F_XQOBTN01 in ('L00') then 'Masters (Research)'     WHEN s.F_XQOBTN01 in ('M00','M01','M02','M10','M11','M16') then 'Masters (Taught)'     ELSE CAST(s.F_XQLEV501 AS VARCHAR) END </v>
      </c>
      <c r="AB366" s="28" t="str">
        <f t="shared" si="59"/>
        <v xml:space="preserve">CASE WHEN s.F_XQOBTN01 in ('E00') then 'Doctorate (Taught)' WHEN s.F_XQOBTN01 in ('D00','D01') then 'Doctorate (Research)'     WHEN s.F_XQOBTN01 in ('L00') then 'Masters (Research)'     WHEN s.F_XQOBTN01 in ('M00','M01','M02','M10','M11','M16') then 'Masters (Taught)'     ELSE  xqlev501.dw_currentlabel END </v>
      </c>
      <c r="AC366" s="28" t="str">
        <f t="shared" si="53"/>
        <v xml:space="preserve">CASE WHEN s.F_XQOBTN01 in ('E00') then 'Doctorate (Taught)' WHEN s.F_XQOBTN01 in ('D00','D01') then 'Doctorate (Research)'     WHEN s.F_XQOBTN01 in ('L00') then 'Masters (Research)'     WHEN s.F_XQOBTN01 in ('M00','M01','M02','M10','M11','M16') then 'Masters (Taught)'     ELSE CAST(s.F_XQLEV501 AS VARCHAR) END </v>
      </c>
      <c r="AD366" s="28" t="str">
        <f t="shared" si="60"/>
        <v xml:space="preserve">CASE WHEN s.F_XQOBTN01 in ('E00') then 'Doctorate (Taught)' WHEN s.F_XQOBTN01 in ('D00','D01') then 'Doctorate (Research)'     WHEN s.F_XQOBTN01 in ('L00') then 'Masters (Research)'     WHEN s.F_XQOBTN01 in ('M00','M01','M02','M10','M11','M16') then 'Masters (Taught)'     ELSE  xqlev501.dw_currentlabel END </v>
      </c>
      <c r="AE366" t="str">
        <f t="shared" si="50"/>
        <v>[Level of qualification]</v>
      </c>
    </row>
    <row r="367" spans="1:31" ht="96" x14ac:dyDescent="0.2">
      <c r="A367">
        <v>100280</v>
      </c>
      <c r="B367" s="11" t="str">
        <f>DataItems3[[#This Row],[Field]]&amp;IF(DataItems3[[#This Row],[Options for supplying the Field]]="",""," "&amp;DataItems3[[#This Row],[Options for supplying the Field]])</f>
        <v>Level of qualification (Doctorate/ Masters/ Other postgraduate (research)/ Other postgraduate (taught)/ First degree/ Other undergraduate)</v>
      </c>
      <c r="C367">
        <v>100280</v>
      </c>
      <c r="D367" s="3" t="s">
        <v>86</v>
      </c>
      <c r="E367" s="3" t="s">
        <v>106</v>
      </c>
      <c r="F367" s="3" t="s">
        <v>1355</v>
      </c>
      <c r="G367" s="13" t="s">
        <v>1311</v>
      </c>
      <c r="H367" s="14" t="s">
        <v>1372</v>
      </c>
      <c r="J367" s="3">
        <v>3</v>
      </c>
      <c r="K367" s="3">
        <v>2</v>
      </c>
      <c r="L367" s="3">
        <v>0</v>
      </c>
      <c r="M367" s="3">
        <v>0</v>
      </c>
      <c r="N367" s="3" t="s">
        <v>89</v>
      </c>
      <c r="P367" s="3" t="s">
        <v>280</v>
      </c>
      <c r="Q367" s="16" t="s">
        <v>1376</v>
      </c>
      <c r="R367" s="3" t="s">
        <v>1376</v>
      </c>
      <c r="S367" s="16" t="s">
        <v>1377</v>
      </c>
      <c r="T367" s="3" t="s">
        <v>1377</v>
      </c>
      <c r="U367" s="3" t="s">
        <v>1369</v>
      </c>
      <c r="V367" s="3" t="s">
        <v>93</v>
      </c>
      <c r="W367" s="57" t="s">
        <v>114</v>
      </c>
      <c r="X367" t="str">
        <f>DataItems3[[#This Row],[Collection]]&amp;DataItems3[[#This Row],[Field]]&amp;DataItems3[[#This Row],[Options for supplying the Field]]&amp;DataItems3[[#This Row],[Fieldname]]&amp;DataItems3[[#This Row],[Parent]]</f>
        <v>StudentLevel of qualification(Doctorate/ Masters/ Other postgraduate (research)/ Other postgraduate (taught)/ First degree/ Other undergraduate)F_XQOBTN01Qualifiers</v>
      </c>
      <c r="Y367" s="15"/>
      <c r="AA367" s="28" t="str">
        <f t="shared" si="55"/>
        <v>CASE WHEN s.F_XQOBTN01 in ('E00', 'D00','D01') then 'Doctorate'  WHEN s.F_XQOBTN01 in ('L00','M00','M01','M02','M10','M11','M16') then 'Masters' WHEN s.F_XQLEV501 = '1' THEN 'Postgraduate(research)' WHEN s.F_XQLEV501 = '2' THEN 'Postgraduate (taught)'  ELSE  CAST (s.F_XQLEV301 AS VARCHAR) END</v>
      </c>
      <c r="AB367" s="28" t="str">
        <f t="shared" si="59"/>
        <v xml:space="preserve">CASE WHEN s.F_XQOBTN01 in ('E00', 'D00','D01') then 'Doctorate'  WHEN s.F_XQOBTN01 in ('L00','M00','M01','M02','M10','M11','M16') then 'Masters' WHEN s.F_XQLEV501 = '1' THEN 'Postgraduate(research)' WHEN s.F_XQLEV501 = '2' THEN 'Postgraduate (taught)'  ELSE  xqlev301.dw_currentlabel END </v>
      </c>
      <c r="AC367" s="28" t="str">
        <f t="shared" si="53"/>
        <v>CASE WHEN s.F_XQOBTN01 in ('E00', 'D00','D01') then 'Doctorate'  WHEN s.F_XQOBTN01 in ('L00','M00','M01','M02','M10','M11','M16') then 'Masters' WHEN s.F_XQLEV501 = '1' THEN 'Postgraduate(research)' WHEN s.F_XQLEV501 = '2' THEN 'Postgraduate (taught)'  ELSE  CAST (s.F_XQLEV301 AS VARCHAR) END</v>
      </c>
      <c r="AD367" s="28" t="str">
        <f t="shared" si="60"/>
        <v xml:space="preserve">CASE WHEN s.F_XQOBTN01 in ('E00', 'D00','D01') then 'Doctorate'  WHEN s.F_XQOBTN01 in ('L00','M00','M01','M02','M10','M11','M16') then 'Masters' WHEN s.F_XQLEV501 = '1' THEN 'Postgraduate(research)' WHEN s.F_XQLEV501 = '2' THEN 'Postgraduate (taught)'  ELSE  xqlev301.dw_currentlabel END </v>
      </c>
      <c r="AE367" t="str">
        <f t="shared" si="50"/>
        <v>[Level of qualification]</v>
      </c>
    </row>
    <row r="368" spans="1:31" ht="64" x14ac:dyDescent="0.2">
      <c r="A368">
        <v>100281</v>
      </c>
      <c r="B368" s="11" t="str">
        <f>DataItems3[[#This Row],[Field]]&amp;IF(DataItems3[[#This Row],[Options for supplying the Field]]="",""," "&amp;DataItems3[[#This Row],[Options for supplying the Field]])</f>
        <v>Level of qualification (Doctorate/ Masters/ Other postgraduate/ First degree/ Other undergraduate)</v>
      </c>
      <c r="C368">
        <v>100281</v>
      </c>
      <c r="D368" s="3" t="s">
        <v>86</v>
      </c>
      <c r="E368" s="3" t="s">
        <v>106</v>
      </c>
      <c r="F368" s="3" t="s">
        <v>1355</v>
      </c>
      <c r="G368" s="13" t="s">
        <v>1314</v>
      </c>
      <c r="H368" s="14" t="s">
        <v>1372</v>
      </c>
      <c r="J368" s="3">
        <v>3</v>
      </c>
      <c r="K368" s="3">
        <v>2</v>
      </c>
      <c r="L368" s="3">
        <v>0</v>
      </c>
      <c r="M368" s="3">
        <v>0</v>
      </c>
      <c r="N368" s="3" t="s">
        <v>89</v>
      </c>
      <c r="P368" s="3" t="s">
        <v>280</v>
      </c>
      <c r="Q368" s="16" t="s">
        <v>3082</v>
      </c>
      <c r="R368" s="3" t="s">
        <v>3082</v>
      </c>
      <c r="S368" s="16" t="s">
        <v>3083</v>
      </c>
      <c r="T368" s="3" t="s">
        <v>3083</v>
      </c>
      <c r="U368" s="3" t="s">
        <v>1375</v>
      </c>
      <c r="V368" s="3" t="s">
        <v>93</v>
      </c>
      <c r="W368" s="57" t="s">
        <v>114</v>
      </c>
      <c r="X368" t="str">
        <f>DataItems3[[#This Row],[Collection]]&amp;DataItems3[[#This Row],[Field]]&amp;DataItems3[[#This Row],[Options for supplying the Field]]&amp;DataItems3[[#This Row],[Fieldname]]&amp;DataItems3[[#This Row],[Parent]]</f>
        <v>StudentLevel of qualification(Doctorate/ Masters/ Other postgraduate/ First degree/ Other undergraduate)F_XQOBTN01Qualifiers</v>
      </c>
      <c r="Y368" s="15"/>
      <c r="AA368" s="28" t="str">
        <f t="shared" si="55"/>
        <v>CASE WHEN s.F_XQOBTN01 in ('E00', 'D00','D01') then 'Doctorate'  WHEN s.F_XQOBTN01 in ('L00','M00','M01','M02','M10','M11','M16') then 'Masters' ELSE CAST  (s.F_XQLEV501 AS VARCHAR) END</v>
      </c>
      <c r="AB368" s="28" t="str">
        <f t="shared" si="59"/>
        <v>CASE WHEN s.F_XQOBTN01 in ('E00', 'D00','D01') then 'Doctorate'  WHEN s.F_XQOBTN01 in ('L00','M00','M01','M02','M10','M11','M16') then 'Masters' ELSE CAST  xqlev501.dw_currentlabel  END</v>
      </c>
      <c r="AC368" s="28" t="str">
        <f t="shared" si="53"/>
        <v>CASE WHEN s.F_XQOBTN01 in ('E00', 'D00','D01') then 'Doctorate'  WHEN s.F_XQOBTN01 in ('L00','M00','M01','M02','M10','M11','M16') then 'Masters' ELSE CAST  (s.F_XQLEV501 AS VARCHAR) END</v>
      </c>
      <c r="AD368" s="28" t="str">
        <f t="shared" si="60"/>
        <v>CASE WHEN s.F_XQOBTN01 in ('E00', 'D00','D01') then 'Doctorate'  WHEN s.F_XQOBTN01 in ('L00','M00','M01','M02','M10','M11','M16') then 'Masters' ELSE CAST  xqlev501.dw_currentlabel  END</v>
      </c>
      <c r="AE368" t="str">
        <f t="shared" si="50"/>
        <v>[Level of qualification]</v>
      </c>
    </row>
    <row r="369" spans="1:32" ht="48" x14ac:dyDescent="0.2">
      <c r="A369">
        <v>100282</v>
      </c>
      <c r="B369" s="11" t="str">
        <f>DataItems3[[#This Row],[Field]]&amp;IF(DataItems3[[#This Row],[Options for supplying the Field]]="",""," "&amp;DataItems3[[#This Row],[Options for supplying the Field]])</f>
        <v>Level of qualification (M16/ Other Masters/ First degree/ Other undergraduate)</v>
      </c>
      <c r="C369">
        <v>100282</v>
      </c>
      <c r="D369" s="3" t="s">
        <v>86</v>
      </c>
      <c r="E369" s="3" t="s">
        <v>106</v>
      </c>
      <c r="F369" s="3" t="s">
        <v>1355</v>
      </c>
      <c r="G369" s="13" t="s">
        <v>1320</v>
      </c>
      <c r="H369" s="14" t="s">
        <v>1372</v>
      </c>
      <c r="J369" s="3">
        <v>3</v>
      </c>
      <c r="K369" s="3">
        <v>2</v>
      </c>
      <c r="L369" s="3">
        <v>0</v>
      </c>
      <c r="M369" s="3">
        <v>0</v>
      </c>
      <c r="N369" s="3" t="s">
        <v>89</v>
      </c>
      <c r="P369" s="3" t="s">
        <v>280</v>
      </c>
      <c r="Q369" s="16" t="s">
        <v>1378</v>
      </c>
      <c r="R369" s="3" t="s">
        <v>1378</v>
      </c>
      <c r="S369" s="16" t="s">
        <v>1379</v>
      </c>
      <c r="T369" s="3" t="s">
        <v>1379</v>
      </c>
      <c r="U369" s="3" t="s">
        <v>1380</v>
      </c>
      <c r="V369" s="3" t="s">
        <v>93</v>
      </c>
      <c r="W369" s="57" t="s">
        <v>114</v>
      </c>
      <c r="X369" t="str">
        <f>DataItems3[[#This Row],[Collection]]&amp;DataItems3[[#This Row],[Field]]&amp;DataItems3[[#This Row],[Options for supplying the Field]]&amp;DataItems3[[#This Row],[Fieldname]]&amp;DataItems3[[#This Row],[Parent]]</f>
        <v>StudentLevel of qualification(M16/ Other Masters/ First degree/ Other undergraduate)F_XQOBTN01Qualifiers</v>
      </c>
      <c r="Y369" s="15"/>
      <c r="AA369" s="28" t="str">
        <f t="shared" si="55"/>
        <v xml:space="preserve">CASE  WHEN  s.F_XQOBTN01 in ('M16') then 'M16'   WHEN s.F_XQOBTN01 in ('L00','M00','M01','M02','M10','M11','M16') then 'Other Masters' ELSE CAST (s.F_XQLEV901 AS VARCHAR) END </v>
      </c>
      <c r="AB369" s="28" t="str">
        <f t="shared" si="59"/>
        <v xml:space="preserve">CASE  WHEN  s.F_XQOBTN01 in ('M16') then 'M16'   WHEN s.F_XQOBTN01 in ('L00','M00','M01','M02','M10','M11','M16') then 'Other Masters' ELSE xqlev901.dw_currentlabel  END </v>
      </c>
      <c r="AC369" s="28" t="str">
        <f t="shared" si="53"/>
        <v xml:space="preserve">CASE  WHEN  s.F_XQOBTN01 in ('M16') then 'M16'   WHEN s.F_XQOBTN01 in ('L00','M00','M01','M02','M10','M11','M16') then 'Other Masters' ELSE CAST (s.F_XQLEV901 AS VARCHAR) END </v>
      </c>
      <c r="AD369" s="28" t="str">
        <f t="shared" si="60"/>
        <v xml:space="preserve">CASE  WHEN  s.F_XQOBTN01 in ('M16') then 'M16'   WHEN s.F_XQOBTN01 in ('L00','M00','M01','M02','M10','M11','M16') then 'Other Masters' ELSE xqlev901.dw_currentlabel  END </v>
      </c>
      <c r="AE369" t="str">
        <f t="shared" si="50"/>
        <v>[Level of qualification]</v>
      </c>
    </row>
    <row r="370" spans="1:32" ht="80" x14ac:dyDescent="0.2">
      <c r="A370">
        <v>100283</v>
      </c>
      <c r="B370" s="11" t="str">
        <f>DataItems3[[#This Row],[Field]]&amp;IF(DataItems3[[#This Row],[Options for supplying the Field]]="",""," "&amp;DataItems3[[#This Row],[Options for supplying the Field]])</f>
        <v>Level of qualification (Masters (research)/ Masters (taught)/ Other postgraduate/ First degree/ Other undergraduate)</v>
      </c>
      <c r="C370">
        <v>100283</v>
      </c>
      <c r="D370" s="3" t="s">
        <v>86</v>
      </c>
      <c r="E370" s="3" t="s">
        <v>106</v>
      </c>
      <c r="F370" s="3" t="s">
        <v>1355</v>
      </c>
      <c r="G370" s="13" t="s">
        <v>1323</v>
      </c>
      <c r="H370" s="14" t="s">
        <v>1372</v>
      </c>
      <c r="J370" s="3">
        <v>3</v>
      </c>
      <c r="K370" s="3">
        <v>2</v>
      </c>
      <c r="L370" s="3">
        <v>0</v>
      </c>
      <c r="M370" s="3">
        <v>0</v>
      </c>
      <c r="N370" s="3" t="s">
        <v>89</v>
      </c>
      <c r="P370" s="3" t="s">
        <v>280</v>
      </c>
      <c r="Q370" s="16" t="s">
        <v>1381</v>
      </c>
      <c r="R370" s="3" t="s">
        <v>1381</v>
      </c>
      <c r="S370" s="16" t="s">
        <v>1382</v>
      </c>
      <c r="T370" s="3" t="s">
        <v>1382</v>
      </c>
      <c r="U370" s="3" t="s">
        <v>1369</v>
      </c>
      <c r="V370" s="3" t="s">
        <v>93</v>
      </c>
      <c r="W370" s="57" t="s">
        <v>114</v>
      </c>
      <c r="X370" t="str">
        <f>DataItems3[[#This Row],[Collection]]&amp;DataItems3[[#This Row],[Field]]&amp;DataItems3[[#This Row],[Options for supplying the Field]]&amp;DataItems3[[#This Row],[Fieldname]]&amp;DataItems3[[#This Row],[Parent]]</f>
        <v>StudentLevel of qualification(Masters (research)/ Masters (taught)/ Other postgraduate/ First degree/ Other undergraduate)F_XQOBTN01Qualifiers</v>
      </c>
      <c r="Y370" s="15"/>
      <c r="AA370" s="28" t="str">
        <f t="shared" si="55"/>
        <v>CASE WHEN s.F_XQOBTN01 in ('L00') then 'Masters (Research)'     WHEN s.F_XQOBTN01 in ('M00','M01','M02','M10','M11','M16') then 'Masters (Taught)'     ELSE CAST (s.F_XQLEV301 AS VARCHAR) END</v>
      </c>
      <c r="AB370" s="28" t="str">
        <f t="shared" si="59"/>
        <v>CASE WHEN s.F_XQOBTN01 in ('L00') then 'Masters (Research)'     WHEN s.F_XQOBTN01 in ('M00','M01','M02','M10','M11','M16') then 'Masters (Taught)'     ELSE CAST xqlev301.dw_currentlabel  END</v>
      </c>
      <c r="AC370" s="28" t="str">
        <f t="shared" si="53"/>
        <v>CASE WHEN s.F_XQOBTN01 in ('L00') then 'Masters (Research)'     WHEN s.F_XQOBTN01 in ('M00','M01','M02','M10','M11','M16') then 'Masters (Taught)'     ELSE CAST (s.F_XQLEV301 AS VARCHAR) END</v>
      </c>
      <c r="AD370" s="28" t="str">
        <f t="shared" si="60"/>
        <v>CASE WHEN s.F_XQOBTN01 in ('L00') then 'Masters (Research)'     WHEN s.F_XQOBTN01 in ('M00','M01','M02','M10','M11','M16') then 'Masters (Taught)'     ELSE CAST xqlev301.dw_currentlabel  END</v>
      </c>
      <c r="AE370" t="str">
        <f t="shared" si="50"/>
        <v>[Level of qualification]</v>
      </c>
    </row>
    <row r="371" spans="1:32" ht="80" x14ac:dyDescent="0.2">
      <c r="A371">
        <v>100284</v>
      </c>
      <c r="B371" s="11" t="str">
        <f>DataItems3[[#This Row],[Field]]&amp;IF(DataItems3[[#This Row],[Options for supplying the Field]]="",""," "&amp;DataItems3[[#This Row],[Options for supplying the Field]])</f>
        <v>Level of qualification (Postgraduate (research)/ Postgraduate (taught)/ First degree/ Foundation degree/ Other undergraduate)</v>
      </c>
      <c r="C371">
        <v>100284</v>
      </c>
      <c r="D371" s="3" t="s">
        <v>86</v>
      </c>
      <c r="E371" s="3" t="s">
        <v>106</v>
      </c>
      <c r="F371" s="3" t="s">
        <v>1355</v>
      </c>
      <c r="G371" s="13" t="s">
        <v>1300</v>
      </c>
      <c r="H371" s="14" t="s">
        <v>1372</v>
      </c>
      <c r="J371" s="3">
        <v>3</v>
      </c>
      <c r="K371" s="3">
        <v>2</v>
      </c>
      <c r="L371" s="3">
        <v>0</v>
      </c>
      <c r="M371" s="3">
        <v>0</v>
      </c>
      <c r="N371" s="3" t="s">
        <v>89</v>
      </c>
      <c r="P371" s="3" t="s">
        <v>280</v>
      </c>
      <c r="Q371" s="61" t="s">
        <v>1383</v>
      </c>
      <c r="R371" s="3" t="s">
        <v>1383</v>
      </c>
      <c r="S371" s="61" t="s">
        <v>1384</v>
      </c>
      <c r="T371" s="22" t="s">
        <v>1384</v>
      </c>
      <c r="U371" s="3" t="s">
        <v>1375</v>
      </c>
      <c r="V371" s="3" t="s">
        <v>93</v>
      </c>
      <c r="W371" s="57" t="s">
        <v>114</v>
      </c>
      <c r="X371" t="str">
        <f>DataItems3[[#This Row],[Collection]]&amp;DataItems3[[#This Row],[Field]]&amp;DataItems3[[#This Row],[Options for supplying the Field]]&amp;DataItems3[[#This Row],[Fieldname]]&amp;DataItems3[[#This Row],[Parent]]</f>
        <v>StudentLevel of qualification(Postgraduate (research)/ Postgraduate (taught)/ First degree/ Foundation degree/ Other undergraduate)F_XQOBTN01Qualifiers</v>
      </c>
      <c r="Y371" s="15"/>
      <c r="AA371" s="28" t="str">
        <f t="shared" si="55"/>
        <v xml:space="preserve">CASE WHEN s.F_XQOBTN01 in ('J10', 'J16') THEN 'Foundation degree' ELSE CAST(s.F_XQLEV501 AS VARCHAR) END </v>
      </c>
      <c r="AB371" s="28" t="str">
        <f t="shared" si="59"/>
        <v xml:space="preserve">CASE WHEN s.F_XQOBTN01 in ('J10', 'J16') THEN 'Foundation degree' ELSE   xqlev501.dw_currentlabel END   </v>
      </c>
      <c r="AC371" s="28" t="str">
        <f t="shared" si="53"/>
        <v xml:space="preserve">CASE WHEN s.F_XQOBTN01 in ('J10', 'J16') THEN 'Foundation degree' ELSE CAST(s.F_XQLEV501 AS VARCHAR) END </v>
      </c>
      <c r="AD371" s="28" t="str">
        <f t="shared" si="60"/>
        <v xml:space="preserve">CASE WHEN s.F_XQOBTN01 in ('J10', 'J16') THEN 'Foundation degree' ELSE   xqlev501.dw_currentlabel END   </v>
      </c>
      <c r="AE371" t="str">
        <f t="shared" si="50"/>
        <v>[Level of qualification]</v>
      </c>
    </row>
    <row r="372" spans="1:32" ht="96" x14ac:dyDescent="0.2">
      <c r="A372">
        <v>100288</v>
      </c>
      <c r="B372" s="11" t="str">
        <f>DataItems3[[#This Row],[Field]]&amp;IF(DataItems3[[#This Row],[Options for supplying the Field]]="",""," "&amp;DataItems3[[#This Row],[Options for supplying the Field]])</f>
        <v>Level of qualification (Postgraduate (research)/ Postgraduate (taught)/ Postgraduate PGCE/ First degree/ Undergraduate PGCE/ Other undergraduate)</v>
      </c>
      <c r="C372">
        <v>100288</v>
      </c>
      <c r="D372" s="3" t="s">
        <v>86</v>
      </c>
      <c r="E372" s="3" t="s">
        <v>106</v>
      </c>
      <c r="F372" s="3" t="s">
        <v>1355</v>
      </c>
      <c r="G372" s="13" t="s">
        <v>1335</v>
      </c>
      <c r="H372" s="14" t="s">
        <v>1372</v>
      </c>
      <c r="J372" s="3">
        <v>3</v>
      </c>
      <c r="K372" s="3">
        <v>2</v>
      </c>
      <c r="L372" s="3">
        <v>0</v>
      </c>
      <c r="M372" s="3">
        <v>0</v>
      </c>
      <c r="N372" s="3" t="s">
        <v>89</v>
      </c>
      <c r="P372" s="3" t="s">
        <v>280</v>
      </c>
      <c r="Q372" s="16" t="s">
        <v>1385</v>
      </c>
      <c r="R372" s="3" t="s">
        <v>1385</v>
      </c>
      <c r="S372" s="16" t="s">
        <v>1386</v>
      </c>
      <c r="T372" s="3" t="s">
        <v>1386</v>
      </c>
      <c r="U372" s="3" t="s">
        <v>1375</v>
      </c>
      <c r="V372" s="3" t="s">
        <v>93</v>
      </c>
      <c r="W372" s="57" t="s">
        <v>114</v>
      </c>
      <c r="X372" t="str">
        <f>DataItems3[[#This Row],[Collection]]&amp;DataItems3[[#This Row],[Field]]&amp;DataItems3[[#This Row],[Options for supplying the Field]]&amp;DataItems3[[#This Row],[Fieldname]]&amp;DataItems3[[#This Row],[Parent]]</f>
        <v>StudentLevel of qualification(Postgraduate (research)/ Postgraduate (taught)/ Postgraduate PGCE/ First degree/ Undergraduate PGCE/ Other undergraduate)F_XQOBTN01Qualifiers</v>
      </c>
      <c r="Y372" s="15"/>
      <c r="AA372" s="28" t="str">
        <f t="shared" si="55"/>
        <v xml:space="preserve">CASE WHEN s.F_XQOBTN01 in ('M71') THEN 'Postgraduate PGCE' WHEN s.F_XQOBTN01 in ('H71') THEN 'Undergraduate PGCE' ELSE CAST(s.F_XQLEV501 AS VARCHAR) END </v>
      </c>
      <c r="AB372" s="28" t="str">
        <f t="shared" si="59"/>
        <v xml:space="preserve">CASE WHEN s.F_XQOBTN01 in ('M71') THEN 'Postgraduate PGCE' WHEN s.F_XQOBTN01 in ('H71') THEN 'Undergraduate PGCE' ELSE   xqlev501.dw_currentlabel END </v>
      </c>
      <c r="AC372" s="28" t="str">
        <f t="shared" si="53"/>
        <v xml:space="preserve">CASE WHEN s.F_XQOBTN01 in ('M71') THEN 'Postgraduate PGCE' WHEN s.F_XQOBTN01 in ('H71') THEN 'Undergraduate PGCE' ELSE CAST(s.F_XQLEV501 AS VARCHAR) END </v>
      </c>
      <c r="AD372" s="28" t="str">
        <f t="shared" si="60"/>
        <v xml:space="preserve">CASE WHEN s.F_XQOBTN01 in ('M71') THEN 'Postgraduate PGCE' WHEN s.F_XQOBTN01 in ('H71') THEN 'Undergraduate PGCE' ELSE   xqlev501.dw_currentlabel END </v>
      </c>
      <c r="AE372" t="str">
        <f t="shared" si="50"/>
        <v>[Level of qualification]</v>
      </c>
    </row>
    <row r="373" spans="1:32" ht="64" x14ac:dyDescent="0.2">
      <c r="A373">
        <v>100652</v>
      </c>
      <c r="B373" s="11" t="str">
        <f>DataItems3[[#This Row],[Field]]&amp;IF(DataItems3[[#This Row],[Options for supplying the Field]]="",""," "&amp;DataItems3[[#This Row],[Options for supplying the Field]])</f>
        <v>Level of study ([M22 Integrated undergraduate/postgraduate taught masters degree]/ Other)</v>
      </c>
      <c r="C373">
        <v>100652</v>
      </c>
      <c r="D373" s="3" t="s">
        <v>86</v>
      </c>
      <c r="E373" s="3" t="s">
        <v>106</v>
      </c>
      <c r="F373" s="3" t="s">
        <v>1387</v>
      </c>
      <c r="G373" s="13" t="s">
        <v>1344</v>
      </c>
      <c r="H373" s="14" t="s">
        <v>569</v>
      </c>
      <c r="J373" s="3">
        <v>3</v>
      </c>
      <c r="K373" s="3">
        <v>1</v>
      </c>
      <c r="L373" s="3">
        <v>1</v>
      </c>
      <c r="M373" s="3">
        <v>0</v>
      </c>
      <c r="Q373" s="16" t="s">
        <v>1388</v>
      </c>
      <c r="R373" s="3" t="s">
        <v>1388</v>
      </c>
      <c r="S373" s="16" t="s">
        <v>1388</v>
      </c>
      <c r="T373" s="3" t="s">
        <v>1388</v>
      </c>
      <c r="U373" s="3" t="s">
        <v>93</v>
      </c>
      <c r="V373" s="3" t="s">
        <v>93</v>
      </c>
      <c r="W373" s="57" t="s">
        <v>3084</v>
      </c>
      <c r="X373" t="str">
        <f>DataItems3[[#This Row],[Collection]]&amp;DataItems3[[#This Row],[Field]]&amp;DataItems3[[#This Row],[Options for supplying the Field]]&amp;DataItems3[[#This Row],[Fieldname]]&amp;DataItems3[[#This Row],[Parent]]</f>
        <v>StudentLevel of study([M22 Integrated undergraduate/postgraduate taught masters degree]/ Other)F_COURSEAIM</v>
      </c>
      <c r="Y373" s="4">
        <v>44014</v>
      </c>
      <c r="Z373" t="s">
        <v>139</v>
      </c>
      <c r="AA373" s="28" t="str">
        <f t="shared" si="55"/>
        <v>CASE WHEN s.F_COURSEAIM = 'M22' THEN 'M22 Integrated undergraduate/postgraduate taught masters degree' ELSE 'Other' END</v>
      </c>
      <c r="AB373" s="28" t="str">
        <f t="shared" si="59"/>
        <v>CASE WHEN s.F_COURSEAIM = 'M22' THEN 'M22 Integrated undergraduate/postgraduate taught masters degree' ELSE 'Other' END</v>
      </c>
      <c r="AC373" s="28" t="str">
        <f t="shared" si="53"/>
        <v>CASE WHEN s.F_COURSEAIM = 'M22' THEN 'M22 Integrated undergraduate/postgraduate taught masters degree' ELSE 'Other' END</v>
      </c>
      <c r="AD373" s="28" t="str">
        <f t="shared" si="60"/>
        <v>CASE WHEN s.F_COURSEAIM = 'M22' THEN 'M22 Integrated undergraduate/postgraduate taught masters degree' ELSE 'Other' END</v>
      </c>
      <c r="AE373" t="str">
        <f t="shared" si="50"/>
        <v>[Level of study]</v>
      </c>
    </row>
    <row r="374" spans="1:32" ht="128" x14ac:dyDescent="0.2">
      <c r="A374">
        <v>100815</v>
      </c>
      <c r="B374" s="11" t="str">
        <f>DataItems3[[#This Row],[Field]]&amp;IF(DataItems3[[#This Row],[Options for supplying the Field]]="",""," "&amp;DataItems3[[#This Row],[Options for supplying the Field]])</f>
        <v>Level of study (Doctorate (research)/ Doctorate (taught) / Masters (research)/ Masters (taught)/ Other postgraduate (research)/ Other postgraduate (taught)/ First degree/ Other undergraduate)</v>
      </c>
      <c r="C374">
        <v>100815</v>
      </c>
      <c r="D374" s="3" t="s">
        <v>86</v>
      </c>
      <c r="E374" s="3" t="s">
        <v>106</v>
      </c>
      <c r="F374" s="3" t="s">
        <v>1387</v>
      </c>
      <c r="G374" s="13" t="s">
        <v>1345</v>
      </c>
      <c r="H374" s="14" t="s">
        <v>569</v>
      </c>
      <c r="J374" s="3">
        <v>2</v>
      </c>
      <c r="K374" s="3">
        <v>2</v>
      </c>
      <c r="L374" s="3">
        <v>0</v>
      </c>
      <c r="M374" s="3">
        <v>0</v>
      </c>
      <c r="N374" s="3" t="s">
        <v>89</v>
      </c>
      <c r="Q374" s="16" t="s">
        <v>1389</v>
      </c>
      <c r="R374" s="3" t="s">
        <v>1389</v>
      </c>
      <c r="S374" s="16" t="s">
        <v>1390</v>
      </c>
      <c r="T374" s="3" t="s">
        <v>1390</v>
      </c>
      <c r="U374" s="3" t="s">
        <v>1391</v>
      </c>
      <c r="W374" s="57" t="s">
        <v>114</v>
      </c>
      <c r="X374" t="str">
        <f>DataItems3[[#This Row],[Collection]]&amp;DataItems3[[#This Row],[Field]]&amp;DataItems3[[#This Row],[Options for supplying the Field]]&amp;DataItems3[[#This Row],[Fieldname]]&amp;DataItems3[[#This Row],[Parent]]</f>
        <v>StudentLevel of study(Doctorate (research)/ Doctorate (taught) / Masters (research)/ Masters (taught)/ Other postgraduate (research)/ Other postgraduate (taught)/ First degree/ Other undergraduate)F_COURSEAIM</v>
      </c>
      <c r="Y374" s="4">
        <v>44364</v>
      </c>
      <c r="Z374" t="s">
        <v>135</v>
      </c>
      <c r="AA374" s="28" t="str">
        <f t="shared" si="55"/>
        <v xml:space="preserve">CASE WHEN s.f_courseaim in ('E00') then 'Doctorate (Taught)' WHEN s.f_courseaim in ('D00','D01') then 'Doctorate (Research)'     WHEN s.f_courseaim in ('L00') then 'Masters (Research)'     WHEN s.f_courseaim in ('M00','M01','M02','M10','M11','M16') then 'Masters (Taught)'     ELSE CAST(s.F_XLEV501 AS VARCHAR) END </v>
      </c>
      <c r="AB374" s="28" t="str">
        <f t="shared" si="59"/>
        <v xml:space="preserve">CASE WHEN s.f_courseaim in ('E00') then 'Doctorate (Taught)' WHEN s.f_courseaim in ('D00','D01') then 'Doctorate (Research)'     WHEN s.f_courseaim in ('L00') then 'Masters (Research)'     WHEN s.f_courseaim in ('M00','M01','M02','M10','M11','M16') then 'Masters (Taught)'     ELSE  xlev501.dw_currentlabel END </v>
      </c>
      <c r="AC374" s="28" t="str">
        <f t="shared" si="53"/>
        <v xml:space="preserve">CASE WHEN s.f_courseaim in ('E00') then 'Doctorate (Taught)' WHEN s.f_courseaim in ('D00','D01') then 'Doctorate (Research)'     WHEN s.f_courseaim in ('L00') then 'Masters (Research)'     WHEN s.f_courseaim in ('M00','M01','M02','M10','M11','M16') then 'Masters (Taught)'     ELSE CAST(s.F_XLEV501 AS VARCHAR) END </v>
      </c>
      <c r="AD374" s="28" t="str">
        <f t="shared" si="60"/>
        <v xml:space="preserve">CASE WHEN s.f_courseaim in ('E00') then 'Doctorate (Taught)' WHEN s.f_courseaim in ('D00','D01') then 'Doctorate (Research)'     WHEN s.f_courseaim in ('L00') then 'Masters (Research)'     WHEN s.f_courseaim in ('M00','M01','M02','M10','M11','M16') then 'Masters (Taught)'     ELSE  xlev501.dw_currentlabel END </v>
      </c>
      <c r="AE374" t="str">
        <f t="shared" si="50"/>
        <v>[Level of study]</v>
      </c>
    </row>
    <row r="375" spans="1:32" ht="96" x14ac:dyDescent="0.2">
      <c r="A375">
        <v>100293</v>
      </c>
      <c r="B375" s="11" t="str">
        <f>DataItems3[[#This Row],[Field]]&amp;IF(DataItems3[[#This Row],[Options for supplying the Field]]="",""," "&amp;DataItems3[[#This Row],[Options for supplying the Field]])</f>
        <v>Level of study (Doctorate/ Masters/ Other postgraduate (research)/ Other postgraduate (taught)/ First degree/ Other undergraduate)</v>
      </c>
      <c r="C375">
        <v>100293</v>
      </c>
      <c r="D375" s="3" t="s">
        <v>86</v>
      </c>
      <c r="E375" s="3" t="s">
        <v>106</v>
      </c>
      <c r="F375" s="3" t="s">
        <v>1387</v>
      </c>
      <c r="G375" s="13" t="s">
        <v>1311</v>
      </c>
      <c r="H375" s="14" t="s">
        <v>569</v>
      </c>
      <c r="J375" s="3">
        <v>3</v>
      </c>
      <c r="K375" s="3">
        <v>2</v>
      </c>
      <c r="L375" s="3">
        <v>0</v>
      </c>
      <c r="M375" s="3">
        <v>0</v>
      </c>
      <c r="N375" s="3" t="s">
        <v>89</v>
      </c>
      <c r="Q375" s="16" t="s">
        <v>1392</v>
      </c>
      <c r="R375" s="3" t="s">
        <v>1392</v>
      </c>
      <c r="S375" s="16" t="s">
        <v>1393</v>
      </c>
      <c r="T375" s="3" t="s">
        <v>1393</v>
      </c>
      <c r="U375" s="3" t="s">
        <v>93</v>
      </c>
      <c r="V375" s="3" t="s">
        <v>93</v>
      </c>
      <c r="W375" s="57" t="s">
        <v>482</v>
      </c>
      <c r="X375" t="str">
        <f>DataItems3[[#This Row],[Collection]]&amp;DataItems3[[#This Row],[Field]]&amp;DataItems3[[#This Row],[Options for supplying the Field]]&amp;DataItems3[[#This Row],[Fieldname]]&amp;DataItems3[[#This Row],[Parent]]</f>
        <v>StudentLevel of study(Doctorate/ Masters/ Other postgraduate (research)/ Other postgraduate (taught)/ First degree/ Other undergraduate)F_COURSEAIM</v>
      </c>
      <c r="Y375" s="15"/>
      <c r="AA375" s="28" t="str">
        <f t="shared" si="55"/>
        <v xml:space="preserve">CASE WHEN s.F_COURSEAIM IN ('D00', 'D01', 'E00') THEN 'DOC' WHEN s.F_COURSEAIM IN ('M00', 'M01', 'M02', 'M10', 'M11', 'M16', 'L00') THEN 'MAS' WHEN s.F_XLEV501 IN ('1') THEN 'OPGR' WHEN s.F_XLEV501 IN ('2') THEN 'OPGT' WHEN s.F_XLEV501='3' THEN 'FID' WHEN s.F_XLEV501='4' THEN 'OUG' WHEN s.F_XLEV501='5' THEN 'FE' ELSE 'ERR' END </v>
      </c>
      <c r="AB375" s="28" t="str">
        <f t="shared" si="59"/>
        <v xml:space="preserve">CASE WHEN s.F_COURSEAIM IN ('D00', 'D01', 'E00') THEN 'Doctorate' WHEN s.F_COURSEAIM IN ('M00', 'M01', 'M02', 'M10', 'M11', 'M16', 'L00') THEN 'Masters' WHEN s.F_XLEV501 IN ('1') THEN 'Other postgraduate (research)' WHEN s.F_XLEV501 IN ('2') THEN 'Other postgraduate (taught)' WHEN s.F_XLEV501='3' THEN 'First degree' WHEN s.F_XLEV501='4' THEN 'Other undergraduate' 	WHEN s.F_XLEV501='5' THEN 'Further education' ELSE 'ERR' END </v>
      </c>
      <c r="AC375" s="28" t="str">
        <f t="shared" si="53"/>
        <v xml:space="preserve">CASE WHEN s.F_COURSEAIM IN ('D00', 'D01', 'E00') THEN 'DOC' WHEN s.F_COURSEAIM IN ('M00', 'M01', 'M02', 'M10', 'M11', 'M16', 'L00') THEN 'MAS' WHEN s.F_XLEV501 IN ('1') THEN 'OPGR' WHEN s.F_XLEV501 IN ('2') THEN 'OPGT' WHEN s.F_XLEV501='3' THEN 'FID' WHEN s.F_XLEV501='4' THEN 'OUG' WHEN s.F_XLEV501='5' THEN 'FE' ELSE 'ERR' END </v>
      </c>
      <c r="AD375" s="28" t="str">
        <f t="shared" si="60"/>
        <v xml:space="preserve">CASE WHEN s.F_COURSEAIM IN ('D00', 'D01', 'E00') THEN 'Doctorate' WHEN s.F_COURSEAIM IN ('M00', 'M01', 'M02', 'M10', 'M11', 'M16', 'L00') THEN 'Masters' WHEN s.F_XLEV501 IN ('1') THEN 'Other postgraduate (research)' WHEN s.F_XLEV501 IN ('2') THEN 'Other postgraduate (taught)' WHEN s.F_XLEV501='3' THEN 'First degree' WHEN s.F_XLEV501='4' THEN 'Other undergraduate' 	WHEN s.F_XLEV501='5' THEN 'Further education' ELSE 'ERR' END </v>
      </c>
      <c r="AE375" t="str">
        <f t="shared" si="50"/>
        <v>[Level of study]</v>
      </c>
    </row>
    <row r="376" spans="1:32" ht="64" x14ac:dyDescent="0.2">
      <c r="A376">
        <v>100294</v>
      </c>
      <c r="B376" s="11" t="str">
        <f>DataItems3[[#This Row],[Field]]&amp;IF(DataItems3[[#This Row],[Options for supplying the Field]]="",""," "&amp;DataItems3[[#This Row],[Options for supplying the Field]])</f>
        <v>Level of study (Doctorate/ Masters/ Other postgraduate/ First degree/ Other undergraduate)</v>
      </c>
      <c r="C376">
        <v>100294</v>
      </c>
      <c r="D376" s="3" t="s">
        <v>86</v>
      </c>
      <c r="E376" s="3" t="s">
        <v>106</v>
      </c>
      <c r="F376" s="3" t="s">
        <v>1387</v>
      </c>
      <c r="G376" s="13" t="s">
        <v>1314</v>
      </c>
      <c r="H376" s="14" t="s">
        <v>569</v>
      </c>
      <c r="J376" s="3">
        <v>3</v>
      </c>
      <c r="K376" s="3">
        <v>2</v>
      </c>
      <c r="L376" s="3">
        <v>0</v>
      </c>
      <c r="M376" s="3">
        <v>0</v>
      </c>
      <c r="N376" s="3" t="s">
        <v>89</v>
      </c>
      <c r="Q376" s="16" t="s">
        <v>1394</v>
      </c>
      <c r="R376" s="3" t="s">
        <v>1394</v>
      </c>
      <c r="S376" s="16" t="s">
        <v>1395</v>
      </c>
      <c r="T376" s="3" t="s">
        <v>1395</v>
      </c>
      <c r="U376" s="3" t="s">
        <v>93</v>
      </c>
      <c r="V376" s="3" t="s">
        <v>93</v>
      </c>
      <c r="W376" s="57" t="s">
        <v>145</v>
      </c>
      <c r="X376" t="str">
        <f>DataItems3[[#This Row],[Collection]]&amp;DataItems3[[#This Row],[Field]]&amp;DataItems3[[#This Row],[Options for supplying the Field]]&amp;DataItems3[[#This Row],[Fieldname]]&amp;DataItems3[[#This Row],[Parent]]</f>
        <v>StudentLevel of study(Doctorate/ Masters/ Other postgraduate/ First degree/ Other undergraduate)F_COURSEAIM</v>
      </c>
      <c r="Y376" s="15"/>
      <c r="AA376" s="28" t="str">
        <f t="shared" si="55"/>
        <v xml:space="preserve">CASE WHEN s.F_COURSEAIM IN ('D00', 'D01', 'E00') THEN 'DOC' WHEN s.F_COURSEAIM IN ('M00', 'M01', 'M02', 'M10', 'M11', 'M16', 'L00') THEN 'MAS' WHEN s.F_XLEV501 IN ('1', '2') THEN 'OPG' WHEN s.F_XLEV501='3' THEN 'FID' WHEN s.F_XLEV501='4' THEN 'OUG' 	WHEN s.F_XLEV501='5' THEN 'FE' ELSE 'ERR' END </v>
      </c>
      <c r="AB376" s="28" t="str">
        <f t="shared" si="59"/>
        <v xml:space="preserve">CASE WHEN s.F_COURSEAIM IN ('D00', 'D01', 'E00') THEN 'Doctorate' WHEN s.F_COURSEAIM IN ('M00', 'M01', 'M02', 'M10', 'M11', 'M16', 'L00') THEN 'Masters' WHEN s.F_XLEV501 IN ('1', '2') THEN 'Other postgraduate'  WHEN s.F_XLEV501='3' THEN 'First degree' WHEN s.F_XLEV501='4' THEN 'Other undergraduate' 	WHEN s.F_XLEV501='5' THEN 'Further education' ELSE 'ERR' END </v>
      </c>
      <c r="AC376" s="28" t="str">
        <f t="shared" si="53"/>
        <v xml:space="preserve">CASE WHEN s.F_COURSEAIM IN ('D00', 'D01', 'E00') THEN 'DOC' WHEN s.F_COURSEAIM IN ('M00', 'M01', 'M02', 'M10', 'M11', 'M16', 'L00') THEN 'MAS' WHEN s.F_XLEV501 IN ('1', '2') THEN 'OPG' WHEN s.F_XLEV501='3' THEN 'FID' WHEN s.F_XLEV501='4' THEN 'OUG' 	WHEN s.F_XLEV501='5' THEN 'FE' ELSE 'ERR' END </v>
      </c>
      <c r="AD376" s="28" t="str">
        <f t="shared" si="60"/>
        <v xml:space="preserve">CASE WHEN s.F_COURSEAIM IN ('D00', 'D01', 'E00') THEN 'Doctorate' WHEN s.F_COURSEAIM IN ('M00', 'M01', 'M02', 'M10', 'M11', 'M16', 'L00') THEN 'Masters' WHEN s.F_XLEV501 IN ('1', '2') THEN 'Other postgraduate'  WHEN s.F_XLEV501='3' THEN 'First degree' WHEN s.F_XLEV501='4' THEN 'Other undergraduate' 	WHEN s.F_XLEV501='5' THEN 'Further education' ELSE 'ERR' END </v>
      </c>
      <c r="AE376" t="str">
        <f t="shared" si="50"/>
        <v>[Level of study]</v>
      </c>
    </row>
    <row r="377" spans="1:32" ht="96" x14ac:dyDescent="0.2">
      <c r="A377">
        <v>100296</v>
      </c>
      <c r="B377" s="11" t="str">
        <f>DataItems3[[#This Row],[Field]]&amp;IF(DataItems3[[#This Row],[Options for supplying the Field]]="",""," "&amp;DataItems3[[#This Row],[Options for supplying the Field]])</f>
        <v>Level of study (Higher National Diploma (HND)/ Higher National Certificate (HNC)/ Foundation degree/ Other undergraduate)</v>
      </c>
      <c r="C377">
        <v>100296</v>
      </c>
      <c r="D377" s="3" t="s">
        <v>86</v>
      </c>
      <c r="E377" s="3" t="s">
        <v>106</v>
      </c>
      <c r="F377" s="3" t="s">
        <v>1387</v>
      </c>
      <c r="G377" s="13" t="s">
        <v>1302</v>
      </c>
      <c r="H377" s="14" t="s">
        <v>569</v>
      </c>
      <c r="J377" s="3">
        <v>3</v>
      </c>
      <c r="K377" s="3">
        <v>2</v>
      </c>
      <c r="L377" s="3">
        <v>0</v>
      </c>
      <c r="M377" s="3">
        <v>0</v>
      </c>
      <c r="N377" s="3" t="s">
        <v>89</v>
      </c>
      <c r="Q377" s="16" t="s">
        <v>1396</v>
      </c>
      <c r="R377" s="3" t="s">
        <v>1396</v>
      </c>
      <c r="S377" s="16" t="s">
        <v>1397</v>
      </c>
      <c r="T377" s="3" t="s">
        <v>1397</v>
      </c>
      <c r="U377" s="3" t="s">
        <v>93</v>
      </c>
      <c r="V377" s="3" t="s">
        <v>93</v>
      </c>
      <c r="W377" s="57" t="s">
        <v>744</v>
      </c>
      <c r="X377" t="str">
        <f>DataItems3[[#This Row],[Collection]]&amp;DataItems3[[#This Row],[Field]]&amp;DataItems3[[#This Row],[Options for supplying the Field]]&amp;DataItems3[[#This Row],[Fieldname]]&amp;DataItems3[[#This Row],[Parent]]</f>
        <v>StudentLevel of study(Higher National Diploma (HND)/ Higher National Certificate (HNC)/ Foundation degree/ Other undergraduate)F_COURSEAIM</v>
      </c>
      <c r="Y377" s="15">
        <v>42919</v>
      </c>
      <c r="Z377" t="s">
        <v>139</v>
      </c>
      <c r="AA377" s="28" t="str">
        <f t="shared" si="55"/>
        <v>CASE WHEN s.F_XLEV301 = '1' THEN 'Postgraduate' WHEN s.F_COURSEAIM IN ('J10', 'J16') THEN 'Foundation degree' WHEN s.F_COURSEAIM = 'J30' THEN 'HND' WHEN s.F_COURSEAIM = 'C30' THEN 'HNC' ELSE 'Other undergraduate' END</v>
      </c>
      <c r="AB377" s="28" t="str">
        <f t="shared" si="59"/>
        <v>CASE WHEN s.F_XLEV301 = '1' THEN 'Postgraduate' WHEN s.F_COURSEAIM IN ('J10', 'J16') THEN 'Foundation degree' WHEN s.F_COURSEAIM = 'J30' THEN 'Higher National Diploma (HND)' WHEN s.F_COURSEAIM = 'C30' THEN 'Higher National Certificate (HNC)' ELSE 'Other undergraduate' END' THEN 'HNC' ELSE 'Other undergraduate' END</v>
      </c>
      <c r="AC377" s="28" t="str">
        <f t="shared" si="53"/>
        <v>CASE WHEN s.F_XLEV301 = '1' THEN 'Postgraduate' WHEN s.F_COURSEAIM IN ('J10', 'J16') THEN 'Foundation degree' WHEN s.F_COURSEAIM = 'J30' THEN 'HND' WHEN s.F_COURSEAIM = 'C30' THEN 'HNC' ELSE 'Other undergraduate' END</v>
      </c>
      <c r="AD377" s="28" t="str">
        <f t="shared" si="60"/>
        <v>CASE WHEN s.F_XLEV301 = '1' THEN 'Postgraduate' WHEN s.F_COURSEAIM IN ('J10', 'J16') THEN 'Foundation degree' WHEN s.F_COURSEAIM = 'J30' THEN 'Higher National Diploma (HND)' WHEN s.F_COURSEAIM = 'C30' THEN 'Higher National Certificate (HNC)' ELSE 'Other undergraduate' END' THEN 'HNC' ELSE 'Other undergraduate' END</v>
      </c>
      <c r="AE377" t="str">
        <f t="shared" si="50"/>
        <v>[Level of study]</v>
      </c>
    </row>
    <row r="378" spans="1:32" ht="48" x14ac:dyDescent="0.2">
      <c r="A378">
        <v>100297</v>
      </c>
      <c r="B378" s="11" t="str">
        <f>DataItems3[[#This Row],[Field]]&amp;IF(DataItems3[[#This Row],[Options for supplying the Field]]="",""," "&amp;DataItems3[[#This Row],[Options for supplying the Field]])</f>
        <v>Level of study (M16/ Other Masters/ First degree/ Other undergraduate)</v>
      </c>
      <c r="C378">
        <v>100297</v>
      </c>
      <c r="D378" s="3" t="s">
        <v>86</v>
      </c>
      <c r="E378" s="3" t="s">
        <v>106</v>
      </c>
      <c r="F378" s="3" t="s">
        <v>1387</v>
      </c>
      <c r="G378" s="13" t="s">
        <v>1320</v>
      </c>
      <c r="H378" s="14" t="s">
        <v>569</v>
      </c>
      <c r="J378" s="3">
        <v>3</v>
      </c>
      <c r="K378" s="3">
        <v>2</v>
      </c>
      <c r="L378" s="3">
        <v>0</v>
      </c>
      <c r="M378" s="3">
        <v>0</v>
      </c>
      <c r="N378" s="3" t="s">
        <v>89</v>
      </c>
      <c r="Q378" s="16" t="s">
        <v>1398</v>
      </c>
      <c r="R378" s="3" t="s">
        <v>1398</v>
      </c>
      <c r="S378" s="16" t="s">
        <v>1399</v>
      </c>
      <c r="T378" s="3" t="s">
        <v>1399</v>
      </c>
      <c r="U378" s="3" t="s">
        <v>1400</v>
      </c>
      <c r="V378" s="3" t="s">
        <v>93</v>
      </c>
      <c r="W378" s="57" t="s">
        <v>114</v>
      </c>
      <c r="X378" t="str">
        <f>DataItems3[[#This Row],[Collection]]&amp;DataItems3[[#This Row],[Field]]&amp;DataItems3[[#This Row],[Options for supplying the Field]]&amp;DataItems3[[#This Row],[Fieldname]]&amp;DataItems3[[#This Row],[Parent]]</f>
        <v>StudentLevel of study(M16/ Other Masters/ First degree/ Other undergraduate)F_COURSEAIM</v>
      </c>
      <c r="Y378" s="15"/>
      <c r="AA378" s="28" t="str">
        <f t="shared" si="55"/>
        <v>CASE WHEN s.F_COURSEAIM = 'M16' THEN 'M16' WHEN s.F_COURSEAIM IN ('L00', 'M00', 'M01', 'M02', 'M10', 'M11') THEN 'Other masters' WHEN s.F_XLEV301 = '1' THEN 'Other postgraduate' ELSE CAST(s.F_XLEV501 AS VARCHAR) END</v>
      </c>
      <c r="AB378" s="28" t="str">
        <f t="shared" si="59"/>
        <v>CASE WHEN s.F_COURSEAIM = 'M16' THEN 'M16' WHEN s.F_COURSEAIM IN ('L00', 'M00', 'M01', 'M02', 'M10', 'M11') THEN 'Other masters' WHEN s.F_XLEV301 = '1' THEN 'Other postgraduate' ELSE xlev501.DW_CurrentLabel END</v>
      </c>
      <c r="AC378" s="28" t="str">
        <f t="shared" si="53"/>
        <v>CASE WHEN s.F_COURSEAIM = 'M16' THEN 'M16' WHEN s.F_COURSEAIM IN ('L00', 'M00', 'M01', 'M02', 'M10', 'M11') THEN 'Other masters' WHEN s.F_XLEV301 = '1' THEN 'Other postgraduate' ELSE CAST(s.F_XLEV501 AS VARCHAR) END</v>
      </c>
      <c r="AD378" s="28" t="str">
        <f t="shared" si="60"/>
        <v>CASE WHEN s.F_COURSEAIM = 'M16' THEN 'M16' WHEN s.F_COURSEAIM IN ('L00', 'M00', 'M01', 'M02', 'M10', 'M11') THEN 'Other masters' WHEN s.F_XLEV301 = '1' THEN 'Other postgraduate' ELSE xlev501.DW_CurrentLabel END</v>
      </c>
      <c r="AE378" t="str">
        <f t="shared" si="50"/>
        <v>[Level of study]</v>
      </c>
    </row>
    <row r="379" spans="1:32" ht="80" x14ac:dyDescent="0.2">
      <c r="A379">
        <v>100298</v>
      </c>
      <c r="B379" s="11" t="str">
        <f>DataItems3[[#This Row],[Field]]&amp;IF(DataItems3[[#This Row],[Options for supplying the Field]]="",""," "&amp;DataItems3[[#This Row],[Options for supplying the Field]])</f>
        <v>Level of study (Masters (research)/ Masters (taught)/ Other postgraduate/ First degree/ Other undergraduate)</v>
      </c>
      <c r="C379">
        <v>100298</v>
      </c>
      <c r="D379" s="3" t="s">
        <v>86</v>
      </c>
      <c r="E379" s="3" t="s">
        <v>106</v>
      </c>
      <c r="F379" s="3" t="s">
        <v>1387</v>
      </c>
      <c r="G379" s="13" t="s">
        <v>1323</v>
      </c>
      <c r="H379" s="14" t="s">
        <v>569</v>
      </c>
      <c r="J379" s="3">
        <v>3</v>
      </c>
      <c r="K379" s="3">
        <v>2</v>
      </c>
      <c r="L379" s="3">
        <v>0</v>
      </c>
      <c r="M379" s="3">
        <v>0</v>
      </c>
      <c r="N379" s="3" t="s">
        <v>89</v>
      </c>
      <c r="Q379" s="16" t="s">
        <v>1401</v>
      </c>
      <c r="R379" s="3" t="s">
        <v>1401</v>
      </c>
      <c r="S379" s="16" t="s">
        <v>1402</v>
      </c>
      <c r="T379" s="3" t="s">
        <v>1402</v>
      </c>
      <c r="U379" s="3" t="s">
        <v>93</v>
      </c>
      <c r="V379" s="3" t="s">
        <v>93</v>
      </c>
      <c r="W379" s="57" t="s">
        <v>441</v>
      </c>
      <c r="X379" t="str">
        <f>DataItems3[[#This Row],[Collection]]&amp;DataItems3[[#This Row],[Field]]&amp;DataItems3[[#This Row],[Options for supplying the Field]]&amp;DataItems3[[#This Row],[Fieldname]]&amp;DataItems3[[#This Row],[Parent]]</f>
        <v>StudentLevel of study(Masters (research)/ Masters (taught)/ Other postgraduate/ First degree/ Other undergraduate)F_COURSEAIM</v>
      </c>
      <c r="Y379" s="15"/>
      <c r="AA379" s="28" t="str">
        <f t="shared" si="55"/>
        <v>CASE WHEN s.F_COURSEAIM='L00' THEN 'MASR' WHEN s.F_COURSEAIM IN ('M00', 'M01', 'M02', 'M10', 'M11', 'M16') THEN 'MAST' WHEN s.F_XLEV501 IN ('1', '2') THEN 'OPG' WHEN s.F_XLEV501='3' THEN 'FID' WHEN s.F_XLEV501='4' THEN 'OUG' 	WHEN s.F_XLEV501='5' THEN 'Further education' ELSE 'FE' END</v>
      </c>
      <c r="AB379" s="28" t="str">
        <f t="shared" si="59"/>
        <v xml:space="preserve">CASE WHEN s.F_COURSEAIM='L00' THEN 'Masters (research)' WHEN s.F_COURSEAIM IN ('M00', 'M01', 'M02', 'M10', 'M11', 'M16') THEN 'Masters (taught)' WHEN s.F_XLEV501 IN ('1', '2') THEN 'Other postgraduate' WHEN s.F_XLEV501='3' THEN 'First degree' WHEN s.F_XLEV501='4' THEN 'Other undergraduate' 	WHEN s.F_XLEV501='5' THEN 'Further education' ELSE 'ERR' END </v>
      </c>
      <c r="AC379" s="28" t="str">
        <f t="shared" si="53"/>
        <v>CASE WHEN s.F_COURSEAIM='L00' THEN 'MASR' WHEN s.F_COURSEAIM IN ('M00', 'M01', 'M02', 'M10', 'M11', 'M16') THEN 'MAST' WHEN s.F_XLEV501 IN ('1', '2') THEN 'OPG' WHEN s.F_XLEV501='3' THEN 'FID' WHEN s.F_XLEV501='4' THEN 'OUG' 	WHEN s.F_XLEV501='5' THEN 'Further education' ELSE 'FE' END</v>
      </c>
      <c r="AD379" s="28" t="str">
        <f t="shared" si="60"/>
        <v xml:space="preserve">CASE WHEN s.F_COURSEAIM='L00' THEN 'Masters (research)' WHEN s.F_COURSEAIM IN ('M00', 'M01', 'M02', 'M10', 'M11', 'M16') THEN 'Masters (taught)' WHEN s.F_XLEV501 IN ('1', '2') THEN 'Other postgraduate' WHEN s.F_XLEV501='3' THEN 'First degree' WHEN s.F_XLEV501='4' THEN 'Other undergraduate' 	WHEN s.F_XLEV501='5' THEN 'Further education' ELSE 'ERR' END </v>
      </c>
      <c r="AE379" t="str">
        <f t="shared" si="50"/>
        <v>[Level of study]</v>
      </c>
    </row>
    <row r="380" spans="1:32" ht="80" x14ac:dyDescent="0.2">
      <c r="A380">
        <v>100299</v>
      </c>
      <c r="B380" s="11" t="str">
        <f>DataItems3[[#This Row],[Field]]&amp;IF(DataItems3[[#This Row],[Options for supplying the Field]]="",""," "&amp;DataItems3[[#This Row],[Options for supplying the Field]])</f>
        <v>Level of study (Postgraduate (research)/ Postgraduate (taught)/ First degree/ Foundation degree/ Other undergraduate)</v>
      </c>
      <c r="C380">
        <v>100299</v>
      </c>
      <c r="D380" s="3" t="s">
        <v>86</v>
      </c>
      <c r="E380" s="3" t="s">
        <v>106</v>
      </c>
      <c r="F380" s="3" t="s">
        <v>1387</v>
      </c>
      <c r="G380" s="13" t="s">
        <v>1300</v>
      </c>
      <c r="H380" s="14" t="s">
        <v>569</v>
      </c>
      <c r="J380" s="3">
        <v>3</v>
      </c>
      <c r="K380" s="3">
        <v>2</v>
      </c>
      <c r="L380" s="3">
        <v>0</v>
      </c>
      <c r="M380" s="3">
        <v>0</v>
      </c>
      <c r="N380" s="3" t="s">
        <v>1403</v>
      </c>
      <c r="Q380" s="16" t="s">
        <v>1404</v>
      </c>
      <c r="R380" s="3" t="s">
        <v>1404</v>
      </c>
      <c r="S380" s="16" t="s">
        <v>1405</v>
      </c>
      <c r="T380" s="3" t="s">
        <v>1405</v>
      </c>
      <c r="U380" s="3" t="s">
        <v>1391</v>
      </c>
      <c r="V380" s="3" t="s">
        <v>93</v>
      </c>
      <c r="W380" s="57" t="s">
        <v>114</v>
      </c>
      <c r="X380" t="str">
        <f>DataItems3[[#This Row],[Collection]]&amp;DataItems3[[#This Row],[Field]]&amp;DataItems3[[#This Row],[Options for supplying the Field]]&amp;DataItems3[[#This Row],[Fieldname]]&amp;DataItems3[[#This Row],[Parent]]</f>
        <v>StudentLevel of study(Postgraduate (research)/ Postgraduate (taught)/ First degree/ Foundation degree/ Other undergraduate)F_COURSEAIM</v>
      </c>
      <c r="Y380" s="15"/>
      <c r="AA380" s="28" t="str">
        <f t="shared" si="55"/>
        <v>case when s.F_COURSEAIM IN ('J10','J16') THEN 'FD' else CAST(s.f_xlev501 AS VARCHAR) end</v>
      </c>
      <c r="AB380" s="28" t="str">
        <f t="shared" si="59"/>
        <v>CASE when s.F_COURSEAIM IN ('J10','J16') THEN 'Foundation degree' else xlev501.DW_currentlabel end</v>
      </c>
      <c r="AC380" s="28" t="str">
        <f t="shared" si="53"/>
        <v>case when s.F_COURSEAIM IN ('J10','J16') THEN 'FD' else CAST(s.f_xlev501 AS VARCHAR) end</v>
      </c>
      <c r="AD380" s="28" t="str">
        <f t="shared" si="60"/>
        <v>CASE when s.F_COURSEAIM IN ('J10','J16') THEN 'Foundation degree' else xlev501.DW_currentlabel end</v>
      </c>
      <c r="AE380" t="str">
        <f t="shared" si="50"/>
        <v>[Level of study]</v>
      </c>
    </row>
    <row r="381" spans="1:32" ht="96" x14ac:dyDescent="0.2">
      <c r="A381">
        <v>100303</v>
      </c>
      <c r="B381" s="11" t="str">
        <f>DataItems3[[#This Row],[Field]]&amp;IF(DataItems3[[#This Row],[Options for supplying the Field]]="",""," "&amp;DataItems3[[#This Row],[Options for supplying the Field]])</f>
        <v>Level of study (Postgraduate (research)/ Postgraduate (taught)/ Postgraduate PGCE/ First degree/ Undergraduate PGCE/ Other undergraduate)</v>
      </c>
      <c r="C381">
        <v>100303</v>
      </c>
      <c r="D381" s="3" t="s">
        <v>86</v>
      </c>
      <c r="E381" s="3" t="s">
        <v>106</v>
      </c>
      <c r="F381" s="3" t="s">
        <v>1387</v>
      </c>
      <c r="G381" s="13" t="s">
        <v>1335</v>
      </c>
      <c r="H381" s="14" t="s">
        <v>569</v>
      </c>
      <c r="J381" s="3">
        <v>3</v>
      </c>
      <c r="K381" s="3">
        <v>2</v>
      </c>
      <c r="L381" s="3">
        <v>0</v>
      </c>
      <c r="M381" s="3">
        <v>0</v>
      </c>
      <c r="N381" s="3" t="s">
        <v>89</v>
      </c>
      <c r="Q381" s="16" t="s">
        <v>1406</v>
      </c>
      <c r="R381" s="3" t="s">
        <v>1406</v>
      </c>
      <c r="S381" s="16" t="s">
        <v>1407</v>
      </c>
      <c r="T381" s="3" t="s">
        <v>1407</v>
      </c>
      <c r="U381" s="3" t="s">
        <v>1408</v>
      </c>
      <c r="V381" s="3" t="s">
        <v>93</v>
      </c>
      <c r="W381" s="57" t="s">
        <v>114</v>
      </c>
      <c r="X381" t="str">
        <f>DataItems3[[#This Row],[Collection]]&amp;DataItems3[[#This Row],[Field]]&amp;DataItems3[[#This Row],[Options for supplying the Field]]&amp;DataItems3[[#This Row],[Fieldname]]&amp;DataItems3[[#This Row],[Parent]]</f>
        <v>StudentLevel of study(Postgraduate (research)/ Postgraduate (taught)/ Postgraduate PGCE/ First degree/ Undergraduate PGCE/ Other undergraduate)F_COURSEAIM</v>
      </c>
      <c r="Y381" s="15"/>
      <c r="AA381" s="28" t="str">
        <f t="shared" si="55"/>
        <v>CASE WHEN s.F_COURSEAIM = 'M71' THEN 'Postgraduate PGCE' WHEN s.F_COURSEAIM = 'H71' THEN 'Undergraduate PGCE' WHEN s.F_XLEV501 = '2' THEN 'Other Postgraduate (taught)' WHEN s.F_XLEV501 = '4' THEN 'Other Undergraduate' ELSE CAST(s.F_XLEV501 AS VARCHAR) END</v>
      </c>
      <c r="AB381" s="28" t="str">
        <f t="shared" si="59"/>
        <v>CASE WHEN s.F_COURSEAIM = 'M71' THEN 'Postgraduate PGCE' WHEN s.F_COURSEAIM = 'H71' THEN 'Undergraduate PGCE' WHEN s.F_XLEV501 = '2' THEN 'Other Postgraduate (taught)' WHEN s.F_XLEV501 = '4' THEN 'Other Undergraduate' ELSE XLEV501.DW_CurrentLabel END</v>
      </c>
      <c r="AC381" s="28" t="str">
        <f t="shared" si="53"/>
        <v>CASE WHEN s.F_COURSEAIM = 'M71' THEN 'Postgraduate PGCE' WHEN s.F_COURSEAIM = 'H71' THEN 'Undergraduate PGCE' WHEN s.F_XLEV501 = '2' THEN 'Other Postgraduate (taught)' WHEN s.F_XLEV501 = '4' THEN 'Other Undergraduate' ELSE CAST(s.F_XLEV501 AS VARCHAR) END</v>
      </c>
      <c r="AD381" s="28" t="str">
        <f t="shared" si="60"/>
        <v>CASE WHEN s.F_COURSEAIM = 'M71' THEN 'Postgraduate PGCE' WHEN s.F_COURSEAIM = 'H71' THEN 'Undergraduate PGCE' WHEN s.F_XLEV501 = '2' THEN 'Other Postgraduate (taught)' WHEN s.F_XLEV501 = '4' THEN 'Other Undergraduate' ELSE XLEV501.DW_CurrentLabel END</v>
      </c>
      <c r="AE381" t="str">
        <f t="shared" si="50"/>
        <v>[Level of study]</v>
      </c>
    </row>
    <row r="382" spans="1:32" ht="80" x14ac:dyDescent="0.2">
      <c r="A382">
        <v>100305</v>
      </c>
      <c r="B382" s="11" t="str">
        <f>DataItems3[[#This Row],[Field]]&amp;IF(DataItems3[[#This Row],[Options for supplying the Field]]="",""," "&amp;DataItems3[[#This Row],[Options for supplying the Field]])</f>
        <v>Level of study (Postgraduate taught/ Other postgraduate/ First degree/ HND/ Foundation degree/ Other undergraduate)</v>
      </c>
      <c r="C382">
        <v>100305</v>
      </c>
      <c r="D382" s="3" t="s">
        <v>86</v>
      </c>
      <c r="E382" s="3" t="s">
        <v>106</v>
      </c>
      <c r="F382" s="3" t="s">
        <v>1387</v>
      </c>
      <c r="G382" s="13" t="s">
        <v>1341</v>
      </c>
      <c r="H382" s="14" t="s">
        <v>569</v>
      </c>
      <c r="J382" s="3">
        <v>3</v>
      </c>
      <c r="K382" s="3">
        <v>2</v>
      </c>
      <c r="L382" s="3">
        <v>0</v>
      </c>
      <c r="M382" s="3">
        <v>0</v>
      </c>
      <c r="Q382" s="16" t="s">
        <v>1409</v>
      </c>
      <c r="R382" s="3" t="s">
        <v>1409</v>
      </c>
      <c r="S382" s="16" t="s">
        <v>1410</v>
      </c>
      <c r="T382" s="3" t="s">
        <v>1410</v>
      </c>
      <c r="U382" s="3" t="s">
        <v>1408</v>
      </c>
      <c r="V382" s="3" t="s">
        <v>93</v>
      </c>
      <c r="W382" s="57" t="s">
        <v>114</v>
      </c>
      <c r="X382" t="str">
        <f>DataItems3[[#This Row],[Collection]]&amp;DataItems3[[#This Row],[Field]]&amp;DataItems3[[#This Row],[Options for supplying the Field]]&amp;DataItems3[[#This Row],[Fieldname]]&amp;DataItems3[[#This Row],[Parent]]</f>
        <v>StudentLevel of study(Postgraduate taught/ Other postgraduate/ First degree/ HND/ Foundation degree/ Other undergraduate)F_COURSEAIM</v>
      </c>
      <c r="Y382" s="15">
        <v>43438</v>
      </c>
      <c r="Z382" t="s">
        <v>95</v>
      </c>
      <c r="AA382" s="28" t="str">
        <f t="shared" si="55"/>
        <v>CASE WHEN s.F_COURSEAIM = 'J30' THEN 'HND' WHEN s.F_COURSEAIM IN ('J10', 'J16') THEN 'Foundation degree' ELSE CAST(s.F_XLEV501 AS VARCHAR) END</v>
      </c>
      <c r="AB382" s="28" t="str">
        <f t="shared" si="59"/>
        <v>CASE WHEN s.F_COURSEAIM = 'J30' THEN 'HND' WHEN s.F_COURSEAIM IN ('J10', 'J16') THEN 'Foundation degree' ELSE XLEV501.DW_CurrentLabel END</v>
      </c>
      <c r="AC382" s="28" t="str">
        <f t="shared" si="53"/>
        <v>CASE WHEN s.F_COURSEAIM = 'J30' THEN 'HND' WHEN s.F_COURSEAIM IN ('J10', 'J16') THEN 'Foundation degree' ELSE CAST(s.F_XLEV501 AS VARCHAR) END</v>
      </c>
      <c r="AD382" s="28" t="str">
        <f t="shared" si="60"/>
        <v>CASE WHEN s.F_COURSEAIM = 'J30' THEN 'HND' WHEN s.F_COURSEAIM IN ('J10', 'J16') THEN 'Foundation degree' ELSE XLEV501.DW_CurrentLabel END</v>
      </c>
      <c r="AE382" t="str">
        <f t="shared" ref="AE382:AE445" si="61">IF(F382="","","["&amp;SUBSTITUTE(SUBSTITUTE(SUBSTITUTE(F382,"[","{"),"]","}"),"⁽"&amp;CHAR(185)&amp;"⁾","")&amp;"]")</f>
        <v>[Level of study]</v>
      </c>
    </row>
    <row r="383" spans="1:32" ht="32" x14ac:dyDescent="0.2">
      <c r="A383">
        <v>100307</v>
      </c>
      <c r="B383" s="11" t="str">
        <f>DataItems3[[#This Row],[Field]]&amp;IF(DataItems3[[#This Row],[Options for supplying the Field]]="",""," "&amp;DataItems3[[#This Row],[Options for supplying the Field]])</f>
        <v>Level of study (Postgraduate/ Undergraduate)</v>
      </c>
      <c r="C383">
        <v>100307</v>
      </c>
      <c r="D383" s="3" t="s">
        <v>86</v>
      </c>
      <c r="E383" s="3" t="s">
        <v>106</v>
      </c>
      <c r="F383" s="3" t="s">
        <v>1387</v>
      </c>
      <c r="G383" s="13" t="s">
        <v>1298</v>
      </c>
      <c r="H383" s="14" t="s">
        <v>1411</v>
      </c>
      <c r="J383" s="3">
        <v>1</v>
      </c>
      <c r="K383" s="3">
        <v>1</v>
      </c>
      <c r="L383" s="3">
        <v>0</v>
      </c>
      <c r="M383" s="3">
        <v>0</v>
      </c>
      <c r="N383" s="3" t="s">
        <v>106</v>
      </c>
      <c r="Q383" s="16" t="s">
        <v>1412</v>
      </c>
      <c r="R383" s="3" t="s">
        <v>1412</v>
      </c>
      <c r="S383" s="16" t="s">
        <v>1413</v>
      </c>
      <c r="T383" s="3" t="s">
        <v>1413</v>
      </c>
      <c r="U383" s="3" t="s">
        <v>93</v>
      </c>
      <c r="V383" s="3" t="s">
        <v>93</v>
      </c>
      <c r="W383" s="57" t="s">
        <v>109</v>
      </c>
      <c r="X383" t="str">
        <f>DataItems3[[#This Row],[Collection]]&amp;DataItems3[[#This Row],[Field]]&amp;DataItems3[[#This Row],[Options for supplying the Field]]&amp;DataItems3[[#This Row],[Fieldname]]&amp;DataItems3[[#This Row],[Parent]]</f>
        <v>StudentLevel of study(Postgraduate/ Undergraduate)F_XLEV301</v>
      </c>
      <c r="Y383" s="15"/>
      <c r="AA383" s="28" t="str">
        <f t="shared" si="55"/>
        <v>CAST(s.F_XLEV301 AS VARCHAR(1))</v>
      </c>
      <c r="AB383" s="28" t="str">
        <f t="shared" si="59"/>
        <v xml:space="preserve"> s.f_xlev301</v>
      </c>
      <c r="AC383" s="28" t="str">
        <f t="shared" si="53"/>
        <v>CAST(s.F_XLEV301 AS VARCHAR(1))</v>
      </c>
      <c r="AD383" s="28" t="str">
        <f t="shared" si="60"/>
        <v xml:space="preserve"> s.f_xlev301</v>
      </c>
      <c r="AE383" t="str">
        <f t="shared" si="61"/>
        <v>[Level of study]</v>
      </c>
    </row>
    <row r="384" spans="1:32" ht="64" x14ac:dyDescent="0.2">
      <c r="A384">
        <v>100300</v>
      </c>
      <c r="B384" s="11" t="str">
        <f>DataItems3[[#This Row],[Field]]&amp;IF(DataItems3[[#This Row],[Options for supplying the Field]]="",""," "&amp;DataItems3[[#This Row],[Options for supplying the Field]])</f>
        <v>Level of study (Postgraduate (research)/ Postgraduate (taught)/ First degree/ Other undergraduate)</v>
      </c>
      <c r="C384">
        <v>100300</v>
      </c>
      <c r="D384" s="3" t="s">
        <v>86</v>
      </c>
      <c r="E384" s="3" t="s">
        <v>106</v>
      </c>
      <c r="F384" s="3" t="s">
        <v>1387</v>
      </c>
      <c r="G384" s="13" t="s">
        <v>1296</v>
      </c>
      <c r="H384" s="14" t="s">
        <v>1414</v>
      </c>
      <c r="J384" s="3">
        <v>1</v>
      </c>
      <c r="K384" s="3">
        <v>2</v>
      </c>
      <c r="L384" s="3">
        <v>0</v>
      </c>
      <c r="M384" s="3">
        <v>0</v>
      </c>
      <c r="N384" s="3" t="s">
        <v>106</v>
      </c>
      <c r="Q384" s="16" t="s">
        <v>1415</v>
      </c>
      <c r="R384" s="3" t="s">
        <v>1415</v>
      </c>
      <c r="S384" s="16" t="s">
        <v>1416</v>
      </c>
      <c r="T384" s="3" t="s">
        <v>1416</v>
      </c>
      <c r="U384" s="3" t="s">
        <v>93</v>
      </c>
      <c r="V384" s="3" t="s">
        <v>93</v>
      </c>
      <c r="W384" s="57" t="s">
        <v>109</v>
      </c>
      <c r="X384" t="str">
        <f>DataItems3[[#This Row],[Collection]]&amp;DataItems3[[#This Row],[Field]]&amp;DataItems3[[#This Row],[Options for supplying the Field]]&amp;DataItems3[[#This Row],[Fieldname]]&amp;DataItems3[[#This Row],[Parent]]</f>
        <v>StudentLevel of study(Postgraduate (research)/ Postgraduate (taught)/ First degree/ Other undergraduate)F_XLEV501</v>
      </c>
      <c r="Y384" s="15"/>
      <c r="AA384" s="28" t="str">
        <f t="shared" si="55"/>
        <v>CAST(s.F_XLEV501 AS VARCHAR(1))</v>
      </c>
      <c r="AB384" s="28" t="str">
        <f t="shared" si="59"/>
        <v xml:space="preserve"> s.f_xlev501</v>
      </c>
      <c r="AC384" s="28" t="str">
        <f t="shared" si="53"/>
        <v>CAST(s.F_XLEV501 AS VARCHAR(1))</v>
      </c>
      <c r="AD384" s="28" t="str">
        <f t="shared" si="60"/>
        <v xml:space="preserve"> s.f_xlev501</v>
      </c>
      <c r="AE384" t="str">
        <f t="shared" si="61"/>
        <v>[Level of study]</v>
      </c>
      <c r="AF384">
        <v>101007</v>
      </c>
    </row>
    <row r="385" spans="1:31" ht="80" x14ac:dyDescent="0.2">
      <c r="A385">
        <v>100301</v>
      </c>
      <c r="B385" s="11" t="str">
        <f>DataItems3[[#This Row],[Field]]&amp;IF(DataItems3[[#This Row],[Options for supplying the Field]]="",""," "&amp;DataItems3[[#This Row],[Options for supplying the Field]])</f>
        <v>Level of study (Postgraduate (research)/ Postgraduate (taught)/ First degree/ Other undergraduate/ FE)</v>
      </c>
      <c r="C385">
        <v>100301</v>
      </c>
      <c r="D385" s="3" t="s">
        <v>86</v>
      </c>
      <c r="E385" s="3" t="s">
        <v>106</v>
      </c>
      <c r="F385" s="3" t="s">
        <v>1387</v>
      </c>
      <c r="G385" s="13" t="s">
        <v>1331</v>
      </c>
      <c r="H385" s="14" t="s">
        <v>1414</v>
      </c>
      <c r="J385" s="3">
        <v>1</v>
      </c>
      <c r="K385" s="3">
        <v>2</v>
      </c>
      <c r="L385" s="3">
        <v>0</v>
      </c>
      <c r="M385" s="3">
        <v>0</v>
      </c>
      <c r="N385" s="3" t="s">
        <v>1417</v>
      </c>
      <c r="Q385" s="16" t="s">
        <v>1415</v>
      </c>
      <c r="R385" s="3" t="s">
        <v>1415</v>
      </c>
      <c r="S385" s="16" t="s">
        <v>1416</v>
      </c>
      <c r="T385" s="3" t="s">
        <v>1416</v>
      </c>
      <c r="U385" s="3" t="s">
        <v>93</v>
      </c>
      <c r="V385" s="3" t="s">
        <v>93</v>
      </c>
      <c r="W385" s="57" t="s">
        <v>109</v>
      </c>
      <c r="X385" t="str">
        <f>DataItems3[[#This Row],[Collection]]&amp;DataItems3[[#This Row],[Field]]&amp;DataItems3[[#This Row],[Options for supplying the Field]]&amp;DataItems3[[#This Row],[Fieldname]]&amp;DataItems3[[#This Row],[Parent]]</f>
        <v>StudentLevel of study(Postgraduate (research)/ Postgraduate (taught)/ First degree/ Other undergraduate/ FE)F_XLEV501</v>
      </c>
      <c r="Y385" s="15"/>
      <c r="AA385" s="28" t="str">
        <f t="shared" si="55"/>
        <v>CAST(s.F_XLEV501 AS VARCHAR(1))</v>
      </c>
      <c r="AB385" s="28" t="str">
        <f t="shared" si="59"/>
        <v xml:space="preserve"> s.f_xlev501</v>
      </c>
      <c r="AC385" s="28" t="str">
        <f t="shared" si="53"/>
        <v>CAST(s.F_XLEV501 AS VARCHAR(1))</v>
      </c>
      <c r="AD385" s="28" t="str">
        <f t="shared" si="60"/>
        <v xml:space="preserve"> s.f_xlev501</v>
      </c>
      <c r="AE385" t="str">
        <f t="shared" si="61"/>
        <v>[Level of study]</v>
      </c>
    </row>
    <row r="386" spans="1:31" ht="64" x14ac:dyDescent="0.2">
      <c r="A386">
        <v>100304</v>
      </c>
      <c r="B386" s="11" t="str">
        <f>DataItems3[[#This Row],[Field]]&amp;IF(DataItems3[[#This Row],[Options for supplying the Field]]="",""," "&amp;DataItems3[[#This Row],[Options for supplying the Field]])</f>
        <v>Level of study (Postgraduate (research)/ Postgraduate (taught)/ Undergraduate)</v>
      </c>
      <c r="C386">
        <v>100304</v>
      </c>
      <c r="D386" s="3" t="s">
        <v>86</v>
      </c>
      <c r="E386" s="3" t="s">
        <v>106</v>
      </c>
      <c r="F386" s="3" t="s">
        <v>1387</v>
      </c>
      <c r="G386" s="13" t="s">
        <v>1338</v>
      </c>
      <c r="H386" s="14" t="s">
        <v>1414</v>
      </c>
      <c r="J386" s="3">
        <v>2</v>
      </c>
      <c r="K386" s="3">
        <v>2</v>
      </c>
      <c r="L386" s="3">
        <v>0</v>
      </c>
      <c r="M386" s="3">
        <v>0</v>
      </c>
      <c r="N386" s="3" t="s">
        <v>1299</v>
      </c>
      <c r="Q386" s="16" t="s">
        <v>1418</v>
      </c>
      <c r="R386" s="3" t="s">
        <v>1418</v>
      </c>
      <c r="S386" s="16" t="s">
        <v>1419</v>
      </c>
      <c r="T386" s="3" t="s">
        <v>1419</v>
      </c>
      <c r="U386" s="3" t="s">
        <v>1391</v>
      </c>
      <c r="V386" s="3" t="s">
        <v>93</v>
      </c>
      <c r="W386" s="57" t="s">
        <v>114</v>
      </c>
      <c r="X386" t="str">
        <f>DataItems3[[#This Row],[Collection]]&amp;DataItems3[[#This Row],[Field]]&amp;DataItems3[[#This Row],[Options for supplying the Field]]&amp;DataItems3[[#This Row],[Fieldname]]&amp;DataItems3[[#This Row],[Parent]]</f>
        <v>StudentLevel of study(Postgraduate (research)/ Postgraduate (taught)/ Undergraduate)F_XLEV501</v>
      </c>
      <c r="Y386" s="15"/>
      <c r="AA386" s="28" t="str">
        <f t="shared" si="55"/>
        <v>CASE when s.f_XLEV501 in ('1','2') then cast(s.f_XLEV501 as varchar) WHEN s.f_XLEV301 = '2' THEN 'Undergraduate' else cast(s.f_XLEV301 as varchar) end</v>
      </c>
      <c r="AB386" s="28" t="str">
        <f t="shared" si="59"/>
        <v>CASE when s.f_XLEV501 in ('1','2') then xlev501.DW_CurrentLabel WHEN s.f_XLEV301 = '2' THEN 'Undergraduate' ELSE 'Further Education' END</v>
      </c>
      <c r="AC386" s="28" t="str">
        <f t="shared" si="53"/>
        <v>CASE when s.f_XLEV501 in ('1','2') then cast(s.f_XLEV501 as varchar) WHEN s.f_XLEV301 = '2' THEN 'Undergraduate' else cast(s.f_XLEV301 as varchar) end</v>
      </c>
      <c r="AD386" s="28" t="str">
        <f t="shared" si="60"/>
        <v>CASE when s.f_XLEV501 in ('1','2') then xlev501.DW_CurrentLabel WHEN s.f_XLEV301 = '2' THEN 'Undergraduate' ELSE 'Further Education' END</v>
      </c>
      <c r="AE386" t="str">
        <f t="shared" si="61"/>
        <v>[Level of study]</v>
      </c>
    </row>
    <row r="387" spans="1:31" ht="48" x14ac:dyDescent="0.2">
      <c r="A387">
        <v>100306</v>
      </c>
      <c r="B387" s="11" t="str">
        <f>DataItems3[[#This Row],[Field]]&amp;IF(DataItems3[[#This Row],[Options for supplying the Field]]="",""," "&amp;DataItems3[[#This Row],[Options for supplying the Field]])</f>
        <v>Level of study (Postgraduate/ First degree/ Other undergraduate)</v>
      </c>
      <c r="C387">
        <v>100306</v>
      </c>
      <c r="D387" s="3" t="s">
        <v>86</v>
      </c>
      <c r="E387" s="3" t="s">
        <v>106</v>
      </c>
      <c r="F387" s="3" t="s">
        <v>1387</v>
      </c>
      <c r="G387" s="13" t="s">
        <v>1304</v>
      </c>
      <c r="H387" s="14" t="s">
        <v>1414</v>
      </c>
      <c r="J387" s="3">
        <v>2</v>
      </c>
      <c r="K387" s="3">
        <v>2</v>
      </c>
      <c r="L387" s="3">
        <v>0</v>
      </c>
      <c r="M387" s="3">
        <v>0</v>
      </c>
      <c r="N387" s="3" t="s">
        <v>1420</v>
      </c>
      <c r="Q387" s="16" t="s">
        <v>1421</v>
      </c>
      <c r="R387" s="3" t="s">
        <v>1421</v>
      </c>
      <c r="S387" s="16" t="s">
        <v>1422</v>
      </c>
      <c r="T387" s="3" t="s">
        <v>1422</v>
      </c>
      <c r="U387" s="3" t="s">
        <v>1391</v>
      </c>
      <c r="V387" s="3" t="s">
        <v>93</v>
      </c>
      <c r="W387" s="57" t="s">
        <v>114</v>
      </c>
      <c r="X387" t="str">
        <f>DataItems3[[#This Row],[Collection]]&amp;DataItems3[[#This Row],[Field]]&amp;DataItems3[[#This Row],[Options for supplying the Field]]&amp;DataItems3[[#This Row],[Fieldname]]&amp;DataItems3[[#This Row],[Parent]]</f>
        <v>StudentLevel of study(Postgraduate/ First degree/ Other undergraduate)F_XLEV501</v>
      </c>
      <c r="Y387" s="15"/>
      <c r="AA387" s="28" t="str">
        <f t="shared" si="55"/>
        <v xml:space="preserve">CASE when s.f_XLEV501 in ('1','2') then 'Postgraduate' else cast(s.f_XLEV501 AS VARCHAR) end </v>
      </c>
      <c r="AB387" s="28" t="str">
        <f t="shared" si="59"/>
        <v>CASE WHEN s.f_XLEV501 in ('1','2') THEN 'Postgraduate' ELSE xlev501.DW_CurrentLabel END</v>
      </c>
      <c r="AC387" s="28" t="str">
        <f t="shared" si="53"/>
        <v xml:space="preserve">CASE when s.f_XLEV501 in ('1','2') then 'Postgraduate' else cast(s.f_XLEV501 AS VARCHAR) end </v>
      </c>
      <c r="AD387" s="28" t="str">
        <f t="shared" si="60"/>
        <v>CASE WHEN s.f_XLEV501 in ('1','2') THEN 'Postgraduate' ELSE xlev501.DW_CurrentLabel END</v>
      </c>
      <c r="AE387" t="str">
        <f t="shared" si="61"/>
        <v>[Level of study]</v>
      </c>
    </row>
    <row r="388" spans="1:31" ht="112" x14ac:dyDescent="0.2">
      <c r="A388">
        <v>100801</v>
      </c>
      <c r="B388" s="11" t="str">
        <f>DataItems3[[#This Row],[Field]]&amp;IF(DataItems3[[#This Row],[Options for supplying the Field]]="",""," "&amp;DataItems3[[#This Row],[Options for supplying the Field]])</f>
        <v>Level of study (Higher Degree (research)/ Higher Degree (taught)/ Other postgraduate/ First Degree/ Other Undergraduate/ Futher Education)</v>
      </c>
      <c r="C388">
        <v>100801</v>
      </c>
      <c r="D388" s="3" t="s">
        <v>86</v>
      </c>
      <c r="E388" s="3" t="s">
        <v>106</v>
      </c>
      <c r="F388" s="3" t="s">
        <v>1387</v>
      </c>
      <c r="G388" s="13" t="s">
        <v>1423</v>
      </c>
      <c r="H388" s="14" t="s">
        <v>1424</v>
      </c>
      <c r="J388" s="3">
        <v>1</v>
      </c>
      <c r="K388" s="3">
        <v>2</v>
      </c>
      <c r="L388" s="3">
        <v>0</v>
      </c>
      <c r="M388" s="3">
        <v>0</v>
      </c>
      <c r="N388" s="3" t="s">
        <v>89</v>
      </c>
      <c r="Q388" s="16" t="s">
        <v>1425</v>
      </c>
      <c r="R388" s="3" t="s">
        <v>1425</v>
      </c>
      <c r="S388" s="16" t="s">
        <v>1426</v>
      </c>
      <c r="T388" s="3" t="s">
        <v>1426</v>
      </c>
      <c r="W388" s="57" t="s">
        <v>114</v>
      </c>
      <c r="X388" t="str">
        <f>DataItems3[[#This Row],[Collection]]&amp;DataItems3[[#This Row],[Field]]&amp;DataItems3[[#This Row],[Options for supplying the Field]]&amp;DataItems3[[#This Row],[Fieldname]]&amp;DataItems3[[#This Row],[Parent]]</f>
        <v>StudentLevel of study(Higher Degree (research)/ Higher Degree (taught)/ Other postgraduate/ First Degree/ Other Undergraduate/ Futher Education)F_XLEV601</v>
      </c>
      <c r="Y388" s="4">
        <v>44286</v>
      </c>
      <c r="Z388" t="s">
        <v>1126</v>
      </c>
      <c r="AA388" s="28" t="str">
        <f t="shared" si="55"/>
        <v>cast(s.F_XLEV601 as varchar)</v>
      </c>
      <c r="AB388" s="28" t="str">
        <f t="shared" si="59"/>
        <v xml:space="preserve"> s.f_Xlev601</v>
      </c>
      <c r="AC388" s="28" t="str">
        <f t="shared" si="53"/>
        <v>cast(s.F_XLEV601 as varchar)</v>
      </c>
      <c r="AD388" s="28" t="str">
        <f t="shared" si="60"/>
        <v xml:space="preserve"> s.f_Xlev601</v>
      </c>
      <c r="AE388" t="str">
        <f t="shared" si="61"/>
        <v>[Level of study]</v>
      </c>
    </row>
    <row r="389" spans="1:31" ht="16" x14ac:dyDescent="0.2">
      <c r="A389">
        <v>100308</v>
      </c>
      <c r="B389" s="11" t="str">
        <f>DataItems3[[#This Row],[Field]]&amp;IF(DataItems3[[#This Row],[Options for supplying the Field]]="",""," "&amp;DataItems3[[#This Row],[Options for supplying the Field]])</f>
        <v>Life satisfaction [SATLIFE]</v>
      </c>
      <c r="C389">
        <v>100308</v>
      </c>
      <c r="D389" s="3" t="s">
        <v>151</v>
      </c>
      <c r="F389" s="3" t="s">
        <v>1427</v>
      </c>
      <c r="G389" s="13" t="s">
        <v>1428</v>
      </c>
      <c r="I389" s="3" t="s">
        <v>2928</v>
      </c>
      <c r="J389" s="3">
        <v>1</v>
      </c>
      <c r="K389" s="3">
        <v>2</v>
      </c>
      <c r="L389" s="3">
        <v>0</v>
      </c>
      <c r="M389" s="3">
        <v>8</v>
      </c>
      <c r="P389" s="3" t="s">
        <v>320</v>
      </c>
      <c r="Q389" s="16" t="s">
        <v>93</v>
      </c>
      <c r="R389" s="3" t="s">
        <v>93</v>
      </c>
      <c r="S389" s="16" t="s">
        <v>93</v>
      </c>
      <c r="U389" s="3" t="s">
        <v>93</v>
      </c>
      <c r="V389" s="3" t="s">
        <v>93</v>
      </c>
      <c r="W389" s="57" t="s">
        <v>2926</v>
      </c>
      <c r="X389" t="str">
        <f>DataItems3[[#This Row],[Collection]]&amp;DataItems3[[#This Row],[Field]]&amp;DataItems3[[#This Row],[Options for supplying the Field]]&amp;DataItems3[[#This Row],[Fieldname]]&amp;DataItems3[[#This Row],[Parent]]</f>
        <v>Graduate OutcomesLife satisfaction[SATLIFE]Provider &gt; Graduate &gt; Subjective Wellbeing:</v>
      </c>
      <c r="Y389" s="15">
        <v>43550</v>
      </c>
      <c r="Z389" t="s">
        <v>159</v>
      </c>
      <c r="AA389" s="28" t="str">
        <f t="shared" si="55"/>
        <v/>
      </c>
      <c r="AB389" s="28" t="str">
        <f t="shared" si="59"/>
        <v/>
      </c>
      <c r="AC389" s="28" t="str">
        <f t="shared" si="53"/>
        <v/>
      </c>
      <c r="AD389" s="28" t="str">
        <f t="shared" si="60"/>
        <v/>
      </c>
      <c r="AE389" t="str">
        <f t="shared" si="61"/>
        <v>[Life satisfaction]</v>
      </c>
    </row>
    <row r="390" spans="1:31" ht="16" x14ac:dyDescent="0.2">
      <c r="A390">
        <v>100309</v>
      </c>
      <c r="B390" s="11" t="str">
        <f>DataItems3[[#This Row],[Field]]&amp;IF(DataItems3[[#This Row],[Options for supplying the Field]]="",""," "&amp;DataItems3[[#This Row],[Options for supplying the Field]])</f>
        <v>Life satisfaction grouping [XSATLIFEGRP]</v>
      </c>
      <c r="C390">
        <v>100309</v>
      </c>
      <c r="D390" s="3" t="s">
        <v>151</v>
      </c>
      <c r="F390" s="3" t="s">
        <v>1429</v>
      </c>
      <c r="G390" s="13" t="s">
        <v>1430</v>
      </c>
      <c r="H390" s="3" t="s">
        <v>1431</v>
      </c>
      <c r="I390" s="3" t="s">
        <v>319</v>
      </c>
      <c r="J390" s="3">
        <v>1</v>
      </c>
      <c r="K390" s="3">
        <v>2</v>
      </c>
      <c r="L390" s="3">
        <v>0</v>
      </c>
      <c r="M390" s="3">
        <v>8</v>
      </c>
      <c r="P390" s="3" t="s">
        <v>323</v>
      </c>
      <c r="Q390" s="16" t="s">
        <v>1432</v>
      </c>
      <c r="R390" s="3" t="s">
        <v>93</v>
      </c>
      <c r="S390" s="16" t="s">
        <v>1433</v>
      </c>
      <c r="U390" s="3" t="s">
        <v>1108</v>
      </c>
      <c r="V390" s="3" t="s">
        <v>93</v>
      </c>
      <c r="W390" s="57" t="s">
        <v>150</v>
      </c>
      <c r="X390" t="str">
        <f>DataItems3[[#This Row],[Collection]]&amp;DataItems3[[#This Row],[Field]]&amp;DataItems3[[#This Row],[Options for supplying the Field]]&amp;DataItems3[[#This Row],[Fieldname]]&amp;DataItems3[[#This Row],[Parent]]</f>
        <v>Graduate OutcomesLife satisfaction grouping[XSATLIFEGRP]XSATLIFEGRPProvider &gt; Derived Field</v>
      </c>
      <c r="Y390" s="15">
        <v>43550</v>
      </c>
      <c r="Z390" t="s">
        <v>159</v>
      </c>
      <c r="AA390" s="28" t="str">
        <f t="shared" si="55"/>
        <v>ISNULL(W.XSATLIFEGRP,'E')</v>
      </c>
      <c r="AB390" s="28" t="str">
        <f t="shared" si="59"/>
        <v xml:space="preserve">ISNULL(W.XSATLIFEGRP,'E') </v>
      </c>
      <c r="AC390" s="28" t="str">
        <f t="shared" si="53"/>
        <v/>
      </c>
      <c r="AD390" s="28" t="str">
        <f t="shared" si="60"/>
        <v/>
      </c>
      <c r="AE390" t="str">
        <f t="shared" si="61"/>
        <v>[Life satisfaction grouping]</v>
      </c>
    </row>
    <row r="391" spans="1:31" ht="16" x14ac:dyDescent="0.2">
      <c r="A391">
        <v>100310</v>
      </c>
      <c r="B391" s="11" t="str">
        <f>DataItems3[[#This Row],[Field]]&amp;IF(DataItems3[[#This Row],[Options for supplying the Field]]="",""," "&amp;DataItems3[[#This Row],[Options for supplying the Field]])</f>
        <v>Life worthwhile [LIFEWORTH]</v>
      </c>
      <c r="C391">
        <v>100310</v>
      </c>
      <c r="D391" s="3" t="s">
        <v>151</v>
      </c>
      <c r="F391" s="3" t="s">
        <v>1434</v>
      </c>
      <c r="G391" s="13" t="s">
        <v>1435</v>
      </c>
      <c r="I391" s="3" t="s">
        <v>2928</v>
      </c>
      <c r="J391" s="3">
        <v>1</v>
      </c>
      <c r="K391" s="3">
        <v>2</v>
      </c>
      <c r="L391" s="3">
        <v>0</v>
      </c>
      <c r="M391" s="3">
        <v>8</v>
      </c>
      <c r="P391" s="3" t="s">
        <v>320</v>
      </c>
      <c r="R391" s="3" t="s">
        <v>93</v>
      </c>
      <c r="U391" s="3" t="s">
        <v>93</v>
      </c>
      <c r="V391" s="3" t="s">
        <v>93</v>
      </c>
      <c r="W391" s="57" t="s">
        <v>2926</v>
      </c>
      <c r="X391" t="str">
        <f>DataItems3[[#This Row],[Collection]]&amp;DataItems3[[#This Row],[Field]]&amp;DataItems3[[#This Row],[Options for supplying the Field]]&amp;DataItems3[[#This Row],[Fieldname]]&amp;DataItems3[[#This Row],[Parent]]</f>
        <v>Graduate OutcomesLife worthwhile[LIFEWORTH]Provider &gt; Graduate &gt; Subjective Wellbeing:</v>
      </c>
      <c r="Y391" s="15">
        <v>43550</v>
      </c>
      <c r="Z391" t="s">
        <v>159</v>
      </c>
      <c r="AA391" s="28" t="str">
        <f t="shared" si="55"/>
        <v/>
      </c>
      <c r="AB391" s="28" t="str">
        <f t="shared" si="59"/>
        <v/>
      </c>
      <c r="AC391" s="28" t="str">
        <f t="shared" si="53"/>
        <v/>
      </c>
      <c r="AD391" s="28" t="str">
        <f t="shared" si="60"/>
        <v/>
      </c>
      <c r="AE391" t="str">
        <f t="shared" si="61"/>
        <v>[Life worthwhile]</v>
      </c>
    </row>
    <row r="392" spans="1:31" ht="16" x14ac:dyDescent="0.2">
      <c r="A392">
        <v>100311</v>
      </c>
      <c r="B392" s="11" t="str">
        <f>DataItems3[[#This Row],[Field]]&amp;IF(DataItems3[[#This Row],[Options for supplying the Field]]="",""," "&amp;DataItems3[[#This Row],[Options for supplying the Field]])</f>
        <v>Life worthwhile grouping [XLIFEWORTHGRP]</v>
      </c>
      <c r="C392">
        <v>100311</v>
      </c>
      <c r="D392" s="3" t="s">
        <v>151</v>
      </c>
      <c r="F392" s="3" t="s">
        <v>1436</v>
      </c>
      <c r="G392" s="13" t="s">
        <v>1437</v>
      </c>
      <c r="H392" s="3" t="s">
        <v>1438</v>
      </c>
      <c r="I392" s="3" t="s">
        <v>319</v>
      </c>
      <c r="J392" s="3">
        <v>1</v>
      </c>
      <c r="K392" s="3">
        <v>2</v>
      </c>
      <c r="L392" s="3">
        <v>0</v>
      </c>
      <c r="M392" s="3">
        <v>8</v>
      </c>
      <c r="P392" s="3" t="s">
        <v>323</v>
      </c>
      <c r="Q392" s="16" t="s">
        <v>1439</v>
      </c>
      <c r="R392" s="3" t="s">
        <v>93</v>
      </c>
      <c r="S392" s="16" t="s">
        <v>1440</v>
      </c>
      <c r="U392" s="3" t="s">
        <v>1108</v>
      </c>
      <c r="V392" s="3" t="s">
        <v>93</v>
      </c>
      <c r="W392" s="57" t="s">
        <v>150</v>
      </c>
      <c r="X392" t="str">
        <f>DataItems3[[#This Row],[Collection]]&amp;DataItems3[[#This Row],[Field]]&amp;DataItems3[[#This Row],[Options for supplying the Field]]&amp;DataItems3[[#This Row],[Fieldname]]&amp;DataItems3[[#This Row],[Parent]]</f>
        <v>Graduate OutcomesLife worthwhile grouping[XLIFEWORTHGRP]XLIFEWORTHGRPProvider &gt; Derived Field</v>
      </c>
      <c r="Y392" s="15">
        <v>43550</v>
      </c>
      <c r="Z392" t="s">
        <v>159</v>
      </c>
      <c r="AA392" s="28" t="str">
        <f t="shared" si="55"/>
        <v xml:space="preserve">ISNULL(W.XLIFEWORTHGRP,'E') </v>
      </c>
      <c r="AB392" s="28" t="str">
        <f t="shared" si="59"/>
        <v>ISNULL(W.XLIFEWORTHGRP,'E')</v>
      </c>
      <c r="AC392" s="28" t="str">
        <f t="shared" si="53"/>
        <v/>
      </c>
      <c r="AD392" s="28" t="str">
        <f t="shared" si="60"/>
        <v/>
      </c>
      <c r="AE392" t="str">
        <f t="shared" si="61"/>
        <v>[Life worthwhile grouping]</v>
      </c>
    </row>
    <row r="393" spans="1:31" ht="16" x14ac:dyDescent="0.2">
      <c r="A393">
        <v>100312</v>
      </c>
      <c r="B393" s="11" t="str">
        <f>DataItems3[[#This Row],[Field]]&amp;IF(DataItems3[[#This Row],[Options for supplying the Field]]="",""," "&amp;DataItems3[[#This Row],[Options for supplying the Field]])</f>
        <v>Location after leaving</v>
      </c>
      <c r="C393">
        <v>100312</v>
      </c>
      <c r="D393" s="3" t="s">
        <v>100</v>
      </c>
      <c r="F393" s="3" t="s">
        <v>1441</v>
      </c>
      <c r="G393" s="13"/>
      <c r="H393" s="14" t="s">
        <v>1442</v>
      </c>
      <c r="J393" s="3">
        <v>2</v>
      </c>
      <c r="K393" s="3">
        <v>3</v>
      </c>
      <c r="L393" s="3">
        <v>2</v>
      </c>
      <c r="M393" s="3">
        <v>0</v>
      </c>
      <c r="N393" s="3" t="s">
        <v>89</v>
      </c>
      <c r="Q393" s="16" t="s">
        <v>1443</v>
      </c>
      <c r="R393" s="3" t="s">
        <v>93</v>
      </c>
      <c r="S393" s="16" t="s">
        <v>3085</v>
      </c>
      <c r="U393" s="3" t="s">
        <v>93</v>
      </c>
      <c r="V393" s="3" t="s">
        <v>93</v>
      </c>
      <c r="W393" s="57" t="s">
        <v>109</v>
      </c>
      <c r="X393" t="str">
        <f>DataItems3[[#This Row],[Collection]]&amp;DataItems3[[#This Row],[Field]]&amp;DataItems3[[#This Row],[Options for supplying the Field]]&amp;DataItems3[[#This Row],[Fieldname]]&amp;DataItems3[[#This Row],[Parent]]</f>
        <v>StaffLocation after leavingF_LOCLEAVE</v>
      </c>
      <c r="Y393" s="15">
        <v>43395</v>
      </c>
      <c r="Z393" t="s">
        <v>102</v>
      </c>
      <c r="AA393" s="28" t="str">
        <f t="shared" si="55"/>
        <v>CASE WHEN ISNULL(P.F_LOCLEAVE, '-1') IN ('9', '-1', '', ' ') THEN '8' ELSE CAST(P.F_LOCLEAVE AS VARCHAR(1)) END</v>
      </c>
      <c r="AB393" s="28" t="str">
        <f t="shared" si="59"/>
        <v xml:space="preserve"> P.f_LOCLEAVE</v>
      </c>
      <c r="AC393" s="28" t="str">
        <f t="shared" si="53"/>
        <v/>
      </c>
      <c r="AD393" s="28" t="str">
        <f t="shared" si="60"/>
        <v/>
      </c>
      <c r="AE393" t="str">
        <f t="shared" si="61"/>
        <v>[Location after leaving]</v>
      </c>
    </row>
    <row r="394" spans="1:31" ht="16" x14ac:dyDescent="0.2">
      <c r="A394">
        <v>100313</v>
      </c>
      <c r="B394" s="11" t="str">
        <f>DataItems3[[#This Row],[Field]]&amp;IF(DataItems3[[#This Row],[Options for supplying the Field]]="",""," "&amp;DataItems3[[#This Row],[Options for supplying the Field]])</f>
        <v>Location based on currency returned [XCURRLOC]</v>
      </c>
      <c r="C394">
        <v>100313</v>
      </c>
      <c r="D394" s="3" t="s">
        <v>151</v>
      </c>
      <c r="F394" s="3" t="s">
        <v>1444</v>
      </c>
      <c r="G394" s="13" t="s">
        <v>1445</v>
      </c>
      <c r="H394" s="3" t="s">
        <v>1446</v>
      </c>
      <c r="J394" s="3">
        <v>1</v>
      </c>
      <c r="K394" s="3">
        <v>2</v>
      </c>
      <c r="L394" s="3">
        <v>2</v>
      </c>
      <c r="M394" s="3">
        <v>0</v>
      </c>
      <c r="P394" s="3" t="s">
        <v>323</v>
      </c>
      <c r="Q394" s="16" t="s">
        <v>1447</v>
      </c>
      <c r="R394" s="3" t="s">
        <v>93</v>
      </c>
      <c r="S394" s="16" t="s">
        <v>1448</v>
      </c>
      <c r="U394" s="3" t="s">
        <v>1449</v>
      </c>
      <c r="V394" s="3" t="s">
        <v>93</v>
      </c>
      <c r="W394" s="57" t="s">
        <v>2909</v>
      </c>
      <c r="X394" t="str">
        <f>DataItems3[[#This Row],[Collection]]&amp;DataItems3[[#This Row],[Field]]&amp;DataItems3[[#This Row],[Options for supplying the Field]]&amp;DataItems3[[#This Row],[Fieldname]]&amp;DataItems3[[#This Row],[Parent]]</f>
        <v>Graduate OutcomesLocation based on currency returned[XCURRLOC]XCURRLOCProvider &gt; Derived Field</v>
      </c>
      <c r="Y394" s="15">
        <v>43550</v>
      </c>
      <c r="Z394" t="s">
        <v>159</v>
      </c>
      <c r="AA394" s="28" t="str">
        <f t="shared" si="55"/>
        <v>CASE WHEN ISNULL(g.ZRESPSTATUS, '02')='02' OR ISNULL(g.XACTIVITY, '99')='99' THEN 'Not in GO publication population' else isnull(g.XCURRLOC,'9') end</v>
      </c>
      <c r="AB394" s="28" t="str">
        <f t="shared" si="59"/>
        <v>CASE WHEN ISNULL(g.ZRESPSTATUS, '02')='02' OR ISNULL(g.XACTIVITY, '99')='99' THEN 'Not in GO publication population' else isnull(XCURRLOC.label,'Unknown') end</v>
      </c>
      <c r="AC394" s="28" t="str">
        <f t="shared" si="53"/>
        <v/>
      </c>
      <c r="AD394" s="28" t="str">
        <f t="shared" si="60"/>
        <v/>
      </c>
      <c r="AE394" t="str">
        <f t="shared" si="61"/>
        <v>[Location based on currency returned]</v>
      </c>
    </row>
    <row r="395" spans="1:31" ht="16" x14ac:dyDescent="0.2">
      <c r="A395">
        <v>100317</v>
      </c>
      <c r="B395" s="11" t="str">
        <f>DataItems3[[#This Row],[Field]]&amp;IF(DataItems3[[#This Row],[Options for supplying the Field]]="",""," "&amp;DataItems3[[#This Row],[Options for supplying the Field]])</f>
        <v>Location of employment (Country)</v>
      </c>
      <c r="C395">
        <v>100317</v>
      </c>
      <c r="D395" s="3" t="s">
        <v>146</v>
      </c>
      <c r="F395" s="3" t="s">
        <v>1450</v>
      </c>
      <c r="G395" s="13" t="s">
        <v>817</v>
      </c>
      <c r="H395" s="14" t="s">
        <v>93</v>
      </c>
      <c r="J395" s="3">
        <v>3</v>
      </c>
      <c r="K395" s="3">
        <v>5</v>
      </c>
      <c r="L395" s="3">
        <v>0</v>
      </c>
      <c r="M395" s="3">
        <v>0</v>
      </c>
      <c r="N395" s="3" t="s">
        <v>106</v>
      </c>
      <c r="Q395" s="16" t="s">
        <v>93</v>
      </c>
      <c r="R395" s="3" t="s">
        <v>93</v>
      </c>
      <c r="S395" s="16" t="s">
        <v>93</v>
      </c>
      <c r="U395" s="3" t="s">
        <v>93</v>
      </c>
      <c r="V395" s="3" t="s">
        <v>93</v>
      </c>
      <c r="W395" s="57" t="s">
        <v>2926</v>
      </c>
      <c r="X395" t="str">
        <f>DataItems3[[#This Row],[Collection]]&amp;DataItems3[[#This Row],[Field]]&amp;DataItems3[[#This Row],[Options for supplying the Field]]&amp;DataItems3[[#This Row],[Fieldname]]&amp;DataItems3[[#This Row],[Parent]]</f>
        <v>DLHELocation of employment(Country)</v>
      </c>
      <c r="Y395" s="15">
        <v>43416</v>
      </c>
      <c r="Z395" t="s">
        <v>95</v>
      </c>
      <c r="AA395" s="28" t="str">
        <f t="shared" si="55"/>
        <v/>
      </c>
      <c r="AB395" s="28" t="str">
        <f t="shared" si="59"/>
        <v/>
      </c>
      <c r="AC395" s="28" t="str">
        <f t="shared" si="53"/>
        <v/>
      </c>
      <c r="AD395" s="28" t="str">
        <f t="shared" si="60"/>
        <v/>
      </c>
      <c r="AE395" t="str">
        <f t="shared" si="61"/>
        <v>[Location of employment]</v>
      </c>
    </row>
    <row r="396" spans="1:31" ht="96" x14ac:dyDescent="0.2">
      <c r="A396">
        <v>100318</v>
      </c>
      <c r="B396" s="11" t="str">
        <f>DataItems3[[#This Row],[Field]]&amp;IF(DataItems3[[#This Row],[Options for supplying the Field]]="",""," "&amp;DataItems3[[#This Row],[Options for supplying the Field]])</f>
        <v>Location of employment (England/ Scotland/ Wales/ Northern Ireland/ Guernsey, Jersey and the Isle of Man/ UK region unknown/ EU/ Non-EU/ Not known)</v>
      </c>
      <c r="C396">
        <v>100318</v>
      </c>
      <c r="D396" s="3" t="s">
        <v>146</v>
      </c>
      <c r="F396" s="3" t="s">
        <v>1450</v>
      </c>
      <c r="G396" s="13" t="s">
        <v>1451</v>
      </c>
      <c r="H396" s="14" t="s">
        <v>93</v>
      </c>
      <c r="J396" s="3">
        <v>1</v>
      </c>
      <c r="K396" s="3">
        <v>1</v>
      </c>
      <c r="L396" s="3">
        <v>0</v>
      </c>
      <c r="M396" s="3">
        <v>0</v>
      </c>
      <c r="N396" s="3" t="s">
        <v>89</v>
      </c>
      <c r="Q396" s="16" t="s">
        <v>93</v>
      </c>
      <c r="R396" s="3" t="s">
        <v>93</v>
      </c>
      <c r="S396" s="16" t="s">
        <v>93</v>
      </c>
      <c r="U396" s="3" t="s">
        <v>93</v>
      </c>
      <c r="V396" s="3" t="s">
        <v>93</v>
      </c>
      <c r="W396" s="57" t="s">
        <v>2926</v>
      </c>
      <c r="X396" t="str">
        <f>DataItems3[[#This Row],[Collection]]&amp;DataItems3[[#This Row],[Field]]&amp;DataItems3[[#This Row],[Options for supplying the Field]]&amp;DataItems3[[#This Row],[Fieldname]]&amp;DataItems3[[#This Row],[Parent]]</f>
        <v>DLHELocation of employment(England/ Scotland/ Wales/ Northern Ireland/ Guernsey, Jersey and the Isle of Man/ UK region unknown/ EU/ Non-EU/ Not known)</v>
      </c>
      <c r="Y396" s="15">
        <v>43416</v>
      </c>
      <c r="Z396" t="s">
        <v>95</v>
      </c>
      <c r="AA396" s="28" t="str">
        <f t="shared" si="55"/>
        <v/>
      </c>
      <c r="AB396" s="28" t="str">
        <f t="shared" si="59"/>
        <v/>
      </c>
      <c r="AC396" s="28" t="str">
        <f t="shared" si="53"/>
        <v/>
      </c>
      <c r="AD396" s="28" t="str">
        <f t="shared" si="60"/>
        <v/>
      </c>
      <c r="AE396" t="str">
        <f t="shared" si="61"/>
        <v>[Location of employment]</v>
      </c>
    </row>
    <row r="397" spans="1:31" ht="16" x14ac:dyDescent="0.2">
      <c r="A397">
        <v>100319</v>
      </c>
      <c r="B397" s="11" t="str">
        <f>DataItems3[[#This Row],[Field]]&amp;IF(DataItems3[[#This Row],[Options for supplying the Field]]="",""," "&amp;DataItems3[[#This Row],[Options for supplying the Field]])</f>
        <v>Location of employment (Outward postcode)</v>
      </c>
      <c r="C397">
        <v>100319</v>
      </c>
      <c r="D397" s="3" t="s">
        <v>146</v>
      </c>
      <c r="F397" s="3" t="s">
        <v>1450</v>
      </c>
      <c r="G397" s="13" t="s">
        <v>783</v>
      </c>
      <c r="H397" s="14" t="s">
        <v>93</v>
      </c>
      <c r="J397" s="3">
        <v>3</v>
      </c>
      <c r="K397" s="3">
        <v>6</v>
      </c>
      <c r="L397" s="3">
        <v>2</v>
      </c>
      <c r="M397" s="3">
        <v>0</v>
      </c>
      <c r="N397" s="3" t="s">
        <v>89</v>
      </c>
      <c r="Q397" s="16" t="s">
        <v>93</v>
      </c>
      <c r="R397" s="3" t="s">
        <v>93</v>
      </c>
      <c r="S397" s="16" t="s">
        <v>93</v>
      </c>
      <c r="U397" s="3" t="s">
        <v>93</v>
      </c>
      <c r="V397" s="3" t="s">
        <v>93</v>
      </c>
      <c r="W397" s="57" t="s">
        <v>2926</v>
      </c>
      <c r="X397" t="str">
        <f>DataItems3[[#This Row],[Collection]]&amp;DataItems3[[#This Row],[Field]]&amp;DataItems3[[#This Row],[Options for supplying the Field]]&amp;DataItems3[[#This Row],[Fieldname]]&amp;DataItems3[[#This Row],[Parent]]</f>
        <v>DLHELocation of employment(Outward postcode)</v>
      </c>
      <c r="Y397" s="15">
        <v>43416</v>
      </c>
      <c r="Z397" t="s">
        <v>95</v>
      </c>
      <c r="AA397" s="28" t="str">
        <f t="shared" si="55"/>
        <v/>
      </c>
      <c r="AB397" s="28" t="str">
        <f>IF(S397="","",IF(IFERROR(SEARCH("select",S397)&gt;0,0),IF(U397="",IF(MID(S397,SEARCH(H397,S397)-4,1)=" ",MID(S397,SEARCH(H397,S397)-2,LEN(#REF!)+2),MID(S397,SEARCH(H397,S397)-3,LEN(H397)+3)),U397&amp;"."&amp;H397),S397))</f>
        <v/>
      </c>
      <c r="AC397" s="28" t="str">
        <f t="shared" si="53"/>
        <v/>
      </c>
      <c r="AD397" s="28" t="str">
        <f t="shared" si="60"/>
        <v/>
      </c>
      <c r="AE397" t="str">
        <f t="shared" si="61"/>
        <v>[Location of employment]</v>
      </c>
    </row>
    <row r="398" spans="1:31" ht="16" x14ac:dyDescent="0.2">
      <c r="A398">
        <v>100321</v>
      </c>
      <c r="B398" s="11" t="str">
        <f>DataItems3[[#This Row],[Field]]&amp;IF(DataItems3[[#This Row],[Options for supplying the Field]]="",""," "&amp;DataItems3[[#This Row],[Options for supplying the Field]])</f>
        <v>Location of employment (Sector postcode)</v>
      </c>
      <c r="C398">
        <v>100321</v>
      </c>
      <c r="D398" s="3" t="s">
        <v>146</v>
      </c>
      <c r="F398" s="3" t="s">
        <v>1450</v>
      </c>
      <c r="G398" s="13" t="s">
        <v>1452</v>
      </c>
      <c r="H398" s="14" t="s">
        <v>93</v>
      </c>
      <c r="J398" s="3">
        <v>5</v>
      </c>
      <c r="K398" s="3">
        <v>8</v>
      </c>
      <c r="L398" s="3">
        <v>2</v>
      </c>
      <c r="M398" s="3">
        <v>0</v>
      </c>
      <c r="N398" s="3" t="s">
        <v>89</v>
      </c>
      <c r="Q398" s="16" t="s">
        <v>93</v>
      </c>
      <c r="R398" s="3" t="s">
        <v>93</v>
      </c>
      <c r="S398" s="16" t="s">
        <v>93</v>
      </c>
      <c r="U398" s="3" t="s">
        <v>93</v>
      </c>
      <c r="V398" s="3" t="s">
        <v>93</v>
      </c>
      <c r="W398" s="57" t="s">
        <v>2926</v>
      </c>
      <c r="X398" t="str">
        <f>DataItems3[[#This Row],[Collection]]&amp;DataItems3[[#This Row],[Field]]&amp;DataItems3[[#This Row],[Options for supplying the Field]]&amp;DataItems3[[#This Row],[Fieldname]]&amp;DataItems3[[#This Row],[Parent]]</f>
        <v>DLHELocation of employment(Sector postcode)</v>
      </c>
      <c r="Y398" s="15">
        <v>43416</v>
      </c>
      <c r="Z398" t="s">
        <v>95</v>
      </c>
      <c r="AA398" s="28" t="str">
        <f t="shared" si="55"/>
        <v/>
      </c>
      <c r="AB398" s="28" t="str">
        <f>IF(S398="","",IF(IFERROR(SEARCH("select",S398)&gt;0,0),IF(U398="",IF(MID(S398,SEARCH(H398,S398)-4,1)=" ",MID(S398,SEARCH(H398,S398)-2,LEN(#REF!)+2),MID(S398,SEARCH(H398,S398)-3,LEN(H398)+3)),U398&amp;"."&amp;H398),S398))</f>
        <v/>
      </c>
      <c r="AC398" s="28" t="str">
        <f t="shared" si="53"/>
        <v/>
      </c>
      <c r="AD398" s="28" t="str">
        <f t="shared" si="60"/>
        <v/>
      </c>
      <c r="AE398" t="str">
        <f t="shared" si="61"/>
        <v>[Location of employment]</v>
      </c>
    </row>
    <row r="399" spans="1:31" ht="16" x14ac:dyDescent="0.2">
      <c r="A399">
        <v>100327</v>
      </c>
      <c r="B399" s="11" t="str">
        <f>DataItems3[[#This Row],[Field]]&amp;IF(DataItems3[[#This Row],[Options for supplying the Field]]="",""," "&amp;DataItems3[[#This Row],[Options for supplying the Field]])</f>
        <v>Location of employment (Area)⁽¹⁾ [ZEMPAREA]</v>
      </c>
      <c r="C399">
        <v>100327</v>
      </c>
      <c r="D399" s="3" t="s">
        <v>151</v>
      </c>
      <c r="F399" s="3" t="str">
        <f>"Location of employment (Area)"&amp;"⁽"&amp;CHAR(185)&amp;"⁾"</f>
        <v>Location of employment (Area)⁽¹⁾</v>
      </c>
      <c r="G399" s="13" t="s">
        <v>1453</v>
      </c>
      <c r="H399" s="3" t="s">
        <v>1454</v>
      </c>
      <c r="J399" s="3">
        <v>1</v>
      </c>
      <c r="K399" s="3">
        <v>3</v>
      </c>
      <c r="L399" s="3">
        <v>0</v>
      </c>
      <c r="M399" s="3">
        <v>0</v>
      </c>
      <c r="P399" s="3" t="s">
        <v>502</v>
      </c>
      <c r="Q399" s="16" t="s">
        <v>1455</v>
      </c>
      <c r="R399" s="3" t="s">
        <v>93</v>
      </c>
      <c r="S399" s="16" t="s">
        <v>1456</v>
      </c>
      <c r="U399" s="3" t="s">
        <v>1457</v>
      </c>
      <c r="V399" s="3" t="s">
        <v>93</v>
      </c>
      <c r="W399" s="57" t="s">
        <v>2909</v>
      </c>
      <c r="X399" t="str">
        <f>DataItems3[[#This Row],[Collection]]&amp;DataItems3[[#This Row],[Field]]&amp;DataItems3[[#This Row],[Options for supplying the Field]]&amp;DataItems3[[#This Row],[Fieldname]]&amp;DataItems3[[#This Row],[Parent]]</f>
        <v>Graduate OutcomesLocation of employment (Area)⁽¹⁾[ZEMPAREA]ZEMPAREAProvider &gt; Processing Field</v>
      </c>
      <c r="Y399" s="15">
        <v>43550</v>
      </c>
      <c r="Z399" t="s">
        <v>159</v>
      </c>
      <c r="AA399" s="28" t="str">
        <f t="shared" si="55"/>
        <v>CASE WHEN ISNULL(g.ZRESPSTATUS, '02')='02' OR ISNULL(g.XACTIVITY, '99')='99' THEN 'Not in GO publication population' else isnull(g.ZEMPAREA,'NOTK') end</v>
      </c>
      <c r="AB399" s="28" t="str">
        <f t="shared" ref="AB399:AB405" si="62">IF(S399="","",IF(IFERROR(SEARCH("select",S399)&gt;0,0),IF(U399="",IF(MID(S399,SEARCH(H399,S399)-4,1)=" ",MID(S399,SEARCH(H399,S399)-2,LEN(O406)+2),MID(S399,SEARCH(H399,S399)-3,LEN(H399)+3)),U399&amp;"."&amp;H399),S399))</f>
        <v>CASE WHEN ISNULL(g.ZRESPSTATUS, '02')='02' OR ISNULL(g.XACTIVITY, '99')='99' THEN 'Not in GO publication population' else isnull(ZEMPAREA.label,'Not known') end</v>
      </c>
      <c r="AC399" s="28" t="str">
        <f t="shared" ref="AC399:AC434" si="63">IF(R399="","",R399)</f>
        <v/>
      </c>
      <c r="AD399" s="28" t="str">
        <f t="shared" si="60"/>
        <v/>
      </c>
      <c r="AE399" t="str">
        <f t="shared" si="61"/>
        <v>[Location of employment (Area)]</v>
      </c>
    </row>
    <row r="400" spans="1:31" ht="16" x14ac:dyDescent="0.2">
      <c r="A400">
        <v>100328</v>
      </c>
      <c r="B400" s="11" t="str">
        <f>DataItems3[[#This Row],[Field]]&amp;IF(DataItems3[[#This Row],[Options for supplying the Field]]="",""," "&amp;DataItems3[[#This Row],[Options for supplying the Field]])</f>
        <v>Location of employment (Country) [ZEMPCOUNTRY]</v>
      </c>
      <c r="C400">
        <v>100328</v>
      </c>
      <c r="D400" s="3" t="s">
        <v>151</v>
      </c>
      <c r="F400" s="3" t="s">
        <v>1458</v>
      </c>
      <c r="G400" s="13" t="s">
        <v>1459</v>
      </c>
      <c r="H400" s="3" t="s">
        <v>1460</v>
      </c>
      <c r="J400" s="3">
        <v>1</v>
      </c>
      <c r="K400" s="3">
        <v>5</v>
      </c>
      <c r="L400" s="3">
        <v>2</v>
      </c>
      <c r="M400" s="3">
        <v>0</v>
      </c>
      <c r="P400" s="3" t="s">
        <v>502</v>
      </c>
      <c r="Q400" s="16" t="s">
        <v>1461</v>
      </c>
      <c r="R400" s="3" t="s">
        <v>93</v>
      </c>
      <c r="S400" s="16" t="s">
        <v>1462</v>
      </c>
      <c r="U400" s="3" t="s">
        <v>1463</v>
      </c>
      <c r="V400" s="3" t="s">
        <v>93</v>
      </c>
      <c r="W400" s="57" t="s">
        <v>2909</v>
      </c>
      <c r="X400" t="str">
        <f>DataItems3[[#This Row],[Collection]]&amp;DataItems3[[#This Row],[Field]]&amp;DataItems3[[#This Row],[Options for supplying the Field]]&amp;DataItems3[[#This Row],[Fieldname]]&amp;DataItems3[[#This Row],[Parent]]</f>
        <v>Graduate OutcomesLocation of employment (Country)[ZEMPCOUNTRY]ZEMPCOUNTRYProvider &gt; Processing Field</v>
      </c>
      <c r="Y400" s="15">
        <v>43550</v>
      </c>
      <c r="Z400" t="s">
        <v>159</v>
      </c>
      <c r="AA400" s="28" t="str">
        <f t="shared" si="55"/>
        <v>CASE WHEN ISNULL(g.ZRESPSTATUS, '02')='02' OR ISNULL(g.XACTIVITY, '99')='99' THEN 'Not in GO publication population' else isnull(g.ZEMPCOUNTRY,'NOTK') end</v>
      </c>
      <c r="AB400" s="28" t="str">
        <f t="shared" si="62"/>
        <v>CASE WHEN ISNULL(g.ZRESPSTATUS, '02')='02' OR ISNULL(g.XACTIVITY, '99')='99' THEN 'Not in GO publication population' else isnull(ZEMPCOUNTRY.label,'Not known') end</v>
      </c>
      <c r="AC400" s="28" t="str">
        <f t="shared" si="63"/>
        <v/>
      </c>
      <c r="AD400" s="28" t="str">
        <f t="shared" si="60"/>
        <v/>
      </c>
      <c r="AE400" t="str">
        <f t="shared" si="61"/>
        <v>[Location of employment (Country)]</v>
      </c>
    </row>
    <row r="401" spans="1:31" ht="16" x14ac:dyDescent="0.2">
      <c r="A401">
        <v>100869</v>
      </c>
      <c r="B401" s="11" t="str">
        <f>DataItems3[[#This Row],[Field]]&amp;IF(DataItems3[[#This Row],[Options for supplying the Field]]="",""," "&amp;DataItems3[[#This Row],[Options for supplying the Field]])</f>
        <v>Location of employment (Local authority district)⁽¹⁾</v>
      </c>
      <c r="C401">
        <v>100869</v>
      </c>
      <c r="D401" s="3" t="s">
        <v>151</v>
      </c>
      <c r="F401" s="3" t="str">
        <f>"Location of employment (Local authority district)"&amp;"⁽"&amp;CHAR(185)&amp;"⁾"</f>
        <v>Location of employment (Local authority district)⁽¹⁾</v>
      </c>
      <c r="G401" s="13"/>
      <c r="H401" s="3" t="s">
        <v>1464</v>
      </c>
      <c r="J401" s="3">
        <v>5</v>
      </c>
      <c r="K401" s="3">
        <v>6</v>
      </c>
      <c r="L401" s="3">
        <v>0</v>
      </c>
      <c r="M401" s="3">
        <v>0</v>
      </c>
      <c r="Q401" s="16" t="s">
        <v>1465</v>
      </c>
      <c r="S401" s="16" t="s">
        <v>1466</v>
      </c>
      <c r="U401" s="3" t="s">
        <v>1467</v>
      </c>
      <c r="W401" s="57" t="s">
        <v>2909</v>
      </c>
      <c r="X401" t="str">
        <f>DataItems3[[#This Row],[Collection]]&amp;DataItems3[[#This Row],[Field]]&amp;DataItems3[[#This Row],[Options for supplying the Field]]&amp;DataItems3[[#This Row],[Fieldname]]&amp;DataItems3[[#This Row],[Parent]]</f>
        <v>Graduate OutcomesLocation of employment (Local authority district)⁽¹⁾ZEMP_LAUA</v>
      </c>
      <c r="Y401" s="4">
        <v>44729</v>
      </c>
      <c r="Z401" t="s">
        <v>135</v>
      </c>
      <c r="AA401" s="28" t="str">
        <f t="shared" si="55"/>
        <v>CASE WHEN ISNULL(g.ZRESPSTATUS, '02') = '02' OR ISNULL(g.XACTIVITY, '99') = '99' THEN 'Not in GO publication population' WHEN g.XEMPLOCN = '99' THEN 'NA/UNK' WHEN g.XEMPLOCN IN ( '07', '08', '09' ) THEN 'Non-UK' WHEN g.XEMPLOCN = '05' THEN 'Channel Islands' ELSE IIF(ISNULL(gg.F_FULL_LAUA, 'NA/UNK') IN ('', ' ', 'NA/UNK'), 'NA/UNK', gg.F_FULL_LAUA) END</v>
      </c>
      <c r="AB401" s="28" t="str">
        <f t="shared" si="62"/>
        <v>CASE WHEN ISNULL(g.ZRESPSTATUS, '02') = '02' OR ISNULL(g.XACTIVITY, '99') = '99' THEN 'Not in GO publication population' WHEN g.XEMPLOCN = '99' THEN 'Unknown/ not applicable' WHEN g.XEMPLOCN IN ( '07', '08', '09' ) THEN 'Non-UK' WHEN g.XEMPLOCN = '05' THEN 'Channel Islands' ELSE IIF(ISNULL(gg.F_FULL_LAUA, 'NA/UNK') IN ('', ' ', 'NA/UNK'), 'Unknown/ not applicable', onsg.Label) END</v>
      </c>
      <c r="AC401" s="28" t="str">
        <f t="shared" si="63"/>
        <v/>
      </c>
      <c r="AD401" s="28" t="str">
        <f t="shared" si="60"/>
        <v/>
      </c>
      <c r="AE401" t="str">
        <f t="shared" si="61"/>
        <v>[Location of employment (Local authority district)]</v>
      </c>
    </row>
    <row r="402" spans="1:31" ht="16" x14ac:dyDescent="0.2">
      <c r="A402">
        <v>100329</v>
      </c>
      <c r="B402" s="11" t="str">
        <f>DataItems3[[#This Row],[Field]]&amp;IF(DataItems3[[#This Row],[Options for supplying the Field]]="",""," "&amp;DataItems3[[#This Row],[Options for supplying the Field]])</f>
        <v>Location of employment (Postcode)⁽¹⁾ [ZEMPPCODE]</v>
      </c>
      <c r="C402">
        <v>100329</v>
      </c>
      <c r="D402" s="3" t="s">
        <v>151</v>
      </c>
      <c r="F402" s="3" t="str">
        <f>"Location of employment (Postcode)"&amp;"⁽"&amp;CHAR(185)&amp;"⁾"</f>
        <v>Location of employment (Postcode)⁽¹⁾</v>
      </c>
      <c r="G402" s="13" t="s">
        <v>1468</v>
      </c>
      <c r="H402" s="3" t="s">
        <v>1469</v>
      </c>
      <c r="J402" s="3">
        <v>1</v>
      </c>
      <c r="K402" s="3">
        <v>10</v>
      </c>
      <c r="L402" s="3">
        <v>4</v>
      </c>
      <c r="M402" s="3">
        <v>0</v>
      </c>
      <c r="P402" s="3" t="s">
        <v>502</v>
      </c>
      <c r="Q402" s="16" t="s">
        <v>1470</v>
      </c>
      <c r="R402" s="3" t="s">
        <v>93</v>
      </c>
      <c r="S402" s="16" t="s">
        <v>1470</v>
      </c>
      <c r="U402" s="3" t="s">
        <v>93</v>
      </c>
      <c r="V402" s="3" t="s">
        <v>93</v>
      </c>
      <c r="W402" s="57" t="s">
        <v>2909</v>
      </c>
      <c r="X402" t="str">
        <f>DataItems3[[#This Row],[Collection]]&amp;DataItems3[[#This Row],[Field]]&amp;DataItems3[[#This Row],[Options for supplying the Field]]&amp;DataItems3[[#This Row],[Fieldname]]&amp;DataItems3[[#This Row],[Parent]]</f>
        <v>Graduate OutcomesLocation of employment (Postcode)⁽¹⁾[ZEMPPCODE]ZEMPPCODEProvider &gt; Processing Field</v>
      </c>
      <c r="Y402" s="15">
        <v>43550</v>
      </c>
      <c r="Z402" t="s">
        <v>159</v>
      </c>
      <c r="AA402" s="28" t="str">
        <f t="shared" si="55"/>
        <v>CASE WHEN ISNULL(g.ZRESPSTATUS, '02')='02' OR ISNULL(g.XACTIVITY, '99')='99' THEN 'Not in GO publication population' else isnull(g.ZEMPPCODE,'99999999') end</v>
      </c>
      <c r="AB402" s="28" t="str">
        <f t="shared" si="62"/>
        <v>CASE WHEN ISNULL(g.ZRESPSTATUS, '02')='02' OR ISNULL(g.XACTIVITY, '99')='99' THEN 'Not in GO publication population' else isnull(g.ZEMPPCODE,'99999999') end</v>
      </c>
      <c r="AC402" s="28" t="str">
        <f t="shared" si="63"/>
        <v/>
      </c>
      <c r="AD402" s="28" t="str">
        <f t="shared" si="60"/>
        <v/>
      </c>
      <c r="AE402" t="str">
        <f t="shared" si="61"/>
        <v>[Location of employment (Postcode)]</v>
      </c>
    </row>
    <row r="403" spans="1:31" ht="16" x14ac:dyDescent="0.2">
      <c r="A403">
        <v>100868</v>
      </c>
      <c r="B403" s="11" t="str">
        <f>DataItems3[[#This Row],[Field]]&amp;IF(DataItems3[[#This Row],[Options for supplying the Field]]="",""," "&amp;DataItems3[[#This Row],[Options for supplying the Field]])</f>
        <v>Location of employment (Sector Postcode)⁽¹⁾</v>
      </c>
      <c r="C403">
        <v>100868</v>
      </c>
      <c r="D403" s="3" t="s">
        <v>151</v>
      </c>
      <c r="F403" s="3" t="str">
        <f>"Location of employment (Sector Postcode)"&amp;"⁽"&amp;CHAR(185)&amp;"⁾"</f>
        <v>Location of employment (Sector Postcode)⁽¹⁾</v>
      </c>
      <c r="G403" s="13"/>
      <c r="H403" s="3" t="s">
        <v>1469</v>
      </c>
      <c r="J403" s="3">
        <v>4</v>
      </c>
      <c r="K403" s="3">
        <v>8</v>
      </c>
      <c r="L403" s="3">
        <v>2</v>
      </c>
      <c r="M403" s="3">
        <v>0</v>
      </c>
      <c r="Q403" s="16" t="s">
        <v>1471</v>
      </c>
      <c r="S403" s="16" t="s">
        <v>1471</v>
      </c>
      <c r="W403" s="57" t="s">
        <v>2909</v>
      </c>
      <c r="X403" t="str">
        <f>DataItems3[[#This Row],[Collection]]&amp;DataItems3[[#This Row],[Field]]&amp;DataItems3[[#This Row],[Options for supplying the Field]]&amp;DataItems3[[#This Row],[Fieldname]]&amp;DataItems3[[#This Row],[Parent]]</f>
        <v>Graduate OutcomesLocation of employment (Sector Postcode)⁽¹⁾ZEMPPCODE</v>
      </c>
      <c r="Y403" s="4">
        <v>44729</v>
      </c>
      <c r="Z403" t="s">
        <v>135</v>
      </c>
      <c r="AA403" s="28" t="str">
        <f t="shared" si="55"/>
        <v>CASE WHEN ISNULL(g.ZRESPSTATUS, '02')='02' OR ISNULL(g.XACTIVITY, '99')='99' THEN 'Not in GO publication population' WHEN g.ZEMPPCODE IN ('ZZ', 'GB', 'JE', 'XL', 'XK', 'GG', 'IM', 'XF', 'XI', 'XH', 'XG', '99999999', '1782', '2826', '3826', '4826', '5826', '6826', '7826', '8826') OR g.ZEMPPCODE IS NULL OR g.ZEMPPCODE='' THEN 'UK Region Unknown' WHEN SUBSTRING(g.ZEMPPCODE, 1, 3)='___' OR SUBSTRING(g.ZEMPPCODE, 1, 3)='###' OR SUBSTRING(g.ZEMPPCODE, 1, 3)='$$$' THEN 'UK Region Unknown' WHEN CHARINDEX(' ', g.ZEMPPCODE)=0 THEN CASE WHEN LEN(g.ZEMPPCODE)&gt;=5 THEN 'zzzzUnknown' ELSE g.ZEMPPCODE END WHEN g.ZEMPPCODE LIKE '%  %' THEN CASE WHEN SUBSTRING(g.ZEMPPCODE, CHARINDEX(' ', g.ZEMPPCODE) + 2, 1) IN ('0', '1', '2', '3', '4', '5', '6', '7', '8', '9') THEN SUBSTRING(g.ZEMPPCODE, 1, CHARINDEX(' ', g.ZEMPPCODE) - 1) + ' ' + SUBSTRING(g.ZEMPPCODE, CHARINDEX(' ', g.ZEMPPCODE) + 2, 1) WHEN SUBSTRING(g.ZEMPPCODE, CHARINDEX(' ', g.ZEMPPCODE) + 2, 1)='O' THEN SUBSTRING(g.ZEMPPCODE, 1, CHARINDEX(' ', g.ZEMPPCODE) - 1) + ' ' + '0' ELSE SUBSTRING(g.ZEMPPCODE, 1, CHARINDEX(' ', g.ZEMPPCODE) - 1)END WHEN g.ZEMPPCODE LIKE '% %' THEN CASE WHEN SUBSTRING(g.ZEMPPCODE, CHARINDEX(' ', g.ZEMPPCODE) + 1, 1) IN ('0', '1', '2', '3', '4', '5', '6', '7', '8', '9') THEN SUBSTRING(g.ZEMPPCODE, 1, CHARINDEX(' ', g.ZEMPPCODE) - 1) + ' ' + SUBSTRING(g.ZEMPPCODE, CHARINDEX(' ', g.ZEMPPCODE) + 1, 1) WHEN SUBSTRING(g.ZEMPPCODE, CHARINDEX(' ', g.ZEMPPCODE) + 1, 1)='O' THEN SUBSTRING(g.ZEMPPCODE, 1, CHARINDEX(' ', g.ZEMPPCODE) - 1) + ' ' + '0' ELSE SUBSTRING(g.ZEMPPCODE, 1, CHARINDEX(' ', g.ZEMPPCODE) - 1)END ELSE 'UK Region Unknown' END</v>
      </c>
      <c r="AB403" s="28" t="str">
        <f t="shared" si="62"/>
        <v>CASE WHEN ISNULL(g.ZRESPSTATUS, '02')='02' OR ISNULL(g.XACTIVITY, '99')='99' THEN 'Not in GO publication population' WHEN g.ZEMPPCODE IN ('ZZ', 'GB', 'JE', 'XL', 'XK', 'GG', 'IM', 'XF', 'XI', 'XH', 'XG', '99999999', '1782', '2826', '3826', '4826', '5826', '6826', '7826', '8826') OR g.ZEMPPCODE IS NULL OR g.ZEMPPCODE='' THEN 'UK Region Unknown' WHEN SUBSTRING(g.ZEMPPCODE, 1, 3)='___' OR SUBSTRING(g.ZEMPPCODE, 1, 3)='###' OR SUBSTRING(g.ZEMPPCODE, 1, 3)='$$$' THEN 'UK Region Unknown' WHEN CHARINDEX(' ', g.ZEMPPCODE)=0 THEN CASE WHEN LEN(g.ZEMPPCODE)&gt;=5 THEN 'zzzzUnknown' ELSE g.ZEMPPCODE END WHEN g.ZEMPPCODE LIKE '%  %' THEN CASE WHEN SUBSTRING(g.ZEMPPCODE, CHARINDEX(' ', g.ZEMPPCODE) + 2, 1) IN ('0', '1', '2', '3', '4', '5', '6', '7', '8', '9') THEN SUBSTRING(g.ZEMPPCODE, 1, CHARINDEX(' ', g.ZEMPPCODE) - 1) + ' ' + SUBSTRING(g.ZEMPPCODE, CHARINDEX(' ', g.ZEMPPCODE) + 2, 1) WHEN SUBSTRING(g.ZEMPPCODE, CHARINDEX(' ', g.ZEMPPCODE) + 2, 1)='O' THEN SUBSTRING(g.ZEMPPCODE, 1, CHARINDEX(' ', g.ZEMPPCODE) - 1) + ' ' + '0' ELSE SUBSTRING(g.ZEMPPCODE, 1, CHARINDEX(' ', g.ZEMPPCODE) - 1)END WHEN g.ZEMPPCODE LIKE '% %' THEN CASE WHEN SUBSTRING(g.ZEMPPCODE, CHARINDEX(' ', g.ZEMPPCODE) + 1, 1) IN ('0', '1', '2', '3', '4', '5', '6', '7', '8', '9') THEN SUBSTRING(g.ZEMPPCODE, 1, CHARINDEX(' ', g.ZEMPPCODE) - 1) + ' ' + SUBSTRING(g.ZEMPPCODE, CHARINDEX(' ', g.ZEMPPCODE) + 1, 1) WHEN SUBSTRING(g.ZEMPPCODE, CHARINDEX(' ', g.ZEMPPCODE) + 1, 1)='O' THEN SUBSTRING(g.ZEMPPCODE, 1, CHARINDEX(' ', g.ZEMPPCODE) - 1) + ' ' + '0' ELSE SUBSTRING(g.ZEMPPCODE, 1, CHARINDEX(' ', g.ZEMPPCODE) - 1)END ELSE 'UK Region Unknown' END</v>
      </c>
      <c r="AC403" s="28" t="str">
        <f t="shared" si="63"/>
        <v/>
      </c>
      <c r="AD403" s="28" t="str">
        <f t="shared" si="60"/>
        <v/>
      </c>
      <c r="AE403" t="str">
        <f t="shared" si="61"/>
        <v>[Location of employment (Sector Postcode)]</v>
      </c>
    </row>
    <row r="404" spans="1:31" ht="16" x14ac:dyDescent="0.2">
      <c r="A404">
        <v>100320</v>
      </c>
      <c r="B404" s="11" t="str">
        <f>DataItems3[[#This Row],[Field]]&amp;IF(DataItems3[[#This Row],[Options for supplying the Field]]="",""," "&amp;DataItems3[[#This Row],[Options for supplying the Field]])</f>
        <v>Location of employment⁽¹⁾ (Region)</v>
      </c>
      <c r="C404">
        <v>100320</v>
      </c>
      <c r="D404" s="3" t="s">
        <v>146</v>
      </c>
      <c r="F404" s="3" t="str">
        <f t="shared" ref="F404:F409" si="64">"Location of employment"&amp;"⁽"&amp;CHAR(185)&amp;"⁾"</f>
        <v>Location of employment⁽¹⁾</v>
      </c>
      <c r="G404" s="13" t="s">
        <v>823</v>
      </c>
      <c r="H404" s="14" t="s">
        <v>93</v>
      </c>
      <c r="J404" s="3">
        <v>1</v>
      </c>
      <c r="K404" s="3">
        <v>2</v>
      </c>
      <c r="L404" s="3">
        <v>0</v>
      </c>
      <c r="M404" s="3">
        <v>0</v>
      </c>
      <c r="N404" s="3" t="s">
        <v>106</v>
      </c>
      <c r="Q404" s="16" t="s">
        <v>93</v>
      </c>
      <c r="R404" s="3" t="s">
        <v>93</v>
      </c>
      <c r="S404" s="16" t="s">
        <v>93</v>
      </c>
      <c r="U404" s="3" t="s">
        <v>93</v>
      </c>
      <c r="V404" s="3" t="s">
        <v>93</v>
      </c>
      <c r="W404" s="57" t="s">
        <v>2926</v>
      </c>
      <c r="X404" t="str">
        <f>DataItems3[[#This Row],[Collection]]&amp;DataItems3[[#This Row],[Field]]&amp;DataItems3[[#This Row],[Options for supplying the Field]]&amp;DataItems3[[#This Row],[Fieldname]]&amp;DataItems3[[#This Row],[Parent]]</f>
        <v>DLHELocation of employment⁽¹⁾(Region)</v>
      </c>
      <c r="Y404" s="15">
        <v>43416</v>
      </c>
      <c r="Z404" t="s">
        <v>95</v>
      </c>
      <c r="AA404" s="28" t="str">
        <f t="shared" si="55"/>
        <v/>
      </c>
      <c r="AB404" s="28" t="str">
        <f t="shared" si="62"/>
        <v/>
      </c>
      <c r="AC404" s="28" t="str">
        <f t="shared" si="63"/>
        <v/>
      </c>
      <c r="AD404" s="28" t="str">
        <f t="shared" si="60"/>
        <v/>
      </c>
      <c r="AE404" t="str">
        <f t="shared" si="61"/>
        <v>[Location of employment]</v>
      </c>
    </row>
    <row r="405" spans="1:31" ht="48" x14ac:dyDescent="0.2">
      <c r="A405">
        <v>100322</v>
      </c>
      <c r="B405" s="11" t="str">
        <f>DataItems3[[#This Row],[Field]]&amp;IF(DataItems3[[#This Row],[Options for supplying the Field]]="",""," "&amp;DataItems3[[#This Row],[Options for supplying the Field]])</f>
        <v>Location of employment⁽¹⁾ (UK Lower super output area (LSOA)/ Non-UK/ Unknown)</v>
      </c>
      <c r="C405">
        <v>100322</v>
      </c>
      <c r="D405" s="3" t="s">
        <v>146</v>
      </c>
      <c r="F405" s="3" t="str">
        <f t="shared" si="64"/>
        <v>Location of employment⁽¹⁾</v>
      </c>
      <c r="G405" s="13" t="s">
        <v>804</v>
      </c>
      <c r="H405" s="14" t="s">
        <v>93</v>
      </c>
      <c r="J405" s="3">
        <v>5</v>
      </c>
      <c r="K405" s="3">
        <v>5</v>
      </c>
      <c r="L405" s="3">
        <v>1</v>
      </c>
      <c r="M405" s="3">
        <v>0</v>
      </c>
      <c r="N405" s="3" t="s">
        <v>89</v>
      </c>
      <c r="Q405" s="16" t="s">
        <v>93</v>
      </c>
      <c r="R405" s="3" t="s">
        <v>93</v>
      </c>
      <c r="S405" s="16" t="s">
        <v>93</v>
      </c>
      <c r="U405" s="3" t="s">
        <v>93</v>
      </c>
      <c r="V405" s="3" t="s">
        <v>93</v>
      </c>
      <c r="W405" s="57" t="s">
        <v>2926</v>
      </c>
      <c r="X405" t="str">
        <f>DataItems3[[#This Row],[Collection]]&amp;DataItems3[[#This Row],[Field]]&amp;DataItems3[[#This Row],[Options for supplying the Field]]&amp;DataItems3[[#This Row],[Fieldname]]&amp;DataItems3[[#This Row],[Parent]]</f>
        <v>DLHELocation of employment⁽¹⁾(UK Lower super output area (LSOA)/ Non-UK/ Unknown)</v>
      </c>
      <c r="Y405" s="15">
        <v>43909</v>
      </c>
      <c r="Z405" t="s">
        <v>159</v>
      </c>
      <c r="AA405" s="28" t="str">
        <f t="shared" si="55"/>
        <v/>
      </c>
      <c r="AB405" s="28" t="str">
        <f t="shared" si="62"/>
        <v/>
      </c>
      <c r="AC405" s="28" t="str">
        <f t="shared" si="63"/>
        <v/>
      </c>
      <c r="AD405" s="28" t="str">
        <f t="shared" si="60"/>
        <v/>
      </c>
      <c r="AE405" t="str">
        <f t="shared" si="61"/>
        <v>[Location of employment]</v>
      </c>
    </row>
    <row r="406" spans="1:31" ht="32" x14ac:dyDescent="0.2">
      <c r="A406">
        <v>100326</v>
      </c>
      <c r="B406" s="11" t="str">
        <f>DataItems3[[#This Row],[Field]]&amp;IF(DataItems3[[#This Row],[Options for supplying the Field]]="",""," "&amp;DataItems3[[#This Row],[Options for supplying the Field]])</f>
        <v>Location of employment⁽¹⁾ (UK unitary authority/ Non-UK country)</v>
      </c>
      <c r="C406">
        <v>100326</v>
      </c>
      <c r="D406" s="3" t="s">
        <v>146</v>
      </c>
      <c r="F406" s="3" t="str">
        <f t="shared" si="64"/>
        <v>Location of employment⁽¹⁾</v>
      </c>
      <c r="G406" s="13" t="s">
        <v>1472</v>
      </c>
      <c r="H406" s="14" t="s">
        <v>93</v>
      </c>
      <c r="J406" s="3">
        <v>1</v>
      </c>
      <c r="K406" s="3">
        <v>4</v>
      </c>
      <c r="L406" s="3">
        <v>0</v>
      </c>
      <c r="M406" s="3">
        <v>0</v>
      </c>
      <c r="N406" s="3" t="s">
        <v>89</v>
      </c>
      <c r="Q406" s="16" t="s">
        <v>93</v>
      </c>
      <c r="R406" s="3" t="s">
        <v>93</v>
      </c>
      <c r="S406" s="16" t="s">
        <v>93</v>
      </c>
      <c r="U406" s="3" t="s">
        <v>93</v>
      </c>
      <c r="V406" s="3" t="s">
        <v>93</v>
      </c>
      <c r="W406" s="57" t="s">
        <v>2926</v>
      </c>
      <c r="X406" t="str">
        <f>DataItems3[[#This Row],[Collection]]&amp;DataItems3[[#This Row],[Field]]&amp;DataItems3[[#This Row],[Options for supplying the Field]]&amp;DataItems3[[#This Row],[Fieldname]]&amp;DataItems3[[#This Row],[Parent]]</f>
        <v>DLHELocation of employment⁽¹⁾(UK unitary authority/ Non-UK country)</v>
      </c>
      <c r="Y406" s="15">
        <v>43416</v>
      </c>
      <c r="Z406" t="s">
        <v>95</v>
      </c>
      <c r="AA406" s="28" t="str">
        <f t="shared" si="55"/>
        <v/>
      </c>
      <c r="AB406" s="28" t="str">
        <f t="shared" ref="AB406:AB416" si="65">IF(S406="","",IF(IFERROR(SEARCH("select",S406)&gt;0,0),IF(U406="",IF(MID(S406,SEARCH(H406,S406)-4,1)=" ",MID(S406,SEARCH(H406,S406)-2,LEN(O415)+2),MID(S406,SEARCH(H406,S406)-3,LEN(H406)+3)),U406&amp;"."&amp;H406),S406))</f>
        <v/>
      </c>
      <c r="AC406" s="28" t="str">
        <f t="shared" si="63"/>
        <v/>
      </c>
      <c r="AD406" s="28" t="str">
        <f t="shared" si="60"/>
        <v/>
      </c>
      <c r="AE406" t="str">
        <f t="shared" si="61"/>
        <v>[Location of employment]</v>
      </c>
    </row>
    <row r="407" spans="1:31" ht="16" x14ac:dyDescent="0.2">
      <c r="A407">
        <v>100314</v>
      </c>
      <c r="B407" s="11" t="str">
        <f>DataItems3[[#This Row],[Field]]&amp;IF(DataItems3[[#This Row],[Options for supplying the Field]]="",""," "&amp;DataItems3[[#This Row],[Options for supplying the Field]])</f>
        <v>Location of employment⁽¹⁾ (region) [XEMPLOCGR]</v>
      </c>
      <c r="C407">
        <v>100314</v>
      </c>
      <c r="D407" s="3" t="s">
        <v>151</v>
      </c>
      <c r="F407" s="3" t="str">
        <f t="shared" si="64"/>
        <v>Location of employment⁽¹⁾</v>
      </c>
      <c r="G407" s="13" t="s">
        <v>1473</v>
      </c>
      <c r="H407" s="3" t="s">
        <v>1474</v>
      </c>
      <c r="J407" s="3">
        <v>1</v>
      </c>
      <c r="K407" s="3">
        <v>2</v>
      </c>
      <c r="L407" s="3">
        <v>0</v>
      </c>
      <c r="M407" s="3">
        <v>0</v>
      </c>
      <c r="P407" s="3" t="s">
        <v>323</v>
      </c>
      <c r="Q407" s="16" t="s">
        <v>1475</v>
      </c>
      <c r="R407" s="3" t="s">
        <v>93</v>
      </c>
      <c r="S407" s="16" t="s">
        <v>1476</v>
      </c>
      <c r="U407" s="3" t="s">
        <v>1477</v>
      </c>
      <c r="V407" s="3" t="s">
        <v>93</v>
      </c>
      <c r="W407" s="57" t="s">
        <v>2909</v>
      </c>
      <c r="X407" t="str">
        <f>DataItems3[[#This Row],[Collection]]&amp;DataItems3[[#This Row],[Field]]&amp;DataItems3[[#This Row],[Options for supplying the Field]]&amp;DataItems3[[#This Row],[Fieldname]]&amp;DataItems3[[#This Row],[Parent]]</f>
        <v>Graduate OutcomesLocation of employment⁽¹⁾(region) [XEMPLOCGR]XEMPLOCGRProvider &gt; Derived Field</v>
      </c>
      <c r="Y407" s="15">
        <v>43550</v>
      </c>
      <c r="Z407" t="s">
        <v>159</v>
      </c>
      <c r="AA407" s="28" t="str">
        <f t="shared" si="55"/>
        <v>CASE WHEN ISNULL(g.ZRESPSTATUS, '02')='02' OR ISNULL(g.XACTIVITY, '99')='99' THEN 'Not in GO publication population' else ISNULL(g.XEMPLOCGR,'NOTK') end</v>
      </c>
      <c r="AB407" s="28" t="str">
        <f t="shared" si="65"/>
        <v>CASE WHEN ISNULL(g.ZRESPSTATUS, '02')='02' OR ISNULL(g.XACTIVITY, '99')='99' THEN 'Not in GO publication population' else ISNULL(XEMPLOCGR.label,'Not known') end</v>
      </c>
      <c r="AC407" s="28" t="str">
        <f t="shared" si="63"/>
        <v/>
      </c>
      <c r="AD407" s="28" t="str">
        <f t="shared" si="60"/>
        <v/>
      </c>
      <c r="AE407" t="str">
        <f t="shared" si="61"/>
        <v>[Location of employment]</v>
      </c>
    </row>
    <row r="408" spans="1:31" ht="16" x14ac:dyDescent="0.2">
      <c r="A408">
        <v>100315</v>
      </c>
      <c r="B408" s="11" t="str">
        <f>DataItems3[[#This Row],[Field]]&amp;IF(DataItems3[[#This Row],[Options for supplying the Field]]="",""," "&amp;DataItems3[[#This Row],[Options for supplying the Field]])</f>
        <v>Location of employment⁽¹⁾ (basic level) [XEMPLOCN]</v>
      </c>
      <c r="C408">
        <v>100315</v>
      </c>
      <c r="D408" s="3" t="s">
        <v>151</v>
      </c>
      <c r="F408" s="3" t="str">
        <f t="shared" si="64"/>
        <v>Location of employment⁽¹⁾</v>
      </c>
      <c r="G408" s="13" t="s">
        <v>1478</v>
      </c>
      <c r="H408" s="3" t="s">
        <v>1479</v>
      </c>
      <c r="J408" s="3">
        <v>1</v>
      </c>
      <c r="K408" s="3">
        <v>2</v>
      </c>
      <c r="L408" s="3">
        <v>0</v>
      </c>
      <c r="M408" s="3">
        <v>0</v>
      </c>
      <c r="P408" s="3" t="s">
        <v>323</v>
      </c>
      <c r="Q408" s="16" t="s">
        <v>1480</v>
      </c>
      <c r="R408" s="3" t="s">
        <v>93</v>
      </c>
      <c r="S408" s="16" t="s">
        <v>3086</v>
      </c>
      <c r="T408"/>
      <c r="U408" s="3" t="s">
        <v>1481</v>
      </c>
      <c r="V408" s="3" t="s">
        <v>93</v>
      </c>
      <c r="W408" s="57" t="s">
        <v>2909</v>
      </c>
      <c r="X408" t="str">
        <f>DataItems3[[#This Row],[Collection]]&amp;DataItems3[[#This Row],[Field]]&amp;DataItems3[[#This Row],[Options for supplying the Field]]&amp;DataItems3[[#This Row],[Fieldname]]&amp;DataItems3[[#This Row],[Parent]]</f>
        <v>Graduate OutcomesLocation of employment⁽¹⁾(basic level) [XEMPLOCN]XEMPLOCNProvider &gt; Derived Field</v>
      </c>
      <c r="Y408" s="15">
        <v>43550</v>
      </c>
      <c r="Z408" t="s">
        <v>159</v>
      </c>
      <c r="AA408" s="28" t="str">
        <f t="shared" si="55"/>
        <v>CASE WHEN ISNULL(g.ZRESPSTATUS, '02')='02' OR ISNULL(g.XACTIVITY, '99')='99' THEN 'Not in GO publication population' else isnull(g.XEMPLOCN,'99') end</v>
      </c>
      <c r="AB408" s="28" t="str">
        <f t="shared" si="65"/>
        <v>CASE WHEN ISNULL(g.ZRESPSTATUS, '02')='02' OR ISNULL(g.XACTIVITY, '99')='99' THEN 'Not in GO publication population' else xemplocn.label end</v>
      </c>
      <c r="AC408" s="28" t="str">
        <f t="shared" si="63"/>
        <v/>
      </c>
      <c r="AD408" s="28" t="str">
        <f t="shared" si="60"/>
        <v/>
      </c>
      <c r="AE408" t="str">
        <f t="shared" si="61"/>
        <v>[Location of employment]</v>
      </c>
    </row>
    <row r="409" spans="1:31" ht="48" x14ac:dyDescent="0.2">
      <c r="A409">
        <v>100316</v>
      </c>
      <c r="B409" s="11" t="str">
        <f>DataItems3[[#This Row],[Field]]&amp;IF(DataItems3[[#This Row],[Options for supplying the Field]]="",""," "&amp;DataItems3[[#This Row],[Options for supplying the Field]])</f>
        <v>Location of employment⁽¹⁾ (county/unitary authority level) [XEMPLOCUC]</v>
      </c>
      <c r="C409">
        <v>100316</v>
      </c>
      <c r="D409" s="3" t="s">
        <v>151</v>
      </c>
      <c r="F409" s="3" t="str">
        <f t="shared" si="64"/>
        <v>Location of employment⁽¹⁾</v>
      </c>
      <c r="G409" s="13" t="s">
        <v>1482</v>
      </c>
      <c r="H409" s="3" t="s">
        <v>1483</v>
      </c>
      <c r="J409" s="3">
        <v>1</v>
      </c>
      <c r="K409" s="3">
        <v>5</v>
      </c>
      <c r="L409" s="3">
        <v>2</v>
      </c>
      <c r="M409" s="3">
        <v>0</v>
      </c>
      <c r="P409" s="3" t="s">
        <v>323</v>
      </c>
      <c r="Q409" s="16" t="s">
        <v>1484</v>
      </c>
      <c r="R409" s="3" t="s">
        <v>93</v>
      </c>
      <c r="S409" s="16" t="s">
        <v>1485</v>
      </c>
      <c r="U409" s="3" t="s">
        <v>1486</v>
      </c>
      <c r="V409" s="3" t="s">
        <v>93</v>
      </c>
      <c r="W409" s="57" t="s">
        <v>2909</v>
      </c>
      <c r="X409" t="str">
        <f>DataItems3[[#This Row],[Collection]]&amp;DataItems3[[#This Row],[Field]]&amp;DataItems3[[#This Row],[Options for supplying the Field]]&amp;DataItems3[[#This Row],[Fieldname]]&amp;DataItems3[[#This Row],[Parent]]</f>
        <v>Graduate OutcomesLocation of employment⁽¹⁾(county/unitary authority level) [XEMPLOCUC]XEMPLOCUCProvider &gt; Derived Field</v>
      </c>
      <c r="Y409" s="15">
        <v>43550</v>
      </c>
      <c r="Z409" t="s">
        <v>159</v>
      </c>
      <c r="AA409" s="28" t="str">
        <f t="shared" si="55"/>
        <v>CASE WHEN ISNULL(g.ZRESPSTATUS, '02')='02' OR ISNULL(g.XACTIVITY, '99')='99' THEN 'Not in GO publication population' when g.xemplocn='05' then 'Channel Islands'  when isnull(g.XEMPLOCUC,'') in ('','$$$$','NOTK') then 'NA/UNK' else g.XEMPLOCUC end</v>
      </c>
      <c r="AB409" s="28" t="str">
        <f t="shared" si="65"/>
        <v>CASE WHEN ISNULL(g.ZRESPSTATUS, '02')='02' OR ISNULL(g.XACTIVITY, '99')='99' THEN 'Not in GO publication population' when g.xemplocn='05' then 'Channel Islands' when  isnull(XEMPLOCUC.label,'') in ('','$$$$','NOTK') then 'NA/UNK' else XEMPLOCUC.label end</v>
      </c>
      <c r="AC409" s="28" t="str">
        <f t="shared" si="63"/>
        <v/>
      </c>
      <c r="AD409" s="28" t="str">
        <f t="shared" si="60"/>
        <v/>
      </c>
      <c r="AE409" t="str">
        <f t="shared" si="61"/>
        <v>[Location of employment]</v>
      </c>
    </row>
    <row r="410" spans="1:31" ht="16" x14ac:dyDescent="0.2">
      <c r="A410">
        <v>100333</v>
      </c>
      <c r="B410" s="11" t="str">
        <f>DataItems3[[#This Row],[Field]]&amp;IF(DataItems3[[#This Row],[Options for supplying the Field]]="",""," "&amp;DataItems3[[#This Row],[Options for supplying the Field]])</f>
        <v>Location of residence⁽¹⁾ (Region) [XHOMELOCGR]</v>
      </c>
      <c r="C410">
        <v>100333</v>
      </c>
      <c r="D410" s="3" t="s">
        <v>151</v>
      </c>
      <c r="F410" s="3" t="str">
        <f>"Location of residence"&amp;"⁽"&amp;CHAR(185)&amp;"⁾"</f>
        <v>Location of residence⁽¹⁾</v>
      </c>
      <c r="G410" s="13" t="s">
        <v>1487</v>
      </c>
      <c r="H410" s="3" t="s">
        <v>1488</v>
      </c>
      <c r="J410" s="3">
        <v>1</v>
      </c>
      <c r="K410" s="3">
        <v>3</v>
      </c>
      <c r="L410" s="3">
        <v>0</v>
      </c>
      <c r="M410" s="3">
        <v>0</v>
      </c>
      <c r="P410" s="3" t="s">
        <v>323</v>
      </c>
      <c r="Q410" s="16" t="s">
        <v>1489</v>
      </c>
      <c r="R410" s="3" t="s">
        <v>93</v>
      </c>
      <c r="S410" s="16" t="s">
        <v>1490</v>
      </c>
      <c r="U410" s="3" t="s">
        <v>1491</v>
      </c>
      <c r="V410" s="3" t="s">
        <v>93</v>
      </c>
      <c r="W410" s="57" t="s">
        <v>2909</v>
      </c>
      <c r="X410" t="str">
        <f>DataItems3[[#This Row],[Collection]]&amp;DataItems3[[#This Row],[Field]]&amp;DataItems3[[#This Row],[Options for supplying the Field]]&amp;DataItems3[[#This Row],[Fieldname]]&amp;DataItems3[[#This Row],[Parent]]</f>
        <v>Graduate OutcomesLocation of residence⁽¹⁾(Region) [XHOMELOCGR]XHOMELOCGRProvider &gt; Derived Field</v>
      </c>
      <c r="Y410" s="15">
        <v>43550</v>
      </c>
      <c r="Z410" t="s">
        <v>159</v>
      </c>
      <c r="AA410" s="28" t="str">
        <f t="shared" si="55"/>
        <v>CASE WHEN ISNULL(g.ZRESPSTATUS, '02')='02' OR ISNULL(g.XACTIVITY, '99')='99' THEN 'Not in GO publication population' else ISNULL(g.XHOMELOCGR,'NOTK') end</v>
      </c>
      <c r="AB410" s="28" t="str">
        <f t="shared" si="65"/>
        <v>CASE WHEN ISNULL(g.ZRESPSTATUS, '02')='02' OR ISNULL(g.XACTIVITY, '99')='99' THEN 'Not in GO publication population' else ISNULL(XHOMELOCGR.label,'Not known') end</v>
      </c>
      <c r="AC410" s="28" t="str">
        <f t="shared" si="63"/>
        <v/>
      </c>
      <c r="AD410" s="28" t="str">
        <f t="shared" si="60"/>
        <v/>
      </c>
      <c r="AE410" t="str">
        <f t="shared" si="61"/>
        <v>[Location of residence]</v>
      </c>
    </row>
    <row r="411" spans="1:31" ht="32" x14ac:dyDescent="0.2">
      <c r="A411">
        <v>100334</v>
      </c>
      <c r="B411" s="11" t="str">
        <f>DataItems3[[#This Row],[Field]]&amp;IF(DataItems3[[#This Row],[Options for supplying the Field]]="",""," "&amp;DataItems3[[#This Row],[Options for supplying the Field]])</f>
        <v>Location of residence⁽¹⁾ (Basic level) [XHOMELOCN]</v>
      </c>
      <c r="C411">
        <v>100334</v>
      </c>
      <c r="D411" s="3" t="s">
        <v>151</v>
      </c>
      <c r="F411" s="3" t="str">
        <f>"Location of residence"&amp;"⁽"&amp;CHAR(185)&amp;"⁾"</f>
        <v>Location of residence⁽¹⁾</v>
      </c>
      <c r="G411" s="13" t="s">
        <v>1492</v>
      </c>
      <c r="H411" s="3" t="s">
        <v>1493</v>
      </c>
      <c r="J411" s="3">
        <v>1</v>
      </c>
      <c r="K411" s="3">
        <v>3</v>
      </c>
      <c r="L411" s="3">
        <v>0</v>
      </c>
      <c r="M411" s="3">
        <v>0</v>
      </c>
      <c r="P411" s="3" t="s">
        <v>323</v>
      </c>
      <c r="Q411" s="16" t="s">
        <v>1494</v>
      </c>
      <c r="R411" s="3" t="s">
        <v>93</v>
      </c>
      <c r="S411" s="16" t="s">
        <v>1495</v>
      </c>
      <c r="U411" s="3" t="s">
        <v>1496</v>
      </c>
      <c r="V411" s="3" t="s">
        <v>93</v>
      </c>
      <c r="W411" s="57" t="s">
        <v>2909</v>
      </c>
      <c r="X411" t="str">
        <f>DataItems3[[#This Row],[Collection]]&amp;DataItems3[[#This Row],[Field]]&amp;DataItems3[[#This Row],[Options for supplying the Field]]&amp;DataItems3[[#This Row],[Fieldname]]&amp;DataItems3[[#This Row],[Parent]]</f>
        <v>Graduate OutcomesLocation of residence⁽¹⁾(Basic level) [XHOMELOCN]XHOMELOCNProvider &gt; Derived Field</v>
      </c>
      <c r="Y411" s="15">
        <v>43550</v>
      </c>
      <c r="Z411" t="s">
        <v>159</v>
      </c>
      <c r="AA411" s="28" t="str">
        <f t="shared" si="55"/>
        <v>CASE WHEN ISNULL(g.ZRESPSTATUS, '02')='02' OR ISNULL(g.XACTIVITY, '99')='99' THEN 'Not in GO publication population' else isnull(g.XHOMELOCN,'99') end</v>
      </c>
      <c r="AB411" s="28" t="str">
        <f t="shared" si="65"/>
        <v>CASE WHEN ISNULL(g.ZRESPSTATUS, '02')='02' OR ISNULL(g.XACTIVITY, '99')='99' THEN 'Not in GO publication population' else isnull(XHOMELOCN.label,'Not known') end</v>
      </c>
      <c r="AC411" s="28" t="str">
        <f t="shared" si="63"/>
        <v/>
      </c>
      <c r="AD411" s="28" t="str">
        <f t="shared" si="60"/>
        <v/>
      </c>
      <c r="AE411" t="str">
        <f t="shared" si="61"/>
        <v>[Location of residence]</v>
      </c>
    </row>
    <row r="412" spans="1:31" ht="32" x14ac:dyDescent="0.2">
      <c r="A412">
        <v>100335</v>
      </c>
      <c r="B412" s="11" t="str">
        <f>DataItems3[[#This Row],[Field]]&amp;IF(DataItems3[[#This Row],[Options for supplying the Field]]="",""," "&amp;DataItems3[[#This Row],[Options for supplying the Field]])</f>
        <v>Location of residence⁽¹⁾ (Country) [XHOMELOCUC]</v>
      </c>
      <c r="C412">
        <v>100335</v>
      </c>
      <c r="D412" s="3" t="s">
        <v>151</v>
      </c>
      <c r="F412" s="3" t="str">
        <f>"Location of residence"&amp;"⁽"&amp;CHAR(185)&amp;"⁾"</f>
        <v>Location of residence⁽¹⁾</v>
      </c>
      <c r="G412" s="13" t="s">
        <v>1497</v>
      </c>
      <c r="H412" s="3" t="s">
        <v>1498</v>
      </c>
      <c r="J412" s="3">
        <v>1</v>
      </c>
      <c r="K412" s="3">
        <v>5</v>
      </c>
      <c r="L412" s="3">
        <v>2</v>
      </c>
      <c r="M412" s="3">
        <v>0</v>
      </c>
      <c r="P412" s="3" t="s">
        <v>323</v>
      </c>
      <c r="Q412" s="16" t="s">
        <v>1499</v>
      </c>
      <c r="R412" s="3" t="s">
        <v>93</v>
      </c>
      <c r="S412" s="16" t="s">
        <v>1500</v>
      </c>
      <c r="U412" s="3" t="s">
        <v>1501</v>
      </c>
      <c r="V412" s="3" t="s">
        <v>93</v>
      </c>
      <c r="W412" s="57" t="s">
        <v>2909</v>
      </c>
      <c r="X412" t="str">
        <f>DataItems3[[#This Row],[Collection]]&amp;DataItems3[[#This Row],[Field]]&amp;DataItems3[[#This Row],[Options for supplying the Field]]&amp;DataItems3[[#This Row],[Fieldname]]&amp;DataItems3[[#This Row],[Parent]]</f>
        <v>Graduate OutcomesLocation of residence⁽¹⁾(Country) [XHOMELOCUC]XHOMELOCUCProvider &gt; Derived Field</v>
      </c>
      <c r="Y412" s="15">
        <v>43550</v>
      </c>
      <c r="Z412" t="s">
        <v>159</v>
      </c>
      <c r="AA412" s="28" t="str">
        <f t="shared" si="55"/>
        <v>CASE WHEN ISNULL(g.ZRESPSTATUS, '02')='02' OR ISNULL(g.XACTIVITY, '99')='99' THEN 'Not in GO publication population' when isnull(g.XhomeLOCUC,'') in ('','$$$$','NOTK') then 'NA/UNK' else g.XhomeLOCUC end</v>
      </c>
      <c r="AB412" s="28" t="str">
        <f t="shared" si="65"/>
        <v>CASE WHEN ISNULL(g.ZRESPSTATUS, '02')='02' OR ISNULL(g.XACTIVITY, '99')='99' THEN 'Not in GO publication population' when  isnull(XhomeLOCUC.label,'') in ('','$$$$','NOTK') then 'NA/UNK' else XhomeLOCUC.label end</v>
      </c>
      <c r="AC412" s="28" t="str">
        <f t="shared" si="63"/>
        <v/>
      </c>
      <c r="AD412" s="28" t="str">
        <f t="shared" si="60"/>
        <v/>
      </c>
      <c r="AE412" t="str">
        <f t="shared" si="61"/>
        <v>[Location of residence]</v>
      </c>
    </row>
    <row r="413" spans="1:31" ht="16" x14ac:dyDescent="0.2">
      <c r="A413">
        <v>100339</v>
      </c>
      <c r="B413" s="11" t="str">
        <f>DataItems3[[#This Row],[Field]]&amp;IF(DataItems3[[#This Row],[Options for supplying the Field]]="",""," "&amp;DataItems3[[#This Row],[Options for supplying the Field]])</f>
        <v>Location of self-employment / own business (Area)⁽¹⁾ [ZBUSAREA]</v>
      </c>
      <c r="C413">
        <v>100339</v>
      </c>
      <c r="D413" s="3" t="s">
        <v>151</v>
      </c>
      <c r="F413" s="3" t="str">
        <f>"Location of self-employment / own business (Area)"&amp;"⁽"&amp;CHAR(185)&amp;"⁾"</f>
        <v>Location of self-employment / own business (Area)⁽¹⁾</v>
      </c>
      <c r="G413" s="13" t="s">
        <v>1502</v>
      </c>
      <c r="H413" s="3" t="s">
        <v>1503</v>
      </c>
      <c r="J413" s="3">
        <v>1</v>
      </c>
      <c r="K413" s="3">
        <v>3</v>
      </c>
      <c r="L413" s="3">
        <v>0</v>
      </c>
      <c r="M413" s="3">
        <v>0</v>
      </c>
      <c r="P413" s="3" t="s">
        <v>502</v>
      </c>
      <c r="Q413" s="16" t="s">
        <v>1504</v>
      </c>
      <c r="R413" s="3" t="s">
        <v>93</v>
      </c>
      <c r="S413" s="16" t="s">
        <v>1505</v>
      </c>
      <c r="U413" s="3" t="s">
        <v>1506</v>
      </c>
      <c r="V413" s="3" t="s">
        <v>93</v>
      </c>
      <c r="W413" s="57" t="s">
        <v>2909</v>
      </c>
      <c r="X413" t="str">
        <f>DataItems3[[#This Row],[Collection]]&amp;DataItems3[[#This Row],[Field]]&amp;DataItems3[[#This Row],[Options for supplying the Field]]&amp;DataItems3[[#This Row],[Fieldname]]&amp;DataItems3[[#This Row],[Parent]]</f>
        <v>Graduate OutcomesLocation of self-employment / own business (Area)⁽¹⁾[ZBUSAREA]ZBUSAREAProvider &gt; Processing Field</v>
      </c>
      <c r="Y413" s="15">
        <v>43550</v>
      </c>
      <c r="Z413" t="s">
        <v>159</v>
      </c>
      <c r="AA413" s="28" t="str">
        <f t="shared" si="55"/>
        <v>CASE WHEN ISNULL(g.ZRESPSTATUS, '02')='02' OR ISNULL(g.XACTIVITY, '99')='99' THEN 'Not in GO publication population' else isnull(g.ZBUSAREA,'NOTK') end</v>
      </c>
      <c r="AB413" s="28" t="str">
        <f t="shared" si="65"/>
        <v>CASE WHEN ISNULL(g.ZRESPSTATUS, '02')='02' OR ISNULL(g.XACTIVITY, '99')='99' THEN 'Not in GO publication population' else isnull(ZBUSAREA.label,'Not known') end</v>
      </c>
      <c r="AC413" s="28" t="str">
        <f t="shared" si="63"/>
        <v/>
      </c>
      <c r="AD413" s="28" t="str">
        <f t="shared" si="60"/>
        <v/>
      </c>
      <c r="AE413" t="str">
        <f t="shared" si="61"/>
        <v>[Location of self-employment / own business (Area)]</v>
      </c>
    </row>
    <row r="414" spans="1:31" ht="16" x14ac:dyDescent="0.2">
      <c r="A414">
        <v>100340</v>
      </c>
      <c r="B414" s="11" t="str">
        <f>DataItems3[[#This Row],[Field]]&amp;IF(DataItems3[[#This Row],[Options for supplying the Field]]="",""," "&amp;DataItems3[[#This Row],[Options for supplying the Field]])</f>
        <v>Location of self-employment / own business (Country) [ZBUSCOUNTRY]</v>
      </c>
      <c r="C414">
        <v>100340</v>
      </c>
      <c r="D414" s="3" t="s">
        <v>151</v>
      </c>
      <c r="F414" s="3" t="s">
        <v>1507</v>
      </c>
      <c r="G414" s="13" t="s">
        <v>1508</v>
      </c>
      <c r="H414" s="3" t="s">
        <v>1509</v>
      </c>
      <c r="J414" s="3">
        <v>1</v>
      </c>
      <c r="K414" s="3">
        <v>3</v>
      </c>
      <c r="L414" s="3">
        <v>2</v>
      </c>
      <c r="M414" s="3">
        <v>0</v>
      </c>
      <c r="P414" s="3" t="s">
        <v>502</v>
      </c>
      <c r="Q414" s="16" t="s">
        <v>1510</v>
      </c>
      <c r="R414" s="3" t="s">
        <v>93</v>
      </c>
      <c r="S414" s="16" t="s">
        <v>1511</v>
      </c>
      <c r="U414" s="3" t="s">
        <v>1512</v>
      </c>
      <c r="V414" s="3" t="s">
        <v>93</v>
      </c>
      <c r="W414" s="57" t="s">
        <v>2909</v>
      </c>
      <c r="X414" t="str">
        <f>DataItems3[[#This Row],[Collection]]&amp;DataItems3[[#This Row],[Field]]&amp;DataItems3[[#This Row],[Options for supplying the Field]]&amp;DataItems3[[#This Row],[Fieldname]]&amp;DataItems3[[#This Row],[Parent]]</f>
        <v>Graduate OutcomesLocation of self-employment / own business (Country)[ZBUSCOUNTRY]ZBUSCOUNTRYProvider &gt; Processing Field</v>
      </c>
      <c r="Y414" s="15">
        <v>43550</v>
      </c>
      <c r="Z414" t="s">
        <v>159</v>
      </c>
      <c r="AA414" s="28" t="str">
        <f t="shared" si="55"/>
        <v>CASE WHEN ISNULL(g.ZRESPSTATUS, '02')='02' OR ISNULL(g.XACTIVITY, '99')='99' THEN 'Not in GO publication population' else isnull(g.ZBUSCOUNTRY,'NOTK') end</v>
      </c>
      <c r="AB414" s="28" t="str">
        <f t="shared" si="65"/>
        <v>CASE WHEN ISNULL(g.ZRESPSTATUS, '02')='02' OR ISNULL(g.XACTIVITY, '99')='99' THEN 'Not in GO publication population' else isnull(zBUSCOUNTRY.label,'Not known') end</v>
      </c>
      <c r="AC414" s="28" t="str">
        <f t="shared" si="63"/>
        <v/>
      </c>
      <c r="AD414" s="28" t="str">
        <f t="shared" si="60"/>
        <v/>
      </c>
      <c r="AE414" t="str">
        <f t="shared" si="61"/>
        <v>[Location of self-employment / own business (Country)]</v>
      </c>
    </row>
    <row r="415" spans="1:31" ht="16" x14ac:dyDescent="0.2">
      <c r="A415">
        <v>100341</v>
      </c>
      <c r="B415" s="11" t="str">
        <f>DataItems3[[#This Row],[Field]]&amp;IF(DataItems3[[#This Row],[Options for supplying the Field]]="",""," "&amp;DataItems3[[#This Row],[Options for supplying the Field]])</f>
        <v>Location of self-employment / own business (Postcode)⁽¹⁾ [ZBUSPCODE]</v>
      </c>
      <c r="C415">
        <v>100341</v>
      </c>
      <c r="D415" s="3" t="s">
        <v>151</v>
      </c>
      <c r="F415" s="3" t="str">
        <f>"Location of self-employment / own business (Postcode)"&amp;"⁽"&amp;CHAR(185)&amp;"⁾"</f>
        <v>Location of self-employment / own business (Postcode)⁽¹⁾</v>
      </c>
      <c r="G415" s="13" t="s">
        <v>1513</v>
      </c>
      <c r="H415" s="3" t="s">
        <v>1514</v>
      </c>
      <c r="J415" s="3">
        <v>1</v>
      </c>
      <c r="K415" s="3">
        <v>5</v>
      </c>
      <c r="L415" s="3">
        <v>4</v>
      </c>
      <c r="M415" s="3">
        <v>0</v>
      </c>
      <c r="P415" s="3" t="s">
        <v>502</v>
      </c>
      <c r="Q415" s="16" t="s">
        <v>1515</v>
      </c>
      <c r="R415" s="3" t="s">
        <v>93</v>
      </c>
      <c r="S415" s="16" t="s">
        <v>1515</v>
      </c>
      <c r="U415" s="3" t="s">
        <v>93</v>
      </c>
      <c r="V415" s="3" t="s">
        <v>93</v>
      </c>
      <c r="W415" s="57" t="s">
        <v>2909</v>
      </c>
      <c r="X415" t="str">
        <f>DataItems3[[#This Row],[Collection]]&amp;DataItems3[[#This Row],[Field]]&amp;DataItems3[[#This Row],[Options for supplying the Field]]&amp;DataItems3[[#This Row],[Fieldname]]&amp;DataItems3[[#This Row],[Parent]]</f>
        <v>Graduate OutcomesLocation of self-employment / own business (Postcode)⁽¹⁾[ZBUSPCODE]ZBUSPCODEProvider &gt; Processing Field</v>
      </c>
      <c r="Y415" s="15">
        <v>43550</v>
      </c>
      <c r="Z415" t="s">
        <v>159</v>
      </c>
      <c r="AA415" s="28" t="str">
        <f t="shared" si="55"/>
        <v>CASE WHEN ISNULL(g.ZRESPSTATUS, '02')='02' OR ISNULL(g.XACTIVITY, '99')='99' THEN 'Not in GO publication population' else isnull(g.ZBUSPCODE,'99999999') end</v>
      </c>
      <c r="AB415" s="28" t="str">
        <f t="shared" si="65"/>
        <v>CASE WHEN ISNULL(g.ZRESPSTATUS, '02')='02' OR ISNULL(g.XACTIVITY, '99')='99' THEN 'Not in GO publication population' else isnull(g.ZBUSPCODE,'99999999') end</v>
      </c>
      <c r="AC415" s="28" t="str">
        <f t="shared" si="63"/>
        <v/>
      </c>
      <c r="AD415" s="28" t="str">
        <f t="shared" si="60"/>
        <v/>
      </c>
      <c r="AE415" t="str">
        <f t="shared" si="61"/>
        <v>[Location of self-employment / own business (Postcode)]</v>
      </c>
    </row>
    <row r="416" spans="1:31" ht="16" x14ac:dyDescent="0.2">
      <c r="A416">
        <v>100336</v>
      </c>
      <c r="B416" s="11" t="str">
        <f>DataItems3[[#This Row],[Field]]&amp;IF(DataItems3[[#This Row],[Options for supplying the Field]]="",""," "&amp;DataItems3[[#This Row],[Options for supplying the Field]])</f>
        <v>Location of Self-employment⁽¹⁾ (region) [XBUSLOCGR]</v>
      </c>
      <c r="C416">
        <v>100336</v>
      </c>
      <c r="D416" s="3" t="s">
        <v>151</v>
      </c>
      <c r="F416" s="3" t="str">
        <f>"Location of Self-employment"&amp;"⁽"&amp;CHAR(185)&amp;"⁾"</f>
        <v>Location of Self-employment⁽¹⁾</v>
      </c>
      <c r="G416" s="13" t="s">
        <v>1516</v>
      </c>
      <c r="H416" s="3" t="s">
        <v>1517</v>
      </c>
      <c r="J416" s="3">
        <v>1</v>
      </c>
      <c r="K416" s="3">
        <v>3</v>
      </c>
      <c r="L416" s="3">
        <v>0</v>
      </c>
      <c r="M416" s="3">
        <v>0</v>
      </c>
      <c r="P416" s="3" t="s">
        <v>323</v>
      </c>
      <c r="Q416" s="16" t="s">
        <v>1518</v>
      </c>
      <c r="R416" s="3" t="s">
        <v>93</v>
      </c>
      <c r="S416" s="16" t="s">
        <v>1519</v>
      </c>
      <c r="U416" s="3" t="s">
        <v>1520</v>
      </c>
      <c r="V416" s="3" t="s">
        <v>93</v>
      </c>
      <c r="W416" s="57" t="s">
        <v>2909</v>
      </c>
      <c r="X416" t="str">
        <f>DataItems3[[#This Row],[Collection]]&amp;DataItems3[[#This Row],[Field]]&amp;DataItems3[[#This Row],[Options for supplying the Field]]&amp;DataItems3[[#This Row],[Fieldname]]&amp;DataItems3[[#This Row],[Parent]]</f>
        <v>Graduate OutcomesLocation of Self-employment⁽¹⁾(region) [XBUSLOCGR]XBUSLOCGRProvider &gt; Derived Field</v>
      </c>
      <c r="Y416" s="15">
        <v>43550</v>
      </c>
      <c r="Z416" t="s">
        <v>159</v>
      </c>
      <c r="AA416" s="28" t="str">
        <f t="shared" si="55"/>
        <v>CASE WHEN ISNULL(g.ZRESPSTATUS, '02')='02' OR ISNULL(g.XACTIVITY, '99')='99' THEN 'Not in GO publication population' else ISNULL(g.XBUSLOCGR,'NOTK') end</v>
      </c>
      <c r="AB416" s="28" t="str">
        <f t="shared" si="65"/>
        <v>CASE WHEN ISNULL(g.ZRESPSTATUS, '02')='02' OR ISNULL(g.XACTIVITY, '99')='99' THEN 'Not in GO publication population' else ISNULL(XBUSLOCGR.label,'Not known') end</v>
      </c>
      <c r="AC416" s="28" t="str">
        <f t="shared" si="63"/>
        <v/>
      </c>
      <c r="AD416" s="28" t="str">
        <f t="shared" si="60"/>
        <v/>
      </c>
      <c r="AE416" t="str">
        <f t="shared" si="61"/>
        <v>[Location of Self-employment]</v>
      </c>
    </row>
    <row r="417" spans="1:32" ht="16" x14ac:dyDescent="0.2">
      <c r="A417">
        <v>100337</v>
      </c>
      <c r="B417" s="11" t="str">
        <f>DataItems3[[#This Row],[Field]]&amp;IF(DataItems3[[#This Row],[Options for supplying the Field]]="",""," "&amp;DataItems3[[#This Row],[Options for supplying the Field]])</f>
        <v>Location of Self-employment⁽¹⁾ (basic level) [XBUSLOCN]</v>
      </c>
      <c r="C417">
        <v>100337</v>
      </c>
      <c r="D417" s="3" t="s">
        <v>151</v>
      </c>
      <c r="F417" s="3" t="str">
        <f>"Location of Self-employment"&amp;"⁽"&amp;CHAR(185)&amp;"⁾"</f>
        <v>Location of Self-employment⁽¹⁾</v>
      </c>
      <c r="G417" s="13" t="s">
        <v>1521</v>
      </c>
      <c r="H417" s="3" t="s">
        <v>1522</v>
      </c>
      <c r="J417" s="3">
        <v>1</v>
      </c>
      <c r="K417" s="3">
        <v>3</v>
      </c>
      <c r="L417" s="3">
        <v>0</v>
      </c>
      <c r="M417" s="3">
        <v>0</v>
      </c>
      <c r="P417" s="3" t="s">
        <v>323</v>
      </c>
      <c r="Q417" s="16" t="s">
        <v>1523</v>
      </c>
      <c r="R417" s="3" t="s">
        <v>93</v>
      </c>
      <c r="S417" s="16" t="s">
        <v>1524</v>
      </c>
      <c r="U417" s="3" t="s">
        <v>1525</v>
      </c>
      <c r="V417" s="3" t="s">
        <v>93</v>
      </c>
      <c r="W417" s="57" t="s">
        <v>2909</v>
      </c>
      <c r="X417" t="str">
        <f>DataItems3[[#This Row],[Collection]]&amp;DataItems3[[#This Row],[Field]]&amp;DataItems3[[#This Row],[Options for supplying the Field]]&amp;DataItems3[[#This Row],[Fieldname]]&amp;DataItems3[[#This Row],[Parent]]</f>
        <v>Graduate OutcomesLocation of Self-employment⁽¹⁾(basic level) [XBUSLOCN]XBUSLOCNProvider &gt; Derived Field</v>
      </c>
      <c r="Y417" s="15">
        <v>43550</v>
      </c>
      <c r="Z417" t="s">
        <v>159</v>
      </c>
      <c r="AA417" s="28" t="str">
        <f t="shared" si="55"/>
        <v>CASE WHEN ISNULL(g.ZRESPSTATUS, '02')='02' OR ISNULL(g.XACTIVITY, '99')='99' THEN 'Not in GO publication population' else isnull(g.XBUSLOCN,'99') end</v>
      </c>
      <c r="AB417" s="28" t="str">
        <f>IF(S417="","",IF(IFERROR(SEARCH("select",S417)&gt;0,0),IF(U417="",IF(MID(S417,SEARCH(H417,S417)-4,1)=" ",MID(S417,SEARCH(H417,S417)-2,LEN(#REF!)+2),MID(S417,SEARCH(H417,S417)-3,LEN(H417)+3)),U417&amp;"."&amp;H417),S417))</f>
        <v>CASE WHEN ISNULL(g.ZRESPSTATUS, '02')='02' OR ISNULL(g.XACTIVITY, '99')='99' THEN 'Not in GO publication population' else isnull(XBUSLOCN.label,'Not known') end</v>
      </c>
      <c r="AC417" s="28" t="str">
        <f t="shared" si="63"/>
        <v/>
      </c>
      <c r="AD417" s="28" t="str">
        <f t="shared" si="60"/>
        <v/>
      </c>
      <c r="AE417" t="str">
        <f t="shared" si="61"/>
        <v>[Location of Self-employment]</v>
      </c>
    </row>
    <row r="418" spans="1:32" ht="48" x14ac:dyDescent="0.2">
      <c r="A418">
        <v>100338</v>
      </c>
      <c r="B418" s="11" t="str">
        <f>DataItems3[[#This Row],[Field]]&amp;IF(DataItems3[[#This Row],[Options for supplying the Field]]="",""," "&amp;DataItems3[[#This Row],[Options for supplying the Field]])</f>
        <v xml:space="preserve">Location of Self-employment⁽¹⁾ (UK unitary authority/ Non-UK country) [XBUSLOCUC] </v>
      </c>
      <c r="C418">
        <v>100338</v>
      </c>
      <c r="D418" s="3" t="s">
        <v>151</v>
      </c>
      <c r="F418" s="3" t="str">
        <f>"Location of Self-employment"&amp;"⁽"&amp;CHAR(185)&amp;"⁾"</f>
        <v>Location of Self-employment⁽¹⁾</v>
      </c>
      <c r="G418" s="13" t="s">
        <v>1526</v>
      </c>
      <c r="H418" s="3" t="s">
        <v>1527</v>
      </c>
      <c r="J418" s="3">
        <v>1</v>
      </c>
      <c r="K418" s="3">
        <v>5</v>
      </c>
      <c r="L418" s="3">
        <v>2</v>
      </c>
      <c r="M418" s="3">
        <v>0</v>
      </c>
      <c r="P418" s="3" t="s">
        <v>323</v>
      </c>
      <c r="Q418" s="16" t="s">
        <v>1528</v>
      </c>
      <c r="R418" s="3" t="s">
        <v>93</v>
      </c>
      <c r="S418" s="16" t="s">
        <v>1529</v>
      </c>
      <c r="U418" s="3" t="s">
        <v>1530</v>
      </c>
      <c r="V418" s="3" t="s">
        <v>93</v>
      </c>
      <c r="W418" s="57" t="s">
        <v>2909</v>
      </c>
      <c r="X418" t="str">
        <f>DataItems3[[#This Row],[Collection]]&amp;DataItems3[[#This Row],[Field]]&amp;DataItems3[[#This Row],[Options for supplying the Field]]&amp;DataItems3[[#This Row],[Fieldname]]&amp;DataItems3[[#This Row],[Parent]]</f>
        <v>Graduate OutcomesLocation of Self-employment⁽¹⁾(UK unitary authority/ Non-UK country) [XBUSLOCUC] XBUSLOCUCProvider &gt; Derived Field</v>
      </c>
      <c r="Y418" s="15">
        <v>43550</v>
      </c>
      <c r="Z418" t="s">
        <v>159</v>
      </c>
      <c r="AA418" s="28" t="str">
        <f t="shared" ref="AA418:AA481" si="66">IF(Q418="","",Q418)</f>
        <v>CASE WHEN ISNULL(g.ZRESPSTATUS, '02')='02' OR ISNULL(g.XACTIVITY, '99')='99' THEN 'Not in GO publication population' WHEN g.XBUSLOCN='05' THEN 'Channel Islands' when  isnull(g.XbusLOCUC,'') in ('','$$$$','NOTK') then 'NA/UNK' else g.XbusLOCUC end</v>
      </c>
      <c r="AB418" s="28" t="str">
        <f>IF(S418="","",IF(IFERROR(SEARCH("select",S418)&gt;0,0),IF(U418="",IF(MID(S418,SEARCH(H418,S418)-4,1)=" ",MID(S418,SEARCH(H418,S418)-2,LEN(#REF!)+2),MID(S418,SEARCH(H418,S418)-3,LEN(H418)+3)),U418&amp;"."&amp;H418),S418))</f>
        <v>CASE WHEN ISNULL(g.ZRESPSTATUS, '02')='02'OR ISNULL(g.XACTIVITY, '99')='99' THEN 'Not in GO publication population' WHEN g.XBUSLOCN='05' THEN 'Channel Islands' when  isnull(xbuslocuc.Label,'') in ('','$$$$','NOTK') then 'NA/UNK' else xbuslocuc.Label end</v>
      </c>
      <c r="AC418" s="28" t="str">
        <f t="shared" si="63"/>
        <v/>
      </c>
      <c r="AD418" s="28" t="str">
        <f t="shared" si="60"/>
        <v/>
      </c>
      <c r="AE418" t="str">
        <f t="shared" si="61"/>
        <v>[Location of Self-employment]</v>
      </c>
    </row>
    <row r="419" spans="1:32" ht="16" x14ac:dyDescent="0.2">
      <c r="A419">
        <v>100345</v>
      </c>
      <c r="B419" s="11" t="str">
        <f>DataItems3[[#This Row],[Field]]&amp;IF(DataItems3[[#This Row],[Options for supplying the Field]]="",""," "&amp;DataItems3[[#This Row],[Options for supplying the Field]])</f>
        <v>Location of Study</v>
      </c>
      <c r="C419">
        <v>100345</v>
      </c>
      <c r="D419" s="3" t="s">
        <v>86</v>
      </c>
      <c r="E419" s="3" t="s">
        <v>106</v>
      </c>
      <c r="F419" s="3" t="s">
        <v>1531</v>
      </c>
      <c r="G419" s="13"/>
      <c r="H419" s="14" t="s">
        <v>1532</v>
      </c>
      <c r="J419" s="3">
        <v>3</v>
      </c>
      <c r="K419" s="3">
        <v>3</v>
      </c>
      <c r="L419" s="3">
        <v>0</v>
      </c>
      <c r="M419" s="3">
        <v>0</v>
      </c>
      <c r="N419" s="3" t="s">
        <v>89</v>
      </c>
      <c r="Q419" s="16" t="s">
        <v>1533</v>
      </c>
      <c r="R419" s="16" t="s">
        <v>1533</v>
      </c>
      <c r="S419" s="16" t="s">
        <v>1534</v>
      </c>
      <c r="T419" s="16" t="s">
        <v>1534</v>
      </c>
      <c r="U419" s="3" t="s">
        <v>93</v>
      </c>
      <c r="V419" s="3" t="s">
        <v>93</v>
      </c>
      <c r="W419" s="57" t="s">
        <v>150</v>
      </c>
      <c r="X419" t="str">
        <f>DataItems3[[#This Row],[Collection]]&amp;DataItems3[[#This Row],[Field]]&amp;DataItems3[[#This Row],[Options for supplying the Field]]&amp;DataItems3[[#This Row],[Fieldname]]&amp;DataItems3[[#This Row],[Parent]]</f>
        <v>StudentLocation of StudyF_LOCSDY</v>
      </c>
      <c r="Y419" s="15">
        <v>42921</v>
      </c>
      <c r="Z419" t="s">
        <v>139</v>
      </c>
      <c r="AA419" s="28" t="str">
        <f t="shared" si="66"/>
        <v>s.F_LOCSDY</v>
      </c>
      <c r="AB419" s="28" t="str">
        <f t="shared" ref="AB419:AB425" si="67">IF(S419="","",IF(IFERROR(SEARCH("select",S419)&gt;0,0),IF(U419="",IF(MID(S419,SEARCH(H419,S419)-4,1)=" ",MID(S419,SEARCH(H419,S419)-2,LEN(O426)+2),MID(S419,SEARCH(H419,S419)-3,LEN(H419)+3)),U419&amp;"."&amp;H419),S419))</f>
        <v xml:space="preserve"> s.F_LOCSDY</v>
      </c>
      <c r="AC419" s="28" t="str">
        <f t="shared" si="63"/>
        <v>s.F_LOCSDY</v>
      </c>
      <c r="AD419" s="28" t="str">
        <f t="shared" si="60"/>
        <v xml:space="preserve"> s.F_LOCSDY</v>
      </c>
      <c r="AE419" t="str">
        <f t="shared" si="61"/>
        <v>[Location of Study]</v>
      </c>
      <c r="AF419" t="s">
        <v>3087</v>
      </c>
    </row>
    <row r="420" spans="1:32" ht="16" x14ac:dyDescent="0.2">
      <c r="A420">
        <v>100342</v>
      </c>
      <c r="B420" s="11" t="str">
        <f>DataItems3[[#This Row],[Field]]&amp;IF(DataItems3[[#This Row],[Options for supplying the Field]]="",""," "&amp;DataItems3[[#This Row],[Options for supplying the Field]])</f>
        <v>Location of study (Region) [XSTULOCGR]</v>
      </c>
      <c r="C420">
        <v>100342</v>
      </c>
      <c r="D420" s="3" t="s">
        <v>151</v>
      </c>
      <c r="F420" s="3" t="s">
        <v>1535</v>
      </c>
      <c r="G420" s="13" t="s">
        <v>1536</v>
      </c>
      <c r="H420" s="3" t="s">
        <v>1537</v>
      </c>
      <c r="J420" s="3">
        <v>1</v>
      </c>
      <c r="K420" s="3">
        <v>2</v>
      </c>
      <c r="L420" s="3">
        <v>0</v>
      </c>
      <c r="M420" s="3">
        <v>0</v>
      </c>
      <c r="P420" s="3" t="s">
        <v>323</v>
      </c>
      <c r="Q420" s="16" t="s">
        <v>1538</v>
      </c>
      <c r="R420" s="3" t="s">
        <v>93</v>
      </c>
      <c r="S420" s="16" t="s">
        <v>1539</v>
      </c>
      <c r="U420" s="3" t="s">
        <v>1540</v>
      </c>
      <c r="V420" s="3" t="s">
        <v>93</v>
      </c>
      <c r="W420" s="57" t="s">
        <v>2909</v>
      </c>
      <c r="X420" t="str">
        <f>DataItems3[[#This Row],[Collection]]&amp;DataItems3[[#This Row],[Field]]&amp;DataItems3[[#This Row],[Options for supplying the Field]]&amp;DataItems3[[#This Row],[Fieldname]]&amp;DataItems3[[#This Row],[Parent]]</f>
        <v>Graduate OutcomesLocation of study(Region) [XSTULOCGR]XSTULOCGRProvider &gt; Derived Field</v>
      </c>
      <c r="Y420" s="15">
        <v>43550</v>
      </c>
      <c r="Z420" t="s">
        <v>159</v>
      </c>
      <c r="AA420" s="28" t="str">
        <f t="shared" si="66"/>
        <v>CASE WHEN ISNULL(g.ZRESPSTATUS, '02')='02' OR ISNULL(g.XACTIVITY, '99')='99' THEN 'Not in GO publication population' else ISNULL(g.XSTULOCGR,'NOTK') end</v>
      </c>
      <c r="AB420" s="28" t="str">
        <f t="shared" si="67"/>
        <v>CASE WHEN ISNULL(g.ZRESPSTATUS, '02')='02' OR ISNULL(g.XACTIVITY, '99')='99' THEN 'Not in GO publication population' else ISNULL(XSTULOCGR.label,'Not known') end</v>
      </c>
      <c r="AC420" s="28" t="str">
        <f t="shared" si="63"/>
        <v/>
      </c>
      <c r="AD420" s="28" t="str">
        <f t="shared" si="60"/>
        <v/>
      </c>
      <c r="AE420" t="str">
        <f t="shared" si="61"/>
        <v>[Location of study]</v>
      </c>
    </row>
    <row r="421" spans="1:32" ht="16" x14ac:dyDescent="0.2">
      <c r="A421">
        <v>100343</v>
      </c>
      <c r="B421" s="11" t="str">
        <f>DataItems3[[#This Row],[Field]]&amp;IF(DataItems3[[#This Row],[Options for supplying the Field]]="",""," "&amp;DataItems3[[#This Row],[Options for supplying the Field]])</f>
        <v>Location of study (Basic level) [XSTULOCN]</v>
      </c>
      <c r="C421">
        <v>100343</v>
      </c>
      <c r="D421" s="3" t="s">
        <v>151</v>
      </c>
      <c r="F421" s="3" t="s">
        <v>1535</v>
      </c>
      <c r="G421" s="13" t="s">
        <v>1541</v>
      </c>
      <c r="H421" s="3" t="s">
        <v>1542</v>
      </c>
      <c r="J421" s="3">
        <v>1</v>
      </c>
      <c r="K421" s="3">
        <v>2</v>
      </c>
      <c r="L421" s="3">
        <v>0</v>
      </c>
      <c r="M421" s="3">
        <v>0</v>
      </c>
      <c r="P421" s="3" t="s">
        <v>323</v>
      </c>
      <c r="Q421" s="16" t="s">
        <v>1543</v>
      </c>
      <c r="R421" s="3" t="s">
        <v>93</v>
      </c>
      <c r="S421" s="16" t="s">
        <v>1544</v>
      </c>
      <c r="U421" s="3" t="s">
        <v>1545</v>
      </c>
      <c r="V421" s="3" t="s">
        <v>93</v>
      </c>
      <c r="W421" s="57" t="s">
        <v>2909</v>
      </c>
      <c r="X421" t="str">
        <f>DataItems3[[#This Row],[Collection]]&amp;DataItems3[[#This Row],[Field]]&amp;DataItems3[[#This Row],[Options for supplying the Field]]&amp;DataItems3[[#This Row],[Fieldname]]&amp;DataItems3[[#This Row],[Parent]]</f>
        <v>Graduate OutcomesLocation of study(Basic level) [XSTULOCN]XSTULOCNProvider &gt; Derived Field</v>
      </c>
      <c r="Y421" s="15">
        <v>43550</v>
      </c>
      <c r="Z421" t="s">
        <v>159</v>
      </c>
      <c r="AA421" s="28" t="str">
        <f t="shared" si="66"/>
        <v>CASE WHEN ISNULL(g.ZRESPSTATUS, '02')='02' OR ISNULL(g.XACTIVITY, '99')='99' THEN 'Not in GO publication population' else isnull(g.XSTULOCN,'99') end</v>
      </c>
      <c r="AB421" s="28" t="str">
        <f t="shared" si="67"/>
        <v>CASE WHEN ISNULL(g.ZRESPSTATUS, '02')='02' OR ISNULL(g.XACTIVITY, '99')='99' THEN 'Not in GO publication population' else isnull(XSTULOCN.label,'Not known') end</v>
      </c>
      <c r="AC421" s="28" t="str">
        <f t="shared" si="63"/>
        <v/>
      </c>
      <c r="AD421" s="28" t="str">
        <f t="shared" si="60"/>
        <v/>
      </c>
      <c r="AE421" t="str">
        <f t="shared" si="61"/>
        <v>[Location of study]</v>
      </c>
    </row>
    <row r="422" spans="1:32" ht="16" x14ac:dyDescent="0.2">
      <c r="A422">
        <v>100344</v>
      </c>
      <c r="B422" s="11" t="str">
        <f>DataItems3[[#This Row],[Field]]&amp;IF(DataItems3[[#This Row],[Options for supplying the Field]]="",""," "&amp;DataItems3[[#This Row],[Options for supplying the Field]])</f>
        <v>Location of study (Country) [XSTULOCUC]</v>
      </c>
      <c r="C422">
        <v>100344</v>
      </c>
      <c r="D422" s="3" t="s">
        <v>151</v>
      </c>
      <c r="F422" s="3" t="s">
        <v>1535</v>
      </c>
      <c r="G422" s="13" t="s">
        <v>1546</v>
      </c>
      <c r="H422" s="3" t="s">
        <v>1547</v>
      </c>
      <c r="J422" s="3">
        <v>1</v>
      </c>
      <c r="K422" s="3">
        <v>4</v>
      </c>
      <c r="L422" s="3">
        <v>2</v>
      </c>
      <c r="M422" s="3">
        <v>0</v>
      </c>
      <c r="P422" s="3" t="s">
        <v>323</v>
      </c>
      <c r="Q422" s="16" t="s">
        <v>1548</v>
      </c>
      <c r="R422" s="3" t="s">
        <v>93</v>
      </c>
      <c r="S422" s="16" t="s">
        <v>1549</v>
      </c>
      <c r="U422" s="3" t="s">
        <v>1550</v>
      </c>
      <c r="V422" s="3" t="s">
        <v>93</v>
      </c>
      <c r="W422" s="57" t="s">
        <v>2909</v>
      </c>
      <c r="X422" t="str">
        <f>DataItems3[[#This Row],[Collection]]&amp;DataItems3[[#This Row],[Field]]&amp;DataItems3[[#This Row],[Options for supplying the Field]]&amp;DataItems3[[#This Row],[Fieldname]]&amp;DataItems3[[#This Row],[Parent]]</f>
        <v>Graduate OutcomesLocation of study(Country) [XSTULOCUC]XSTULOCUCProvider &gt; Derived Field</v>
      </c>
      <c r="Y422" s="15">
        <v>43550</v>
      </c>
      <c r="Z422" t="s">
        <v>159</v>
      </c>
      <c r="AA422" s="28" t="str">
        <f t="shared" si="66"/>
        <v>CASE WHEN ISNULL(g.ZRESPSTATUS, '02')='02' OR ISNULL(g.XACTIVITY, '99')='99' THEN 'Not in GO publication population' when  isnull(g.XSTULOCUC,'') in ('','$$$$','NOTK') then 'NA/UNK' else g.XSTULOCUC end</v>
      </c>
      <c r="AB422" s="28" t="str">
        <f t="shared" si="67"/>
        <v>CASE WHEN ISNULL(g.ZRESPSTATUS, '02')='02' OR ISNULL(g.XACTIVITY, '99')='99' THEN 'Not in GO publication population' when  isnull(XSTULOCUC.label,'') in ('','$$$$','NOTK') then 'NA/UNK' else XSTULOCUC.label end</v>
      </c>
      <c r="AC422" s="28" t="str">
        <f t="shared" si="63"/>
        <v/>
      </c>
      <c r="AD422" s="28" t="str">
        <f t="shared" si="60"/>
        <v/>
      </c>
      <c r="AE422" t="str">
        <f t="shared" si="61"/>
        <v>[Location of study]</v>
      </c>
    </row>
    <row r="423" spans="1:32" ht="16" x14ac:dyDescent="0.2">
      <c r="A423">
        <v>100830</v>
      </c>
      <c r="B423" s="11" t="str">
        <f>DataItems3[[#This Row],[Field]]&amp;IF(DataItems3[[#This Row],[Options for supplying the Field]]="",""," "&amp;DataItems3[[#This Row],[Options for supplying the Field]])</f>
        <v>Location of work⁽¹⁾ (Region) [XWRKLOCGR]</v>
      </c>
      <c r="C423">
        <v>100830</v>
      </c>
      <c r="D423" s="3" t="s">
        <v>151</v>
      </c>
      <c r="F423" s="3" t="s">
        <v>1551</v>
      </c>
      <c r="G423" s="13" t="s">
        <v>1552</v>
      </c>
      <c r="H423" s="3" t="s">
        <v>1553</v>
      </c>
      <c r="J423" s="3">
        <v>1</v>
      </c>
      <c r="K423" s="3">
        <v>2</v>
      </c>
      <c r="L423" s="3">
        <v>0</v>
      </c>
      <c r="M423" s="3">
        <v>0</v>
      </c>
      <c r="Q423" s="16" t="s">
        <v>1554</v>
      </c>
      <c r="S423" s="16" t="s">
        <v>1555</v>
      </c>
      <c r="U423" s="3" t="s">
        <v>1556</v>
      </c>
      <c r="W423" s="57" t="s">
        <v>2909</v>
      </c>
      <c r="X423" t="str">
        <f>DataItems3[[#This Row],[Collection]]&amp;DataItems3[[#This Row],[Field]]&amp;DataItems3[[#This Row],[Options for supplying the Field]]&amp;DataItems3[[#This Row],[Fieldname]]&amp;DataItems3[[#This Row],[Parent]]</f>
        <v>Graduate OutcomesLocation of work⁽¹⁾(Region) [XWRKLOCGR]F_XWRKLOCGR</v>
      </c>
      <c r="Y423" s="4">
        <v>44404</v>
      </c>
      <c r="Z423" t="s">
        <v>56</v>
      </c>
      <c r="AA423" s="28" t="str">
        <f t="shared" si="66"/>
        <v>CASE WHEN ISNULL(g.ZRESPSTATUS, '02')='02'  OR ISNULL(g.XACTIVITY, '99')='99' THEN 'Not in GO publication population'  ELSE isnull(g.XWRKLOCGR,'NA') END</v>
      </c>
      <c r="AB423" s="28" t="str">
        <f t="shared" si="67"/>
        <v>CASE WHEN ISNULL(g.ZRESPSTATUS, '02')='02'  OR ISNULL(g.XACTIVITY, '99')='99' THEN 'Not in GO publication population'  ELSE isnull(xwrklocgr.label,'Not applicable') END</v>
      </c>
      <c r="AC423" s="28" t="str">
        <f t="shared" si="63"/>
        <v/>
      </c>
      <c r="AD423" s="28" t="str">
        <f t="shared" si="60"/>
        <v/>
      </c>
      <c r="AE423" t="str">
        <f t="shared" si="61"/>
        <v>[Location of work]</v>
      </c>
    </row>
    <row r="424" spans="1:32" ht="16" x14ac:dyDescent="0.2">
      <c r="A424">
        <v>100629</v>
      </c>
      <c r="B424" s="19" t="str">
        <f>DataItems3[[#This Row],[Field]]&amp;IF(DataItems3[[#This Row],[Options for supplying the Field]]="",""," "&amp;DataItems3[[#This Row],[Options for supplying the Field]])</f>
        <v>Location of work⁽¹⁾ (Basic) [XWRKLOCN]</v>
      </c>
      <c r="C424">
        <v>100629</v>
      </c>
      <c r="D424" s="3" t="s">
        <v>151</v>
      </c>
      <c r="F424" s="3" t="s">
        <v>1551</v>
      </c>
      <c r="G424" s="13" t="s">
        <v>1557</v>
      </c>
      <c r="H424" s="3" t="s">
        <v>1558</v>
      </c>
      <c r="J424" s="3">
        <v>1</v>
      </c>
      <c r="K424" s="3">
        <v>2</v>
      </c>
      <c r="L424" s="3">
        <v>0</v>
      </c>
      <c r="M424" s="3">
        <v>0</v>
      </c>
      <c r="P424" s="3" t="s">
        <v>952</v>
      </c>
      <c r="Q424" s="16" t="s">
        <v>1559</v>
      </c>
      <c r="R424" s="3" t="s">
        <v>93</v>
      </c>
      <c r="S424" s="16" t="s">
        <v>1560</v>
      </c>
      <c r="U424" s="3" t="s">
        <v>1561</v>
      </c>
      <c r="V424" s="3" t="s">
        <v>93</v>
      </c>
      <c r="W424" s="57" t="s">
        <v>2909</v>
      </c>
      <c r="X424" t="str">
        <f>DataItems3[[#This Row],[Collection]]&amp;DataItems3[[#This Row],[Field]]&amp;DataItems3[[#This Row],[Options for supplying the Field]]&amp;DataItems3[[#This Row],[Fieldname]]&amp;DataItems3[[#This Row],[Parent]]</f>
        <v>Graduate OutcomesLocation of work⁽¹⁾(Basic) [XWRKLOCN]F_XWRKLOCNProvider &gt; Official Stats Derived Field &gt; Work</v>
      </c>
      <c r="Y424" s="15">
        <v>44008</v>
      </c>
      <c r="Z424" t="s">
        <v>159</v>
      </c>
      <c r="AA424" s="28" t="str">
        <f t="shared" si="66"/>
        <v>CASE WHEN ISNULL(g.ZRESPSTATUS, '02')='02' OR ISNULL(g.XACTIVITY, '99')='99' THEN 'Not in GO publication population' else isnull(g.XWRKLOCN,'NA') end</v>
      </c>
      <c r="AB424" s="28" t="str">
        <f t="shared" si="67"/>
        <v>CASE WHEN ISNULL(g.ZRESPSTATUS, '02')='02' OR ISNULL(g.XACTIVITY, '99')='99' THEN 'Not in GO publication population' else isnull(XWRKLOCN.label,'NA') end</v>
      </c>
      <c r="AC424" s="28" t="str">
        <f t="shared" si="63"/>
        <v/>
      </c>
      <c r="AD424" s="28" t="str">
        <f t="shared" si="60"/>
        <v/>
      </c>
      <c r="AE424" t="str">
        <f t="shared" si="61"/>
        <v>[Location of work]</v>
      </c>
    </row>
    <row r="425" spans="1:32" ht="48" x14ac:dyDescent="0.2">
      <c r="A425">
        <v>100831</v>
      </c>
      <c r="B425" s="11" t="str">
        <f>DataItems3[[#This Row],[Field]]&amp;IF(DataItems3[[#This Row],[Options for supplying the Field]]="",""," "&amp;DataItems3[[#This Row],[Options for supplying the Field]])</f>
        <v>Location of work⁽¹⁾ (UK unitary authority/ Non-UK country) [XWRKLOCUC]</v>
      </c>
      <c r="C425">
        <v>100831</v>
      </c>
      <c r="D425" s="3" t="s">
        <v>151</v>
      </c>
      <c r="F425" s="3" t="s">
        <v>1551</v>
      </c>
      <c r="G425" s="13" t="s">
        <v>1562</v>
      </c>
      <c r="H425" s="3" t="s">
        <v>1563</v>
      </c>
      <c r="J425" s="3">
        <v>1</v>
      </c>
      <c r="K425" s="3">
        <v>5</v>
      </c>
      <c r="L425" s="3">
        <v>0</v>
      </c>
      <c r="M425" s="3">
        <v>0</v>
      </c>
      <c r="Q425" s="16" t="s">
        <v>1564</v>
      </c>
      <c r="S425" s="16" t="s">
        <v>1565</v>
      </c>
      <c r="U425" s="3" t="s">
        <v>1566</v>
      </c>
      <c r="W425" s="57" t="s">
        <v>2909</v>
      </c>
      <c r="X425" t="str">
        <f>DataItems3[[#This Row],[Collection]]&amp;DataItems3[[#This Row],[Field]]&amp;DataItems3[[#This Row],[Options for supplying the Field]]&amp;DataItems3[[#This Row],[Fieldname]]&amp;DataItems3[[#This Row],[Parent]]</f>
        <v>Graduate OutcomesLocation of work⁽¹⁾(UK unitary authority/ Non-UK country) [XWRKLOCUC]F_XWRKLOCUC</v>
      </c>
      <c r="Y425" s="4">
        <v>44404</v>
      </c>
      <c r="Z425" t="s">
        <v>56</v>
      </c>
      <c r="AA425" s="28" t="str">
        <f t="shared" si="66"/>
        <v>CASE WHEN ISNULL(g.ZRESPSTATUS, '02')='02'          OR ISNULL(g.XACTIVITY, '99')='99' THEN 'Not in GO publication population' WHEN g.XWRKLOCUC IN ('JE', 'GG', 'XL') THEN 'Channel Islands'       when isnull(g.XWRKLOCUC,'') in ('','$$$$','NOTK') then 'NA/UNK' else g.XWRKLOCUC END</v>
      </c>
      <c r="AB425" s="28" t="str">
        <f t="shared" si="67"/>
        <v xml:space="preserve">CASE WHEN ISNULL(g.ZRESPSTATUS, '02')='02'          OR ISNULL(g.XACTIVITY, '99')='99' THEN 'Not in GO publication population' WHEN g.XWRKLOCUC IN ('JE', 'GG', 'XL') THEN 'Channel Islands'       when isnull(XWRKLOCUC.label,'') in ('','$$$$','NOTK') then 'NA/UNK' else XWRKLOCUC.label END </v>
      </c>
      <c r="AC425" s="28" t="str">
        <f t="shared" si="63"/>
        <v/>
      </c>
      <c r="AD425" s="28" t="str">
        <f t="shared" si="60"/>
        <v/>
      </c>
      <c r="AE425" t="str">
        <f t="shared" si="61"/>
        <v>[Location of work]</v>
      </c>
    </row>
    <row r="426" spans="1:32" ht="16" x14ac:dyDescent="0.2">
      <c r="A426">
        <v>100350</v>
      </c>
      <c r="B426" s="11" t="str">
        <f>DataItems3[[#This Row],[Field]]&amp;IF(DataItems3[[#This Row],[Options for supplying the Field]]="",""," "&amp;DataItems3[[#This Row],[Options for supplying the Field]])</f>
        <v>Low participation neighbourhood marker⁽¹⁾ (POLAR4 Quintiles)</v>
      </c>
      <c r="C426">
        <v>100350</v>
      </c>
      <c r="D426" s="3" t="s">
        <v>86</v>
      </c>
      <c r="E426" s="3" t="s">
        <v>106</v>
      </c>
      <c r="F426" s="3" t="str">
        <f>"Low participation neighbourhood marker"&amp;"⁽"&amp;CHAR(185)&amp;"⁾"</f>
        <v>Low participation neighbourhood marker⁽¹⁾</v>
      </c>
      <c r="G426" s="13" t="s">
        <v>1567</v>
      </c>
      <c r="H426" s="14" t="s">
        <v>1568</v>
      </c>
      <c r="J426" s="3">
        <v>3</v>
      </c>
      <c r="K426" s="3">
        <v>2</v>
      </c>
      <c r="L426" s="3">
        <v>0</v>
      </c>
      <c r="M426" s="3">
        <v>2</v>
      </c>
      <c r="N426" s="3" t="s">
        <v>89</v>
      </c>
      <c r="Q426" s="16" t="s">
        <v>1569</v>
      </c>
      <c r="R426" s="16" t="s">
        <v>1569</v>
      </c>
      <c r="S426" s="16" t="s">
        <v>1569</v>
      </c>
      <c r="T426" s="16" t="s">
        <v>1569</v>
      </c>
      <c r="U426" s="3" t="s">
        <v>1570</v>
      </c>
      <c r="V426" s="3" t="s">
        <v>93</v>
      </c>
      <c r="W426" s="57" t="s">
        <v>3088</v>
      </c>
      <c r="X426" t="str">
        <f>DataItems3[[#This Row],[Collection]]&amp;DataItems3[[#This Row],[Field]]&amp;DataItems3[[#This Row],[Options for supplying the Field]]&amp;DataItems3[[#This Row],[Fieldname]]&amp;DataItems3[[#This Row],[Parent]]</f>
        <v>StudentLow participation neighbourhood marker⁽¹⁾(POLAR4 Quintiles)F_QUINTILE</v>
      </c>
      <c r="Y426" s="15">
        <v>43434</v>
      </c>
      <c r="Z426" t="s">
        <v>95</v>
      </c>
      <c r="AA426" s="28" t="str">
        <f t="shared" si="66"/>
        <v>CASE WHEN p4.F_QUINTILE='.' OR p4.F_QUINTILE IS NULL OR p4.F_QUINTILE='R' THEN 'Unknown/Not applicable' ELSE p4.F_QUINTILE END</v>
      </c>
      <c r="AB426" s="28" t="str">
        <f>IF(S426="","",IF(IFERROR(SEARCH("select",S426)&gt;0,0),IF(U426="",IF(MID(S426,SEARCH(H426,S426)-4,1)=" ",MID(S426,SEARCH(H426,S426)-2,LEN(O435)+2),MID(S426,SEARCH(H426,S426)-3,LEN(H426)+3)),U426&amp;"."&amp;H426),S426))</f>
        <v>CASE WHEN p4.F_QUINTILE='.' OR p4.F_QUINTILE IS NULL OR p4.F_QUINTILE='R' THEN 'Unknown/Not applicable' ELSE p4.F_QUINTILE END</v>
      </c>
      <c r="AC426" s="28" t="str">
        <f t="shared" si="63"/>
        <v>CASE WHEN p4.F_QUINTILE='.' OR p4.F_QUINTILE IS NULL OR p4.F_QUINTILE='R' THEN 'Unknown/Not applicable' ELSE p4.F_QUINTILE END</v>
      </c>
      <c r="AD426" s="28" t="str">
        <f t="shared" si="60"/>
        <v>CASE WHEN p4.F_QUINTILE='.' OR p4.F_QUINTILE IS NULL OR p4.F_QUINTILE='R' THEN 'Unknown/Not applicable' ELSE p4.F_QUINTILE END</v>
      </c>
      <c r="AE426" t="str">
        <f t="shared" si="61"/>
        <v>[Low participation neighbourhood marker]</v>
      </c>
    </row>
    <row r="427" spans="1:32" ht="16" x14ac:dyDescent="0.2">
      <c r="A427">
        <v>100348</v>
      </c>
      <c r="B427" s="11" t="str">
        <f>DataItems3[[#This Row],[Field]]&amp;IF(DataItems3[[#This Row],[Options for supplying the Field]]="",""," "&amp;DataItems3[[#This Row],[Options for supplying the Field]])</f>
        <v>Low participation neighbourhood marker⁽¹⁾ (POLAR3 Quintiles)</v>
      </c>
      <c r="C427">
        <v>100348</v>
      </c>
      <c r="D427" s="3" t="s">
        <v>86</v>
      </c>
      <c r="E427" s="3" t="s">
        <v>106</v>
      </c>
      <c r="F427" s="3" t="str">
        <f>"Low participation neighbourhood marker"&amp;"⁽"&amp;CHAR(185)&amp;"⁾"</f>
        <v>Low participation neighbourhood marker⁽¹⁾</v>
      </c>
      <c r="G427" s="13" t="s">
        <v>1571</v>
      </c>
      <c r="H427" s="14" t="s">
        <v>1572</v>
      </c>
      <c r="J427" s="3">
        <v>3</v>
      </c>
      <c r="K427" s="3">
        <v>2</v>
      </c>
      <c r="L427" s="3">
        <v>0</v>
      </c>
      <c r="M427" s="3">
        <v>2</v>
      </c>
      <c r="N427" s="3" t="s">
        <v>89</v>
      </c>
      <c r="Q427" s="16" t="s">
        <v>1573</v>
      </c>
      <c r="R427" s="16" t="s">
        <v>1573</v>
      </c>
      <c r="S427" s="16" t="s">
        <v>1574</v>
      </c>
      <c r="T427" s="16" t="s">
        <v>1574</v>
      </c>
      <c r="U427" s="3" t="s">
        <v>1575</v>
      </c>
      <c r="V427" s="3" t="s">
        <v>93</v>
      </c>
      <c r="W427" s="57" t="s">
        <v>109</v>
      </c>
      <c r="X427" t="str">
        <f>DataItems3[[#This Row],[Collection]]&amp;DataItems3[[#This Row],[Field]]&amp;DataItems3[[#This Row],[Options for supplying the Field]]&amp;DataItems3[[#This Row],[Fieldname]]&amp;DataItems3[[#This Row],[Parent]]</f>
        <v>StudentLow participation neighbourhood marker⁽¹⁾(POLAR3 Quintiles)F_QYPR</v>
      </c>
      <c r="Y427" s="15">
        <v>43434</v>
      </c>
      <c r="Z427" t="s">
        <v>95</v>
      </c>
      <c r="AA427" s="28" t="str">
        <f t="shared" si="66"/>
        <v>ISNULL(p3.F_QYPR,'.')</v>
      </c>
      <c r="AB427" s="28" t="str">
        <f>IF(S427="","",IF(IFERROR(SEARCH("select",S427)&gt;0,0),IF(U427="",IF(MID(S427,SEARCH(H427,S427)-4,1)=" ",MID(S427,SEARCH(H427,S427)-2,LEN(O436)+2),MID(S427,SEARCH(H427,S427)-3,LEN(H427)+3)),U427&amp;"."&amp;H427),S427))</f>
        <v>case when p3.F_QYPR ='.' or p3.F_QYPR is null then 'Unknown/Not applicable' else  p3.F_QYPR end</v>
      </c>
      <c r="AC427" s="28" t="str">
        <f t="shared" si="63"/>
        <v>ISNULL(p3.F_QYPR,'.')</v>
      </c>
      <c r="AD427" s="28" t="str">
        <f t="shared" si="60"/>
        <v>case when p3.F_QYPR ='.' or p3.F_QYPR is null then 'Unknown/Not applicable' else  p3.F_QYPR end</v>
      </c>
      <c r="AE427" t="str">
        <f t="shared" si="61"/>
        <v>[Low participation neighbourhood marker]</v>
      </c>
    </row>
    <row r="428" spans="1:32" ht="16" x14ac:dyDescent="0.2">
      <c r="A428">
        <v>100349</v>
      </c>
      <c r="B428" s="11" t="str">
        <f>DataItems3[[#This Row],[Field]]&amp;IF(DataItems3[[#This Row],[Options for supplying the Field]]="",""," "&amp;DataItems3[[#This Row],[Options for supplying the Field]])</f>
        <v>Low participation neighbourhood marker⁽¹⁾ (POLAR3)</v>
      </c>
      <c r="C428">
        <v>100349</v>
      </c>
      <c r="D428" s="3" t="s">
        <v>86</v>
      </c>
      <c r="E428" s="3" t="s">
        <v>106</v>
      </c>
      <c r="F428" s="3" t="str">
        <f>"Low participation neighbourhood marker"&amp;"⁽"&amp;CHAR(185)&amp;"⁾"</f>
        <v>Low participation neighbourhood marker⁽¹⁾</v>
      </c>
      <c r="G428" s="13" t="s">
        <v>1576</v>
      </c>
      <c r="H428" s="14" t="s">
        <v>1577</v>
      </c>
      <c r="J428" s="3">
        <v>3</v>
      </c>
      <c r="K428" s="3">
        <v>2</v>
      </c>
      <c r="L428" s="3">
        <v>0</v>
      </c>
      <c r="M428" s="3">
        <v>2</v>
      </c>
      <c r="N428" s="3" t="s">
        <v>89</v>
      </c>
      <c r="Q428" s="16" t="s">
        <v>1578</v>
      </c>
      <c r="R428" s="16" t="s">
        <v>1578</v>
      </c>
      <c r="S428" s="16" t="s">
        <v>1579</v>
      </c>
      <c r="T428" s="16" t="s">
        <v>1579</v>
      </c>
      <c r="U428" s="3" t="s">
        <v>1580</v>
      </c>
      <c r="V428" s="3" t="s">
        <v>93</v>
      </c>
      <c r="W428" s="57" t="s">
        <v>109</v>
      </c>
      <c r="X428" t="str">
        <f>DataItems3[[#This Row],[Collection]]&amp;DataItems3[[#This Row],[Field]]&amp;DataItems3[[#This Row],[Options for supplying the Field]]&amp;DataItems3[[#This Row],[Fieldname]]&amp;DataItems3[[#This Row],[Parent]]</f>
        <v>StudentLow participation neighbourhood marker⁽¹⁾(POLAR3)F_ZPOLAR3</v>
      </c>
      <c r="Y428" s="15">
        <v>42921</v>
      </c>
      <c r="Z428" t="s">
        <v>139</v>
      </c>
      <c r="AA428" s="28" t="str">
        <f t="shared" si="66"/>
        <v>isnull(p3.F_POLAR3,'U')</v>
      </c>
      <c r="AB428" s="28" t="str">
        <f>IF(S428="","",IF(IFERROR(SEARCH("select",S428)&gt;0,0),IF(U428="",IF(MID(S428,SEARCH(H428,S428)-4,1)=" ",MID(S428,SEARCH(H428,S428)-2,LEN(O437)+2),MID(S428,SEARCH(H428,S428)-3,LEN(H428)+3)),U428&amp;"."&amp;H428),S428))</f>
        <v>isnull(ZPOLAR3.dw_currentlabel,'Unknown')</v>
      </c>
      <c r="AC428" s="28" t="str">
        <f t="shared" si="63"/>
        <v>isnull(p3.F_POLAR3,'U')</v>
      </c>
      <c r="AD428" s="28" t="str">
        <f t="shared" ref="AD428:AD430" si="68">IF(T428="","",IF(IFERROR(SEARCH("select",T428)&gt;0,0),IF(U428="",IF(MID(T428,SEARCH(H428,T428)-4,1)=" ",MID(T428,SEARCH(H428,T428)-2,LEN(O437)+2),MID(T428,SEARCH(H428,T428)-3,LEN(H428)+3)),U428&amp;"."&amp;H428),T428))</f>
        <v>isnull(ZPOLAR3.dw_currentlabel,'Unknown')</v>
      </c>
      <c r="AE428" t="str">
        <f t="shared" si="61"/>
        <v>[Low participation neighbourhood marker]</v>
      </c>
    </row>
    <row r="429" spans="1:32" ht="16" x14ac:dyDescent="0.2">
      <c r="A429">
        <v>100351</v>
      </c>
      <c r="B429" s="11" t="str">
        <f>DataItems3[[#This Row],[Field]]&amp;IF(DataItems3[[#This Row],[Options for supplying the Field]]="",""," "&amp;DataItems3[[#This Row],[Options for supplying the Field]])</f>
        <v>Low participation neighbourhood marker⁽¹⁾ (POLAR4)</v>
      </c>
      <c r="C429">
        <v>100351</v>
      </c>
      <c r="D429" s="3" t="s">
        <v>86</v>
      </c>
      <c r="E429" s="3" t="s">
        <v>106</v>
      </c>
      <c r="F429" s="3" t="str">
        <f>"Low participation neighbourhood marker"&amp;"⁽"&amp;CHAR(185)&amp;"⁾"</f>
        <v>Low participation neighbourhood marker⁽¹⁾</v>
      </c>
      <c r="G429" s="13" t="s">
        <v>1581</v>
      </c>
      <c r="H429" s="14" t="s">
        <v>1582</v>
      </c>
      <c r="J429" s="3">
        <v>3</v>
      </c>
      <c r="K429" s="3">
        <v>2</v>
      </c>
      <c r="L429" s="3">
        <v>0</v>
      </c>
      <c r="M429" s="3">
        <v>2</v>
      </c>
      <c r="N429" s="3" t="s">
        <v>89</v>
      </c>
      <c r="Q429" s="16" t="s">
        <v>1583</v>
      </c>
      <c r="R429" s="16" t="s">
        <v>1583</v>
      </c>
      <c r="S429" s="16" t="s">
        <v>1584</v>
      </c>
      <c r="T429" s="16" t="s">
        <v>1584</v>
      </c>
      <c r="U429" s="3" t="s">
        <v>1585</v>
      </c>
      <c r="V429" s="3" t="s">
        <v>93</v>
      </c>
      <c r="W429" s="57" t="s">
        <v>150</v>
      </c>
      <c r="X429" t="str">
        <f>DataItems3[[#This Row],[Collection]]&amp;DataItems3[[#This Row],[Field]]&amp;DataItems3[[#This Row],[Options for supplying the Field]]&amp;DataItems3[[#This Row],[Fieldname]]&amp;DataItems3[[#This Row],[Parent]]</f>
        <v>StudentLow participation neighbourhood marker⁽¹⁾(POLAR4)F_ZPOLAR4</v>
      </c>
      <c r="Y429" s="15">
        <v>43206</v>
      </c>
      <c r="Z429" t="s">
        <v>102</v>
      </c>
      <c r="AA429" s="28" t="str">
        <f t="shared" si="66"/>
        <v>isnull(p4.F_POLAR4,'U')</v>
      </c>
      <c r="AB429" s="28" t="str">
        <f>IF(S429="","",IF(IFERROR(SEARCH("select",S429)&gt;0,0),IF(U429="",IF(MID(S429,SEARCH(H429,S429)-4,1)=" ",MID(S429,SEARCH(H429,S429)-2,LEN(O438)+2),MID(S429,SEARCH(H429,S429)-3,LEN(H429)+3)),U429&amp;"."&amp;H429),S429))</f>
        <v>isnull(ZPOLAR4.dw_currentlabel,'Unknown neighbourhood (POLAR4)')</v>
      </c>
      <c r="AC429" s="28" t="str">
        <f t="shared" si="63"/>
        <v>isnull(p4.F_POLAR4,'U')</v>
      </c>
      <c r="AD429" s="28" t="str">
        <f t="shared" si="68"/>
        <v>isnull(ZPOLAR4.dw_currentlabel,'Unknown neighbourhood (POLAR4)')</v>
      </c>
      <c r="AE429" t="str">
        <f t="shared" si="61"/>
        <v>[Low participation neighbourhood marker]</v>
      </c>
    </row>
    <row r="430" spans="1:32" ht="16" x14ac:dyDescent="0.2">
      <c r="A430">
        <v>100352</v>
      </c>
      <c r="B430" s="11" t="str">
        <f>DataItems3[[#This Row],[Field]]&amp;IF(DataItems3[[#This Row],[Options for supplying the Field]]="",""," "&amp;DataItems3[[#This Row],[Options for supplying the Field]])</f>
        <v>Main activity [MIMPACT]</v>
      </c>
      <c r="C430">
        <v>100352</v>
      </c>
      <c r="D430" s="3" t="s">
        <v>151</v>
      </c>
      <c r="F430" s="3" t="s">
        <v>1586</v>
      </c>
      <c r="G430" s="13" t="s">
        <v>1587</v>
      </c>
      <c r="H430" s="3" t="s">
        <v>1588</v>
      </c>
      <c r="J430" s="3">
        <v>1</v>
      </c>
      <c r="K430" s="3">
        <v>3</v>
      </c>
      <c r="L430" s="3">
        <v>0</v>
      </c>
      <c r="M430" s="3">
        <v>0</v>
      </c>
      <c r="P430" s="3" t="s">
        <v>155</v>
      </c>
      <c r="Q430" s="16" t="s">
        <v>1589</v>
      </c>
      <c r="R430" s="3" t="s">
        <v>93</v>
      </c>
      <c r="S430" s="16" t="s">
        <v>1590</v>
      </c>
      <c r="U430" s="3" t="s">
        <v>1591</v>
      </c>
      <c r="V430" s="3" t="s">
        <v>93</v>
      </c>
      <c r="W430" s="57" t="s">
        <v>2909</v>
      </c>
      <c r="X430" t="str">
        <f>DataItems3[[#This Row],[Collection]]&amp;DataItems3[[#This Row],[Field]]&amp;DataItems3[[#This Row],[Options for supplying the Field]]&amp;DataItems3[[#This Row],[Fieldname]]&amp;DataItems3[[#This Row],[Parent]]</f>
        <v>Graduate OutcomesMain activity[MIMPACT]MIMPACTProvider &gt; Graduate:</v>
      </c>
      <c r="Y430" s="15">
        <v>43550</v>
      </c>
      <c r="Z430" t="s">
        <v>159</v>
      </c>
      <c r="AA430" s="28" t="str">
        <f t="shared" si="66"/>
        <v>CASE WHEN ISNULL(g.ZRESPSTATUS, '02')='02' OR ISNULL(g.XACTIVITY, '99')='99' THEN 'Not in GO publication population' else g.MIMPACT end</v>
      </c>
      <c r="AB430" s="28" t="str">
        <f>IF(S430="","",IF(IFERROR(SEARCH("select",S430)&gt;0,0),IF(U430="",IF(MID(S430,SEARCH(H430,S430)-4,1)=" ",MID(S430,SEARCH(H430,S430)-2,LEN(O439)+2),MID(S430,SEARCH(H430,S430)-3,LEN(H430)+3)),U430&amp;"."&amp;H430),S430))</f>
        <v>CASE WHEN ISNULL(g.ZRESPSTATUS, '02')='02' OR ISNULL(g.XACTIVITY, '99')='99' THEN 'Not in GO publication population' else MIMPACT.label end</v>
      </c>
      <c r="AC430" s="28" t="str">
        <f t="shared" si="63"/>
        <v/>
      </c>
      <c r="AD430" s="28" t="str">
        <f t="shared" si="68"/>
        <v/>
      </c>
      <c r="AE430" t="str">
        <f t="shared" si="61"/>
        <v>[Main activity]</v>
      </c>
    </row>
    <row r="431" spans="1:32" ht="32" x14ac:dyDescent="0.2">
      <c r="A431">
        <v>100353</v>
      </c>
      <c r="B431" s="11" t="str">
        <f>DataItems3[[#This Row],[Field]]&amp;IF(DataItems3[[#This Row],[Options for supplying the Field]]="",""," "&amp;DataItems3[[#This Row],[Options for supplying the Field]])</f>
        <v>Main reason for research degree [MRSCHDEG] -opt in question</v>
      </c>
      <c r="C431">
        <v>100353</v>
      </c>
      <c r="D431" s="3" t="s">
        <v>151</v>
      </c>
      <c r="F431" s="3" t="s">
        <v>1592</v>
      </c>
      <c r="G431" s="13" t="s">
        <v>1593</v>
      </c>
      <c r="I431" s="3" t="s">
        <v>2991</v>
      </c>
      <c r="J431" s="3">
        <v>1</v>
      </c>
      <c r="K431" s="3">
        <v>2</v>
      </c>
      <c r="L431" s="3">
        <v>0</v>
      </c>
      <c r="M431" s="3">
        <v>0</v>
      </c>
      <c r="P431" s="3" t="s">
        <v>448</v>
      </c>
      <c r="R431" s="3" t="s">
        <v>93</v>
      </c>
      <c r="V431" s="3" t="s">
        <v>93</v>
      </c>
      <c r="W431" s="62" t="s">
        <v>2926</v>
      </c>
      <c r="X431" t="str">
        <f>DataItems3[[#This Row],[Collection]]&amp;DataItems3[[#This Row],[Field]]&amp;DataItems3[[#This Row],[Options for supplying the Field]]&amp;DataItems3[[#This Row],[Fieldname]]&amp;DataItems3[[#This Row],[Parent]]</f>
        <v>Graduate OutcomesMain reason for research degree[MRSCHDEG] -opt in questionProvider &gt; Graduate &gt; Opt in questions:</v>
      </c>
      <c r="Y431" s="15">
        <v>43550</v>
      </c>
      <c r="Z431" t="s">
        <v>159</v>
      </c>
      <c r="AA431" s="28" t="str">
        <f t="shared" si="66"/>
        <v/>
      </c>
      <c r="AB431" s="28" t="str">
        <f>IF(S431="","",IF(IFERROR(SEARCH("select",S431)&gt;0,0),IF(U431="",IF(MID(S431,SEARCH(H431,S431)-4,1)=" ",MID(S431,SEARCH(H431,S431)-2,LEN(O441)+2),MID(S431,SEARCH(H431,S431)-3,LEN(H431)+3)),U431&amp;"."&amp;H431),S431))</f>
        <v/>
      </c>
      <c r="AC431" s="28" t="str">
        <f t="shared" si="63"/>
        <v/>
      </c>
      <c r="AD431" s="28" t="str">
        <f>IF(T431="","",IF(IFERROR(SEARCH("select",T431)&gt;0,0),IF(U431="",IF(MID(T431,SEARCH(H431,T431)-4,1)=" ",MID(T431,SEARCH(H431,T431)-2,LEN(O441)+2),MID(T431,SEARCH(H431,T431)-3,LEN(H431)+3)),U431&amp;"."&amp;H431),T431))</f>
        <v/>
      </c>
      <c r="AE431" t="str">
        <f t="shared" si="61"/>
        <v>[Main reason for research degree]</v>
      </c>
    </row>
    <row r="432" spans="1:32" ht="16" x14ac:dyDescent="0.2">
      <c r="A432">
        <v>100354</v>
      </c>
      <c r="B432" s="11" t="str">
        <f>DataItems3[[#This Row],[Field]]&amp;IF(DataItems3[[#This Row],[Options for supplying the Field]]="",""," "&amp;DataItems3[[#This Row],[Options for supplying the Field]])</f>
        <v>Main reason for taking job</v>
      </c>
      <c r="C432">
        <v>100354</v>
      </c>
      <c r="D432" s="3" t="s">
        <v>146</v>
      </c>
      <c r="F432" s="3" t="s">
        <v>1594</v>
      </c>
      <c r="G432" s="13"/>
      <c r="H432" s="14" t="s">
        <v>93</v>
      </c>
      <c r="J432" s="3">
        <v>1</v>
      </c>
      <c r="K432" s="3">
        <v>1</v>
      </c>
      <c r="L432" s="3">
        <v>0</v>
      </c>
      <c r="M432" s="3">
        <v>0</v>
      </c>
      <c r="N432" s="3" t="s">
        <v>89</v>
      </c>
      <c r="Q432" s="16" t="s">
        <v>93</v>
      </c>
      <c r="R432" s="3" t="s">
        <v>93</v>
      </c>
      <c r="S432" s="16" t="s">
        <v>93</v>
      </c>
      <c r="U432" s="3" t="s">
        <v>93</v>
      </c>
      <c r="V432" s="3" t="s">
        <v>93</v>
      </c>
      <c r="W432" s="57" t="s">
        <v>2926</v>
      </c>
      <c r="X432" t="str">
        <f>DataItems3[[#This Row],[Collection]]&amp;DataItems3[[#This Row],[Field]]&amp;DataItems3[[#This Row],[Options for supplying the Field]]&amp;DataItems3[[#This Row],[Fieldname]]&amp;DataItems3[[#This Row],[Parent]]</f>
        <v>DLHEMain reason for taking job</v>
      </c>
      <c r="Y432" s="15">
        <v>43416</v>
      </c>
      <c r="Z432" t="s">
        <v>95</v>
      </c>
      <c r="AA432" s="28" t="str">
        <f t="shared" si="66"/>
        <v/>
      </c>
      <c r="AB432" s="28" t="str">
        <f t="shared" ref="AB432:AB438" si="69">IF(S432="","",IF(IFERROR(SEARCH("select",S432)&gt;0,0),IF(U432="",IF(MID(S432,SEARCH(H432,S432)-4,1)=" ",MID(S432,SEARCH(H432,S432)-2,LEN(O444)+2),MID(S432,SEARCH(H432,S432)-3,LEN(H432)+3)),U432&amp;"."&amp;H432),S432))</f>
        <v/>
      </c>
      <c r="AC432" s="28" t="str">
        <f t="shared" si="63"/>
        <v/>
      </c>
      <c r="AD432" s="28" t="str">
        <f>IF(T432="","",IF(IFERROR(SEARCH("select",T432)&gt;0,0),IF(U432="",IF(MID(T432,SEARCH(H432,T432)-4,1)=" ",MID(T432,SEARCH(H432,T432)-2,LEN(O442)+2),MID(T432,SEARCH(H432,T432)-3,LEN(H432)+3)),U432&amp;"."&amp;H432),T432))</f>
        <v/>
      </c>
      <c r="AE432" t="str">
        <f t="shared" si="61"/>
        <v>[Main reason for taking job]</v>
      </c>
    </row>
    <row r="433" spans="1:32" ht="16" x14ac:dyDescent="0.2">
      <c r="A433">
        <v>100634</v>
      </c>
      <c r="B433" s="19" t="str">
        <f>DataItems3[[#This Row],[Field]]&amp;IF(DataItems3[[#This Row],[Options for supplying the Field]]="",""," "&amp;DataItems3[[#This Row],[Options for supplying the Field]])</f>
        <v>Main reason for taking job [F_XWRKJOBRSN]</v>
      </c>
      <c r="C433">
        <v>100634</v>
      </c>
      <c r="D433" s="3" t="s">
        <v>151</v>
      </c>
      <c r="F433" s="3" t="s">
        <v>1594</v>
      </c>
      <c r="G433" s="13" t="str">
        <f>"["&amp;H433&amp;"]"</f>
        <v>[F_XWRKJOBRSN]</v>
      </c>
      <c r="H433" s="3" t="s">
        <v>1595</v>
      </c>
      <c r="J433" s="3">
        <v>1</v>
      </c>
      <c r="K433" s="3">
        <v>3</v>
      </c>
      <c r="L433" s="3">
        <v>0</v>
      </c>
      <c r="M433" s="3">
        <v>0</v>
      </c>
      <c r="P433" s="3" t="s">
        <v>952</v>
      </c>
      <c r="Q433" s="16" t="s">
        <v>1596</v>
      </c>
      <c r="R433" s="3" t="s">
        <v>93</v>
      </c>
      <c r="S433" s="16" t="s">
        <v>1597</v>
      </c>
      <c r="U433" s="3" t="s">
        <v>1598</v>
      </c>
      <c r="V433" s="3" t="s">
        <v>93</v>
      </c>
      <c r="W433" s="57" t="s">
        <v>2909</v>
      </c>
      <c r="X433" t="str">
        <f>DataItems3[[#This Row],[Collection]]&amp;DataItems3[[#This Row],[Field]]&amp;DataItems3[[#This Row],[Options for supplying the Field]]&amp;DataItems3[[#This Row],[Fieldname]]&amp;DataItems3[[#This Row],[Parent]]</f>
        <v>Graduate OutcomesMain reason for taking job[F_XWRKJOBRSN]F_XWRKJOBRSNProvider &gt; Official Stats Derived Field &gt; Work</v>
      </c>
      <c r="Y433" s="15">
        <v>44008</v>
      </c>
      <c r="Z433" t="s">
        <v>159</v>
      </c>
      <c r="AA433" s="28" t="str">
        <f t="shared" si="66"/>
        <v>CASE WHEN ISNULL(g.ZRESPSTATUS, '02')='02' OR ISNULL(g.XACTIVITY, '99')='99' THEN 'Not in GO publication population' WHEN ISNULL(g.XWRKJOBRSN, 'NA') IN ('NA', 'NR') THEN 'NA' else isnull(g.XWRKJOBRSN,'NA') end</v>
      </c>
      <c r="AB433" s="28" t="str">
        <f t="shared" si="69"/>
        <v>CASE WHEN ISNULL(g.ZRESPSTATUS, '02')='02' OR ISNULL(g.XACTIVITY, '99')='99' THEN 'Not in GO publication population' WHEN ISNULL(g.XWRKJOBRSN, 'NA') IN ('NA', 'NR') THEN 'Not applicable' else isnull(WRKJOBRSN.label,'Not applicable') end</v>
      </c>
      <c r="AC433" s="28" t="str">
        <f t="shared" si="63"/>
        <v/>
      </c>
      <c r="AD433" s="28" t="str">
        <f>IF(T433="","",IF(IFERROR(SEARCH("select",T433)&gt;0,0),IF(U433="",IF(MID(T433,SEARCH(H433,T433)-4,1)=" ",MID(T433,SEARCH(H433,T433)-2,LEN(O443)+2),MID(T433,SEARCH(H433,T433)-3,LEN(H433)+3)),U433&amp;"."&amp;H433),T433))</f>
        <v/>
      </c>
      <c r="AE433" t="str">
        <f t="shared" si="61"/>
        <v>[Main reason for taking job]</v>
      </c>
    </row>
    <row r="434" spans="1:32" ht="16" x14ac:dyDescent="0.2">
      <c r="A434">
        <v>100355</v>
      </c>
      <c r="B434" s="11" t="str">
        <f>DataItems3[[#This Row],[Field]]&amp;IF(DataItems3[[#This Row],[Options for supplying the Field]]="",""," "&amp;DataItems3[[#This Row],[Options for supplying the Field]])</f>
        <v>Main reason for taking the job [JOBRSNMAIN]</v>
      </c>
      <c r="C434">
        <v>100355</v>
      </c>
      <c r="D434" s="3" t="s">
        <v>151</v>
      </c>
      <c r="F434" s="3" t="s">
        <v>1599</v>
      </c>
      <c r="G434" s="13" t="s">
        <v>1600</v>
      </c>
      <c r="H434" s="3" t="s">
        <v>1601</v>
      </c>
      <c r="I434" s="3" t="s">
        <v>247</v>
      </c>
      <c r="J434" s="3">
        <v>2</v>
      </c>
      <c r="K434" s="3">
        <v>2</v>
      </c>
      <c r="L434" s="3">
        <v>0</v>
      </c>
      <c r="M434" s="3">
        <v>0</v>
      </c>
      <c r="P434" s="3" t="s">
        <v>874</v>
      </c>
      <c r="Q434" s="16" t="s">
        <v>1602</v>
      </c>
      <c r="R434" s="3" t="s">
        <v>93</v>
      </c>
      <c r="S434" s="16" t="s">
        <v>1603</v>
      </c>
      <c r="U434" s="3" t="s">
        <v>1604</v>
      </c>
      <c r="V434" s="3" t="s">
        <v>93</v>
      </c>
      <c r="W434" s="57" t="s">
        <v>2909</v>
      </c>
      <c r="X434" t="str">
        <f>DataItems3[[#This Row],[Collection]]&amp;DataItems3[[#This Row],[Field]]&amp;DataItems3[[#This Row],[Options for supplying the Field]]&amp;DataItems3[[#This Row],[Fieldname]]&amp;DataItems3[[#This Row],[Parent]]</f>
        <v>Graduate OutcomesMain reason for taking the job[JOBRSNMAIN]JOBRSNMAINProvider &gt; Graduate &gt; Employment:</v>
      </c>
      <c r="Y434" s="15">
        <v>43550</v>
      </c>
      <c r="Z434" t="s">
        <v>159</v>
      </c>
      <c r="AA434" s="28" t="str">
        <f t="shared" si="66"/>
        <v>CASE WHEN ISNULL(g.ZRESPSTATUS, '02')='02' OR ISNULL(g.XACTIVITY, '99')='99' THEN 'Not in GO publication population' else ISNULL(NULLIF(g.JOBRSNMAIN,''),'UN') end</v>
      </c>
      <c r="AB434" s="28" t="str">
        <f t="shared" si="69"/>
        <v>CASE WHEN ISNULL(g.ZRESPSTATUS, '02')='02' OR ISNULL(g.XACTIVITY, '99')='99' THEN 'Not in GO publication population' else ISNULL(NULLIF(JOBRSNMAIN.label,''),'Unknown') end</v>
      </c>
      <c r="AC434" s="28" t="str">
        <f t="shared" si="63"/>
        <v/>
      </c>
      <c r="AD434" s="28" t="str">
        <f>IF(T434="","",IF(IFERROR(SEARCH("select",T434)&gt;0,0),IF(U434="",IF(MID(T434,SEARCH(H434,T434)-4,1)=" ",MID(T434,SEARCH(H434,T434)-2,LEN(O444)+2),MID(T434,SEARCH(H434,T434)-3,LEN(H434)+3)),U434&amp;"."&amp;H434),T434))</f>
        <v/>
      </c>
      <c r="AE434" t="str">
        <f t="shared" si="61"/>
        <v>[Main reason for taking the job]</v>
      </c>
    </row>
    <row r="435" spans="1:32" ht="16" x14ac:dyDescent="0.2">
      <c r="A435">
        <v>100356</v>
      </c>
      <c r="B435" s="11" t="str">
        <f>DataItems3[[#This Row],[Field]]&amp;IF(DataItems3[[#This Row],[Options for supplying the Field]]="",""," "&amp;DataItems3[[#This Row],[Options for supplying the Field]])</f>
        <v>Major source of funding (Full)</v>
      </c>
      <c r="C435">
        <v>100356</v>
      </c>
      <c r="D435" s="3" t="s">
        <v>86</v>
      </c>
      <c r="E435" s="3" t="s">
        <v>89</v>
      </c>
      <c r="F435" s="3" t="s">
        <v>1605</v>
      </c>
      <c r="G435" s="13" t="s">
        <v>277</v>
      </c>
      <c r="H435" s="14" t="s">
        <v>1606</v>
      </c>
      <c r="J435" s="3">
        <v>1</v>
      </c>
      <c r="K435" s="3">
        <v>3</v>
      </c>
      <c r="L435" s="3">
        <v>2</v>
      </c>
      <c r="M435" s="3">
        <v>0</v>
      </c>
      <c r="Q435" s="16" t="s">
        <v>1607</v>
      </c>
      <c r="R435" s="14" t="s">
        <v>3000</v>
      </c>
      <c r="S435" s="16" t="s">
        <v>1608</v>
      </c>
      <c r="T435" s="14" t="s">
        <v>3000</v>
      </c>
      <c r="U435" s="3" t="s">
        <v>93</v>
      </c>
      <c r="V435" s="3" t="s">
        <v>93</v>
      </c>
      <c r="W435" s="57" t="s">
        <v>504</v>
      </c>
      <c r="X435" t="str">
        <f>DataItems3[[#This Row],[Collection]]&amp;DataItems3[[#This Row],[Field]]&amp;DataItems3[[#This Row],[Options for supplying the Field]]&amp;DataItems3[[#This Row],[Fieldname]]&amp;DataItems3[[#This Row],[Parent]]</f>
        <v>StudentMajor source of funding(Full)F_MSFUND</v>
      </c>
      <c r="Y435" s="15">
        <v>43438</v>
      </c>
      <c r="Z435" t="s">
        <v>102</v>
      </c>
      <c r="AA435" s="28" t="str">
        <f t="shared" si="66"/>
        <v>s.F_MSFUND</v>
      </c>
      <c r="AB435" s="28" t="str">
        <f t="shared" si="69"/>
        <v xml:space="preserve"> s.F_MSFUND</v>
      </c>
      <c r="AC435" s="28"/>
      <c r="AD435" s="28"/>
      <c r="AE435" t="str">
        <f t="shared" si="61"/>
        <v>[Major source of funding]</v>
      </c>
    </row>
    <row r="436" spans="1:32" ht="16" x14ac:dyDescent="0.2">
      <c r="A436">
        <v>100357</v>
      </c>
      <c r="B436" s="11" t="str">
        <f>DataItems3[[#This Row],[Field]]&amp;IF(DataItems3[[#This Row],[Options for supplying the Field]]="",""," "&amp;DataItems3[[#This Row],[Options for supplying the Field]])</f>
        <v>Major source of funding (Grouped)</v>
      </c>
      <c r="C436">
        <v>100357</v>
      </c>
      <c r="D436" s="3" t="s">
        <v>86</v>
      </c>
      <c r="E436" s="3" t="s">
        <v>89</v>
      </c>
      <c r="F436" s="3" t="s">
        <v>1605</v>
      </c>
      <c r="G436" s="13" t="s">
        <v>1208</v>
      </c>
      <c r="H436" s="14" t="s">
        <v>1609</v>
      </c>
      <c r="J436" s="3">
        <v>1</v>
      </c>
      <c r="K436" s="3">
        <v>3</v>
      </c>
      <c r="L436" s="3">
        <v>0</v>
      </c>
      <c r="M436" s="3">
        <v>0</v>
      </c>
      <c r="Q436" s="16" t="s">
        <v>1610</v>
      </c>
      <c r="R436" s="14" t="s">
        <v>3000</v>
      </c>
      <c r="S436" s="16" t="s">
        <v>1611</v>
      </c>
      <c r="T436" s="14" t="s">
        <v>3000</v>
      </c>
      <c r="U436" s="3" t="s">
        <v>93</v>
      </c>
      <c r="V436" s="3" t="s">
        <v>93</v>
      </c>
      <c r="W436" s="57" t="s">
        <v>150</v>
      </c>
      <c r="X436" t="str">
        <f>DataItems3[[#This Row],[Collection]]&amp;DataItems3[[#This Row],[Field]]&amp;DataItems3[[#This Row],[Options for supplying the Field]]&amp;DataItems3[[#This Row],[Fieldname]]&amp;DataItems3[[#This Row],[Parent]]</f>
        <v>StudentMajor source of funding(Grouped)F_XMSFUND01</v>
      </c>
      <c r="Y436" s="15">
        <v>43438</v>
      </c>
      <c r="Z436" t="s">
        <v>102</v>
      </c>
      <c r="AA436" s="28" t="str">
        <f t="shared" si="66"/>
        <v>iif(s.F_XMSFUND01,'-3','99')</v>
      </c>
      <c r="AB436" s="28" t="str">
        <f t="shared" si="69"/>
        <v xml:space="preserve"> s.f_xmsfund01</v>
      </c>
      <c r="AC436" s="28"/>
      <c r="AD436" s="28"/>
      <c r="AE436" t="str">
        <f t="shared" si="61"/>
        <v>[Major source of funding]</v>
      </c>
    </row>
    <row r="437" spans="1:32" ht="16.5" customHeight="1" x14ac:dyDescent="0.2">
      <c r="A437">
        <v>100358</v>
      </c>
      <c r="B437" s="11" t="str">
        <f>DataItems3[[#This Row],[Field]]&amp;IF(DataItems3[[#This Row],[Options for supplying the Field]]="",""," "&amp;DataItems3[[#This Row],[Options for supplying the Field]])</f>
        <v>Major source of tuition fees (Full)</v>
      </c>
      <c r="C437">
        <v>100358</v>
      </c>
      <c r="D437" s="3" t="s">
        <v>86</v>
      </c>
      <c r="E437" s="3" t="s">
        <v>106</v>
      </c>
      <c r="F437" s="3" t="s">
        <v>1612</v>
      </c>
      <c r="G437" s="13" t="s">
        <v>277</v>
      </c>
      <c r="H437" s="14" t="s">
        <v>1613</v>
      </c>
      <c r="J437" s="3">
        <v>1</v>
      </c>
      <c r="K437" s="3">
        <v>3</v>
      </c>
      <c r="L437" s="3">
        <v>2</v>
      </c>
      <c r="M437" s="3">
        <v>0</v>
      </c>
      <c r="N437" s="3" t="s">
        <v>89</v>
      </c>
      <c r="Q437" s="16" t="s">
        <v>1614</v>
      </c>
      <c r="R437" s="16" t="s">
        <v>1614</v>
      </c>
      <c r="S437" s="16" t="s">
        <v>1615</v>
      </c>
      <c r="T437" s="16" t="s">
        <v>1615</v>
      </c>
      <c r="U437" s="3" t="s">
        <v>93</v>
      </c>
      <c r="V437" s="3" t="s">
        <v>93</v>
      </c>
      <c r="W437" s="57" t="s">
        <v>150</v>
      </c>
      <c r="X437" t="str">
        <f>DataItems3[[#This Row],[Collection]]&amp;DataItems3[[#This Row],[Field]]&amp;DataItems3[[#This Row],[Options for supplying the Field]]&amp;DataItems3[[#This Row],[Fieldname]]&amp;DataItems3[[#This Row],[Parent]]</f>
        <v>StudentMajor source of tuition fees(Full)F_MSTUFEE</v>
      </c>
      <c r="Y437" s="15">
        <v>43434</v>
      </c>
      <c r="Z437" t="s">
        <v>95</v>
      </c>
      <c r="AA437" s="28" t="str">
        <f t="shared" si="66"/>
        <v>ISNULL(IIF(s.F_MSTUFEE='', '99', s.F_MSTUFEE),'99')</v>
      </c>
      <c r="AB437" s="28" t="str">
        <f t="shared" si="69"/>
        <v xml:space="preserve"> s.F_MSTUFEE</v>
      </c>
      <c r="AC437" s="28" t="str">
        <f t="shared" ref="AC437:AC486" si="70">IF(R437="","",R437)</f>
        <v>ISNULL(IIF(s.F_MSTUFEE='', '99', s.F_MSTUFEE),'99')</v>
      </c>
      <c r="AD437" s="28" t="str">
        <f>IF(T437="","",IF(IFERROR(SEARCH("select",T437)&gt;0,0),IF(U437="",IF(MID(T437,SEARCH(H437,T437)-4,1)=" ",MID(T437,SEARCH(H437,T437)-2,LEN(O447)+2),MID(T437,SEARCH(H437,T437)-3,LEN(H437)+3)),U437&amp;"."&amp;H437),T437))</f>
        <v xml:space="preserve"> s.F_MSTUFEE</v>
      </c>
      <c r="AE437" t="str">
        <f t="shared" si="61"/>
        <v>[Major source of tuition fees]</v>
      </c>
    </row>
    <row r="438" spans="1:32" ht="16" x14ac:dyDescent="0.2">
      <c r="A438">
        <v>100359</v>
      </c>
      <c r="B438" s="11" t="str">
        <f>DataItems3[[#This Row],[Field]]&amp;IF(DataItems3[[#This Row],[Options for supplying the Field]]="",""," "&amp;DataItems3[[#This Row],[Options for supplying the Field]])</f>
        <v>Major source of tuition fees (grouped)</v>
      </c>
      <c r="C438">
        <v>100359</v>
      </c>
      <c r="D438" s="3" t="s">
        <v>86</v>
      </c>
      <c r="E438" s="3" t="s">
        <v>106</v>
      </c>
      <c r="F438" s="3" t="s">
        <v>1612</v>
      </c>
      <c r="G438" s="13" t="s">
        <v>1616</v>
      </c>
      <c r="H438" s="14" t="s">
        <v>1617</v>
      </c>
      <c r="J438" s="3">
        <v>1</v>
      </c>
      <c r="K438" s="3">
        <v>3</v>
      </c>
      <c r="L438" s="3">
        <v>0</v>
      </c>
      <c r="M438" s="3">
        <v>0</v>
      </c>
      <c r="N438" s="3" t="s">
        <v>106</v>
      </c>
      <c r="Q438" s="16" t="s">
        <v>1618</v>
      </c>
      <c r="R438" s="16" t="s">
        <v>1618</v>
      </c>
      <c r="S438" s="16" t="s">
        <v>1619</v>
      </c>
      <c r="T438" s="16" t="s">
        <v>1619</v>
      </c>
      <c r="U438" s="3" t="s">
        <v>93</v>
      </c>
      <c r="V438" s="3" t="s">
        <v>93</v>
      </c>
      <c r="W438" s="57" t="s">
        <v>150</v>
      </c>
      <c r="X438" t="str">
        <f>DataItems3[[#This Row],[Collection]]&amp;DataItems3[[#This Row],[Field]]&amp;DataItems3[[#This Row],[Options for supplying the Field]]&amp;DataItems3[[#This Row],[Fieldname]]&amp;DataItems3[[#This Row],[Parent]]</f>
        <v>StudentMajor source of tuition fees(grouped)F_XMSTUFEE01</v>
      </c>
      <c r="Y438" s="15">
        <v>43434</v>
      </c>
      <c r="Z438" t="s">
        <v>95</v>
      </c>
      <c r="AA438" s="28" t="str">
        <f t="shared" si="66"/>
        <v>s.F_XMSTUFEE01</v>
      </c>
      <c r="AB438" s="28" t="str">
        <f t="shared" si="69"/>
        <v xml:space="preserve"> s.f_xmstufee01</v>
      </c>
      <c r="AC438" s="28" t="str">
        <f t="shared" si="70"/>
        <v>s.F_XMSTUFEE01</v>
      </c>
      <c r="AD438" s="28" t="str">
        <f>IF(T438="","",IF(IFERROR(SEARCH("select",T438)&gt;0,0),IF(U438="",IF(MID(T438,SEARCH(H438,T438)-4,1)=" ",MID(T438,SEARCH(H438,T438)-2,LEN(O448)+2),MID(T438,SEARCH(H438,T438)-3,LEN(H438)+3)),U438&amp;"."&amp;H438),T438))</f>
        <v xml:space="preserve"> s.f_xmstufee01</v>
      </c>
      <c r="AE438" t="str">
        <f t="shared" si="61"/>
        <v>[Major source of tuition fees]</v>
      </c>
    </row>
    <row r="439" spans="1:32" ht="16" x14ac:dyDescent="0.2">
      <c r="A439">
        <v>100991</v>
      </c>
      <c r="B439" s="23" t="str">
        <f>DataItems3[[#This Row],[Field]]&amp;IF(DataItems3[[#This Row],[Options for supplying the Field]]="",""," "&amp;DataItems3[[#This Row],[Options for supplying the Field]])</f>
        <v>Mission Groups (DF)</v>
      </c>
      <c r="C439">
        <v>100991</v>
      </c>
      <c r="D439" s="3" t="s">
        <v>2992</v>
      </c>
      <c r="F439" s="3" t="s">
        <v>1620</v>
      </c>
      <c r="G439" s="13" t="s">
        <v>2994</v>
      </c>
      <c r="H439" s="14" t="s">
        <v>1622</v>
      </c>
      <c r="Q439" s="16" t="s">
        <v>3089</v>
      </c>
      <c r="R439" s="16"/>
      <c r="S439" s="16" t="s">
        <v>3089</v>
      </c>
      <c r="U439" s="3" t="s">
        <v>3090</v>
      </c>
      <c r="W439" s="57" t="s">
        <v>744</v>
      </c>
      <c r="X439" t="str">
        <f>DataItems3[[#This Row],[Collection]]&amp;DataItems3[[#This Row],[Field]]&amp;DataItems3[[#This Row],[Options for supplying the Field]]&amp;DataItems3[[#This Row],[Fieldname]]&amp;DataItems3[[#This Row],[Parent]]</f>
        <v>Data FuturesMission Groups(DF)MISSION_GROUP</v>
      </c>
      <c r="Y439" s="4">
        <v>45015</v>
      </c>
      <c r="Z439" t="s">
        <v>135</v>
      </c>
      <c r="AA439" s="28" t="str">
        <f t="shared" si="66"/>
        <v>CASE   WHEN prov.AdminCenterRussellGroup=1 THEN 'Russell Group' WHEN prov.AdminCenterUniversityAlliance=1 THEN 'University Alliance' WHEN prov.AdminCenterMillionPlusGroup=1 THEN 'Million Plus' WHEN prov.AdminCenterGuildHE=1 THEN 'Guild HE' ELSE 'Other' END</v>
      </c>
      <c r="AB439" s="28" t="str">
        <f>IF(S439="","",IF(IFERROR(SEARCH("select",S439)&gt;0,0),IF(U439="",IF(MID(S439,SEARCH(H439,S439)-4,1)=" ",MID(S439,SEARCH(H439,S439)-2,LEN(O448)+2),MID(S439,SEARCH(H439,S439)-3,LEN(H439)+3)),U439&amp;"."&amp;H439),S439))</f>
        <v>CASE   WHEN prov.AdminCenterRussellGroup=1 THEN 'Russell Group' WHEN prov.AdminCenterUniversityAlliance=1 THEN 'University Alliance' WHEN prov.AdminCenterMillionPlusGroup=1 THEN 'Million Plus' WHEN prov.AdminCenterGuildHE=1 THEN 'Guild HE' ELSE 'Other' END</v>
      </c>
      <c r="AC439" s="28" t="str">
        <f t="shared" si="70"/>
        <v/>
      </c>
      <c r="AD439" s="28" t="str">
        <f>IF(T439="","",IF(IFERROR(SEARCH("select",T439)&gt;0,0),IF(U439="",IF(MID(T439,SEARCH(H439,T439)-4,1)=" ",MID(T439,SEARCH(H439,T439)-2,LEN(O448)+2),MID(T439,SEARCH(H439,T439)-3,LEN(H439)+3)),U439&amp;"."&amp;H439),T439))</f>
        <v/>
      </c>
      <c r="AE439" t="str">
        <f t="shared" si="61"/>
        <v>[Mission Groups]</v>
      </c>
    </row>
    <row r="440" spans="1:32" ht="16" x14ac:dyDescent="0.2">
      <c r="A440">
        <v>100754</v>
      </c>
      <c r="B440" s="11" t="str">
        <f>DataItems3[[#This Row],[Field]]&amp;IF(DataItems3[[#This Row],[Options for supplying the Field]]="",""," "&amp;DataItems3[[#This Row],[Options for supplying the Field]])</f>
        <v>Mission Groups (including 1994 group)</v>
      </c>
      <c r="C440">
        <v>100754</v>
      </c>
      <c r="D440" s="3" t="s">
        <v>86</v>
      </c>
      <c r="F440" s="3" t="s">
        <v>1620</v>
      </c>
      <c r="G440" s="13" t="s">
        <v>1621</v>
      </c>
      <c r="H440" s="14" t="s">
        <v>1622</v>
      </c>
      <c r="I440" s="3" t="s">
        <v>1623</v>
      </c>
      <c r="J440" s="3">
        <v>3</v>
      </c>
      <c r="K440" s="3">
        <v>2</v>
      </c>
      <c r="L440" s="3">
        <v>0</v>
      </c>
      <c r="M440" s="3">
        <v>0</v>
      </c>
      <c r="Q440" s="16" t="s">
        <v>3091</v>
      </c>
      <c r="R440" s="16"/>
      <c r="S440" s="16" t="s">
        <v>3091</v>
      </c>
      <c r="W440" s="57" t="s">
        <v>2218</v>
      </c>
      <c r="X440" t="str">
        <f>DataItems3[[#This Row],[Collection]]&amp;DataItems3[[#This Row],[Field]]&amp;DataItems3[[#This Row],[Options for supplying the Field]]&amp;DataItems3[[#This Row],[Fieldname]]&amp;DataItems3[[#This Row],[Parent]]</f>
        <v>StudentMission Groups(including 1994 group)MISSION_GROUP</v>
      </c>
      <c r="Y440" s="4">
        <v>44217</v>
      </c>
      <c r="Z440" t="s">
        <v>135</v>
      </c>
      <c r="AA440" s="28" t="str">
        <f t="shared" si="66"/>
        <v>CASE WHEN s.F_XINSTID01 IN ('0110','0112','0114','0179','0116','0167','0119','0168','0132','0134','0124','0126','0137','0204','0154','0155','0156','0139','0184','0159','0160','0149','0163','0164') THEN 'Russell Group'  WHEN s.F_XINSTID01 IN ('0127','0117','0118','0131','0133','0123','0125','0152','0141','0146','0162') THEN '1994 Group'  WHEN s.F_XINSTID01 IN ('0081','0059','0057','0051','0079','0090','0104','0072','0067','0064','0063','0060','0056','0052','0047') THEN 'University Alliance'  WHEN s.F_XINSTID01 IN (/*'0095','0048',*/'0078','0210','0100','0040','0202','0012','0076','0106','0049','0107','0085','0038','0077','0105','0058','0053','0206','0026','0037','0196') THEN 'Million Plus' WHEN s.F_XINSTID01 IN (/*'0095','0048',*/'0357','0213','0197','0230','0232','0007','0009','0342','0017','0018','0352','0299','0401','0211','0351','0304','0217','0246','0221','0260','0028','0191','0190','0308','0402','0030','0278','0032','0195','0010','0265','0194','0434','0294','0200','0218','0046','0189','0013','1108','1189','0445','0337','1073','0209','0039','0444') THEN 'Guild HE'  ELSE 'Other' END</v>
      </c>
      <c r="AB440" s="28" t="str">
        <f>IF(S440="","",IF(IFERROR(SEARCH("select",S440)&gt;0,0),IF(U440="",IF(MID(S440,SEARCH(H440,S440)-4,1)=" ",MID(S440,SEARCH(H440,S440)-2,LEN(O452)+2),MID(S440,SEARCH(H440,S440)-3,LEN(H440)+3)),U440&amp;"."&amp;H440),S440))</f>
        <v>CASE WHEN s.F_XINSTID01 IN ('0110','0112','0114','0179','0116','0167','0119','0168','0132','0134','0124','0126','0137','0204','0154','0155','0156','0139','0184','0159','0160','0149','0163','0164') THEN 'Russell Group'  WHEN s.F_XINSTID01 IN ('0127','0117','0118','0131','0133','0123','0125','0152','0141','0146','0162') THEN '1994 Group'  WHEN s.F_XINSTID01 IN ('0081','0059','0057','0051','0079','0090','0104','0072','0067','0064','0063','0060','0056','0052','0047') THEN 'University Alliance'  WHEN s.F_XINSTID01 IN (/*'0095','0048',*/'0078','0210','0100','0040','0202','0012','0076','0106','0049','0107','0085','0038','0077','0105','0058','0053','0206','0026','0037','0196') THEN 'Million Plus' WHEN s.F_XINSTID01 IN (/*'0095','0048',*/'0357','0213','0197','0230','0232','0007','0009','0342','0017','0018','0352','0299','0401','0211','0351','0304','0217','0246','0221','0260','0028','0191','0190','0308','0402','0030','0278','0032','0195','0010','0265','0194','0434','0294','0200','0218','0046','0189','0013','1108','1189','0445','0337','1073','0209','0039','0444') THEN 'Guild HE'  ELSE 'Other' END</v>
      </c>
      <c r="AC440" s="28" t="str">
        <f t="shared" si="70"/>
        <v/>
      </c>
      <c r="AD440" s="28" t="str">
        <f>IF(T440="","",IF(IFERROR(SEARCH("select",T440)&gt;0,0),IF(U440="",IF(MID(T440,SEARCH(H440,T440)-4,1)=" ",MID(T440,SEARCH(H440,T440)-2,LEN(O450)+2),MID(T440,SEARCH(H440,T440)-3,LEN(H440)+3)),U440&amp;"."&amp;H440),T440))</f>
        <v/>
      </c>
      <c r="AE440" t="str">
        <f t="shared" si="61"/>
        <v>[Mission Groups]</v>
      </c>
    </row>
    <row r="441" spans="1:32" ht="16" x14ac:dyDescent="0.2">
      <c r="A441">
        <v>100360</v>
      </c>
      <c r="B441" s="11" t="str">
        <f>DataItems3[[#This Row],[Field]]&amp;IF(DataItems3[[#This Row],[Options for supplying the Field]]="",""," "&amp;DataItems3[[#This Row],[Options for supplying the Field]])</f>
        <v>Mission Groups</v>
      </c>
      <c r="C441">
        <v>100360</v>
      </c>
      <c r="D441" s="3" t="s">
        <v>86</v>
      </c>
      <c r="F441" s="3" t="s">
        <v>1620</v>
      </c>
      <c r="G441" s="13"/>
      <c r="H441" s="14" t="s">
        <v>1622</v>
      </c>
      <c r="I441" s="3" t="s">
        <v>1623</v>
      </c>
      <c r="J441" s="3">
        <v>3</v>
      </c>
      <c r="K441" s="3">
        <v>2</v>
      </c>
      <c r="L441" s="3">
        <v>0</v>
      </c>
      <c r="M441" s="3">
        <v>0</v>
      </c>
      <c r="N441" s="3" t="s">
        <v>1624</v>
      </c>
      <c r="Q441" s="24" t="s">
        <v>3092</v>
      </c>
      <c r="R441" s="3" t="s">
        <v>91</v>
      </c>
      <c r="S441" s="16" t="s">
        <v>3092</v>
      </c>
      <c r="T441" s="24"/>
      <c r="U441" s="3" t="s">
        <v>93</v>
      </c>
      <c r="V441" s="3" t="s">
        <v>93</v>
      </c>
      <c r="W441" s="57" t="s">
        <v>744</v>
      </c>
      <c r="X441" t="str">
        <f>DataItems3[[#This Row],[Collection]]&amp;DataItems3[[#This Row],[Field]]&amp;DataItems3[[#This Row],[Options for supplying the Field]]&amp;DataItems3[[#This Row],[Fieldname]]&amp;DataItems3[[#This Row],[Parent]]</f>
        <v>StudentMission GroupsMISSION_GROUP</v>
      </c>
      <c r="Y441" s="15">
        <v>43234</v>
      </c>
      <c r="Z441" t="s">
        <v>102</v>
      </c>
      <c r="AA441" s="28" t="str">
        <f t="shared" si="66"/>
        <v>CASE WHEN s.F_XINSTID01 IN ('0110','0112','0114','0179','0116','0167','0119','0168','0132','0134','0124','0126','0137','0204','0154','0155','0156','0139','0184','0159','0160','0149','0163','0164') THEN 'Russell Group' 	 WHEN s.F_XINSTID01 IN ('0081','0059','0057','0051','0079','0090','0104','0072','0067','0064','0063','0060','0056','0052','0047') THEN 'University Alliance'  WHEN s.F_XINSTID01 IN (/*'0095', '0048'*/'0078','0210','0100','0040','0202','0012','0076','0106','0049','0107','0085','0038','0077','0105','0058','0053','0206','0026','0037','0196') THEN 'Million Plus' 	 WHEN s.F_XINSTID01 IN (/*'0095','0048',*/'0357','0213','0197','0230','0232','0007','0009','0342','0017','0018','0352','0299','0401','0211','0351','0304','0217','0246','0221','0260','0028','0191','0190','0308','0402','0030','0278','0032','0195','0010','0265','0194','0434','0294','0200','0218','0046','0189','0013','1108','1189','0445','0337','1073','0209','0039','0444')	THEN 'Guild HE'  ELSE 'Other'   END</v>
      </c>
      <c r="AB441" s="28" t="str">
        <f>IF(S441="","",IF(IFERROR(SEARCH("select",S441)&gt;0,0),IF(U441="",IF(MID(S441,SEARCH(H441,S441)-4,1)=" ",MID(S441,SEARCH(H441,S441)-2,LEN(O452)+2),MID(S441,SEARCH(H441,S441)-3,LEN(H441)+3)),U441&amp;"."&amp;H441),S441))</f>
        <v>CASE WHEN s.F_XINSTID01 IN ('0110','0112','0114','0179','0116','0167','0119','0168','0132','0134','0124','0126','0137','0204','0154','0155','0156','0139','0184','0159','0160','0149','0163','0164') THEN 'Russell Group' 	 WHEN s.F_XINSTID01 IN ('0081','0059','0057','0051','0079','0090','0104','0072','0067','0064','0063','0060','0056','0052','0047') THEN 'University Alliance'  WHEN s.F_XINSTID01 IN (/*'0095', '0048'*/'0078','0210','0100','0040','0202','0012','0076','0106','0049','0107','0085','0038','0077','0105','0058','0053','0206','0026','0037','0196') THEN 'Million Plus' 	 WHEN s.F_XINSTID01 IN (/*'0095','0048',*/'0357','0213','0197','0230','0232','0007','0009','0342','0017','0018','0352','0299','0401','0211','0351','0304','0217','0246','0221','0260','0028','0191','0190','0308','0402','0030','0278','0032','0195','0010','0265','0194','0434','0294','0200','0218','0046','0189','0013','1108','1189','0445','0337','1073','0209','0039','0444')	THEN 'Guild HE'  ELSE 'Other'   END</v>
      </c>
      <c r="AC441" s="28" t="str">
        <f t="shared" si="70"/>
        <v xml:space="preserve"> </v>
      </c>
      <c r="AD441" s="28" t="str">
        <f t="shared" ref="AD441:AD477" si="71">IF(T441="","",IF(IFERROR(SEARCH("select",T441)&gt;0,0),IF(U441="",IF(MID(T441,SEARCH(H441,T441)-4,1)=" ",MID(T441,SEARCH(H441,T441)-2,LEN(O450)+2),MID(T441,SEARCH(H441,T441)-3,LEN(H441)+3)),U441&amp;"."&amp;H441),T441))</f>
        <v/>
      </c>
      <c r="AE441" t="str">
        <f t="shared" si="61"/>
        <v>[Mission Groups]</v>
      </c>
      <c r="AF441">
        <v>100991</v>
      </c>
    </row>
    <row r="442" spans="1:32" ht="32" x14ac:dyDescent="0.2">
      <c r="A442">
        <v>100814</v>
      </c>
      <c r="B442" s="11" t="str">
        <f>DataItems3[[#This Row],[Field]]&amp;IF(DataItems3[[#This Row],[Options for supplying the Field]]="",""," "&amp;DataItems3[[#This Row],[Options for supplying the Field]])</f>
        <v>Mission Groups marker (Russell group/Other pre-92/Post-92)</v>
      </c>
      <c r="C442">
        <v>100814</v>
      </c>
      <c r="D442" s="3" t="s">
        <v>100</v>
      </c>
      <c r="F442" s="3" t="s">
        <v>1625</v>
      </c>
      <c r="G442" s="13" t="s">
        <v>1626</v>
      </c>
      <c r="H442" s="14" t="s">
        <v>1627</v>
      </c>
      <c r="J442" s="3">
        <v>3</v>
      </c>
      <c r="K442" s="3">
        <v>1</v>
      </c>
      <c r="L442" s="3">
        <v>0</v>
      </c>
      <c r="M442" s="3">
        <v>0</v>
      </c>
      <c r="Q442" s="24" t="s">
        <v>3093</v>
      </c>
      <c r="R442" s="16"/>
      <c r="S442" s="16" t="s">
        <v>3093</v>
      </c>
      <c r="T442" s="24"/>
      <c r="W442" s="57" t="s">
        <v>981</v>
      </c>
      <c r="X442" t="str">
        <f>DataItems3[[#This Row],[Collection]]&amp;DataItems3[[#This Row],[Field]]&amp;DataItems3[[#This Row],[Options for supplying the Field]]&amp;DataItems3[[#This Row],[Fieldname]]&amp;DataItems3[[#This Row],[Parent]]</f>
        <v>StaffMission Groups marker(Russell group/Other pre-92/Post-92)MISSION_GRP_MKR</v>
      </c>
      <c r="Y442" s="4">
        <v>44364</v>
      </c>
      <c r="Z442" t="s">
        <v>135</v>
      </c>
      <c r="AA442" s="28" t="str">
        <f t="shared" si="66"/>
        <v>CASE WHEN c.F_INSTID IN ('0110','0112','0114','0179','0116','0167','0119','0168','0132','0134','0124','0126','0137','0204','0154','0155','0156','0139','0184','0159','0160','0149','0163','0164') THEN 'Russell Group'  WHEN f_c.F_INSTID IN ('0170','0177','0108','0178','0109','0184','0127','0110','0111','0112','0113','0203','0114','0188','0179','0115','0172','0116','0117','0167','0118','0119','0168','0131','0171','0120','0132','0133','0121','0122','0134','0123','0124','0125','0126','0135','0151','0137','0138','0152','0204','0154','0155','0001','0156','0139','0157','0141','0143','0173','0145','0158','0146','0147','0159','0160','0174','0169','0210','0161','0162','0180','0176','0185','0149','0186','0163','0164','0335','0333','0419') THEN 'Pre-92' WHEN f_c.F_INSTID IN ('0095','0047','0048','0026','0052','0007','0049','0050','0051','0009','0012','0089','0053','0010','0011','0082','0056','0002','0038','0068','0057','0058','0016','0107','0017','0106','0054','0059','0018','0060','0061','0063','0211','0064','0040','0062','0023','0065','0228','0024','0202','0076','0066','0067','0028','0086','0027','0069','0071','0072','0073','0074','0100','0030','0104','0031','0032','0033','0034','0035','0194','0039','0075','0037','0077','0014','0193','0078','0079','0196','0090','0081','0105','0080','0083','0021','0085','0046','0013','0334','0336','0262','0330','0353','0423','0425','0431','0432','0278','0434') THEN 'Post-92' WHEN f_c.F_INSTID IN ('0198','0200','0197','0199','0201','0206','0192','0015','0096','0229','0097','0087','0208','0205','0019','0020','0207','0209','0190','0230','0195','0003','0006','0101','0182','0175','0044','0091','0041','0092','0084','0337','0189','0351','0352','0213','0401','0402','0217','0218','0220','0221','0232','0240','0246','0256','0258','0260','0265','0281','0282','0284','0293','0294','0304','0306','0314','0357','0420','0422','0424','0427','0429','0430','0437','0236','0238','0295','0309','0354','0405','0409','0426','0435','0320') THEN 'Specialist' 
ELSE 'ERROR' END</v>
      </c>
      <c r="AB442" s="28" t="str">
        <f t="shared" ref="AB442:AB465" si="72">IF(S442="","",IF(IFERROR(SEARCH("select",S442)&gt;0,0),IF(U442="",IF(MID(S442,SEARCH(H442,S442)-4,1)=" ",MID(S442,SEARCH(H442,S442)-2,LEN(O451)+2),MID(S442,SEARCH(H442,S442)-3,LEN(H442)+3)),U442&amp;"."&amp;H442),S442))</f>
        <v>CASE WHEN c.F_INSTID IN ('0110','0112','0114','0179','0116','0167','0119','0168','0132','0134','0124','0126','0137','0204','0154','0155','0156','0139','0184','0159','0160','0149','0163','0164') THEN 'Russell Group'  WHEN f_c.F_INSTID IN ('0170','0177','0108','0178','0109','0184','0127','0110','0111','0112','0113','0203','0114','0188','0179','0115','0172','0116','0117','0167','0118','0119','0168','0131','0171','0120','0132','0133','0121','0122','0134','0123','0124','0125','0126','0135','0151','0137','0138','0152','0204','0154','0155','0001','0156','0139','0157','0141','0143','0173','0145','0158','0146','0147','0159','0160','0174','0169','0210','0161','0162','0180','0176','0185','0149','0186','0163','0164','0335','0333','0419') THEN 'Pre-92' WHEN f_c.F_INSTID IN ('0095','0047','0048','0026','0052','0007','0049','0050','0051','0009','0012','0089','0053','0010','0011','0082','0056','0002','0038','0068','0057','0058','0016','0107','0017','0106','0054','0059','0018','0060','0061','0063','0211','0064','0040','0062','0023','0065','0228','0024','0202','0076','0066','0067','0028','0086','0027','0069','0071','0072','0073','0074','0100','0030','0104','0031','0032','0033','0034','0035','0194','0039','0075','0037','0077','0014','0193','0078','0079','0196','0090','0081','0105','0080','0083','0021','0085','0046','0013','0334','0336','0262','0330','0353','0423','0425','0431','0432','0278','0434') THEN 'Post-92' WHEN f_c.F_INSTID IN ('0198','0200','0197','0199','0201','0206','0192','0015','0096','0229','0097','0087','0208','0205','0019','0020','0207','0209','0190','0230','0195','0003','0006','0101','0182','0175','0044','0091','0041','0092','0084','0337','0189','0351','0352','0213','0401','0402','0217','0218','0220','0221','0232','0240','0246','0256','0258','0260','0265','0281','0282','0284','0293','0294','0304','0306','0314','0357','0420','0422','0424','0427','0429','0430','0437','0236','0238','0295','0309','0354','0405','0409','0426','0435','0320') THEN 'Specialist' 
ELSE 'ERROR' END</v>
      </c>
      <c r="AC442" s="28" t="str">
        <f t="shared" si="70"/>
        <v/>
      </c>
      <c r="AD442" s="28" t="str">
        <f t="shared" si="71"/>
        <v/>
      </c>
      <c r="AE442" t="str">
        <f t="shared" si="61"/>
        <v>[Mission Groups marker]</v>
      </c>
    </row>
    <row r="443" spans="1:32" ht="16" x14ac:dyDescent="0.2">
      <c r="A443">
        <v>100802</v>
      </c>
      <c r="B443" s="11" t="s">
        <v>1628</v>
      </c>
      <c r="C443">
        <v>100802</v>
      </c>
      <c r="D443" s="3" t="s">
        <v>86</v>
      </c>
      <c r="F443" s="3" t="s">
        <v>1628</v>
      </c>
      <c r="G443" s="13"/>
      <c r="H443" s="14" t="s">
        <v>1629</v>
      </c>
      <c r="J443" s="3">
        <v>0</v>
      </c>
      <c r="K443" s="3">
        <v>0</v>
      </c>
      <c r="L443" s="3">
        <v>0</v>
      </c>
      <c r="M443" s="3">
        <v>0</v>
      </c>
      <c r="Q443" s="16" t="s">
        <v>1630</v>
      </c>
      <c r="R443" s="16"/>
      <c r="S443" s="16" t="s">
        <v>1630</v>
      </c>
      <c r="T443" s="16"/>
      <c r="U443" s="3" t="s">
        <v>1631</v>
      </c>
      <c r="W443" s="57" t="s">
        <v>3016</v>
      </c>
      <c r="X443" t="str">
        <f>DataItems3[[#This Row],[Collection]]&amp;DataItems3[[#This Row],[Field]]&amp;DataItems3[[#This Row],[Options for supplying the Field]]&amp;DataItems3[[#This Row],[Fieldname]]&amp;DataItems3[[#This Row],[Parent]]</f>
        <v>StudentMobility countMobilityCount</v>
      </c>
      <c r="Y443" s="4">
        <v>44329</v>
      </c>
      <c r="Z443" t="s">
        <v>135</v>
      </c>
      <c r="AA443" s="28" t="str">
        <f t="shared" si="66"/>
        <v>ISNULL(m.DW_MobilityCount,0)</v>
      </c>
      <c r="AB443" s="28" t="str">
        <f t="shared" si="72"/>
        <v>ISNULL(m.DW_MobilityCount,0)</v>
      </c>
      <c r="AC443" s="28" t="str">
        <f t="shared" si="70"/>
        <v/>
      </c>
      <c r="AD443" s="28" t="str">
        <f t="shared" si="71"/>
        <v/>
      </c>
      <c r="AE443" t="str">
        <f t="shared" si="61"/>
        <v>[Mobility count]</v>
      </c>
    </row>
    <row r="444" spans="1:32" ht="16" x14ac:dyDescent="0.2">
      <c r="A444">
        <v>100361</v>
      </c>
      <c r="B444" s="11" t="str">
        <f>DataItems3[[#This Row],[Field]]&amp;IF(DataItems3[[#This Row],[Options for supplying the Field]]="",""," "&amp;DataItems3[[#This Row],[Options for supplying the Field]])</f>
        <v>Mobility duration</v>
      </c>
      <c r="C444">
        <v>100361</v>
      </c>
      <c r="D444" s="3" t="s">
        <v>86</v>
      </c>
      <c r="F444" s="3" t="s">
        <v>1632</v>
      </c>
      <c r="G444" s="13"/>
      <c r="H444" s="14" t="s">
        <v>1633</v>
      </c>
      <c r="J444" s="3">
        <v>1</v>
      </c>
      <c r="K444" s="3">
        <v>2</v>
      </c>
      <c r="L444" s="3">
        <v>0</v>
      </c>
      <c r="M444" s="3">
        <v>0</v>
      </c>
      <c r="N444" s="3" t="s">
        <v>89</v>
      </c>
      <c r="Q444" s="16" t="s">
        <v>1634</v>
      </c>
      <c r="R444" s="3" t="s">
        <v>91</v>
      </c>
      <c r="S444" s="16" t="s">
        <v>1634</v>
      </c>
      <c r="U444" s="3" t="s">
        <v>1631</v>
      </c>
      <c r="V444" s="3">
        <v>1</v>
      </c>
      <c r="W444" s="57" t="s">
        <v>150</v>
      </c>
      <c r="X444" t="str">
        <f>DataItems3[[#This Row],[Collection]]&amp;DataItems3[[#This Row],[Field]]&amp;DataItems3[[#This Row],[Options for supplying the Field]]&amp;DataItems3[[#This Row],[Fieldname]]&amp;DataItems3[[#This Row],[Parent]]</f>
        <v>StudentMobility durationF_MOBDURA</v>
      </c>
      <c r="Y444" s="15">
        <v>43434</v>
      </c>
      <c r="Z444" t="s">
        <v>95</v>
      </c>
      <c r="AA444" s="28" t="str">
        <f t="shared" si="66"/>
        <v>m.f_mobdura</v>
      </c>
      <c r="AB444" s="28" t="str">
        <f t="shared" si="72"/>
        <v>m.f_mobdura</v>
      </c>
      <c r="AC444" s="28" t="str">
        <f t="shared" si="70"/>
        <v xml:space="preserve"> </v>
      </c>
      <c r="AD444" s="28" t="str">
        <f t="shared" si="71"/>
        <v/>
      </c>
      <c r="AE444" t="str">
        <f t="shared" si="61"/>
        <v>[Mobility duration]</v>
      </c>
    </row>
    <row r="445" spans="1:32" ht="16" x14ac:dyDescent="0.2">
      <c r="A445">
        <v>100362</v>
      </c>
      <c r="B445" s="11" t="str">
        <f>DataItems3[[#This Row],[Field]]&amp;IF(DataItems3[[#This Row],[Options for supplying the Field]]="",""," "&amp;DataItems3[[#This Row],[Options for supplying the Field]])</f>
        <v>Mobility identifier (Mobility key)</v>
      </c>
      <c r="C445">
        <v>100362</v>
      </c>
      <c r="D445" s="3" t="s">
        <v>86</v>
      </c>
      <c r="F445" s="3" t="s">
        <v>1635</v>
      </c>
      <c r="G445" s="13" t="s">
        <v>1636</v>
      </c>
      <c r="H445" s="14" t="s">
        <v>1637</v>
      </c>
      <c r="J445" s="3">
        <v>1</v>
      </c>
      <c r="K445" s="3">
        <v>1</v>
      </c>
      <c r="L445" s="3">
        <v>2</v>
      </c>
      <c r="M445" s="3">
        <v>0</v>
      </c>
      <c r="N445" s="3" t="s">
        <v>89</v>
      </c>
      <c r="Q445" s="16" t="s">
        <v>1638</v>
      </c>
      <c r="R445" s="3" t="s">
        <v>91</v>
      </c>
      <c r="S445" s="16" t="s">
        <v>1638</v>
      </c>
      <c r="U445" s="3" t="s">
        <v>1631</v>
      </c>
      <c r="W445" s="57" t="s">
        <v>114</v>
      </c>
      <c r="X445" t="str">
        <f>DataItems3[[#This Row],[Collection]]&amp;DataItems3[[#This Row],[Field]]&amp;DataItems3[[#This Row],[Options for supplying the Field]]&amp;DataItems3[[#This Row],[Fieldname]]&amp;DataItems3[[#This Row],[Parent]]</f>
        <v>StudentMobility identifier(Mobility key)F_MOBKEY</v>
      </c>
      <c r="Y445" s="15">
        <v>43434</v>
      </c>
      <c r="Z445" t="s">
        <v>95</v>
      </c>
      <c r="AA445" s="28" t="str">
        <f t="shared" si="66"/>
        <v>m.SK_C051_Mobility</v>
      </c>
      <c r="AB445" s="28" t="str">
        <f t="shared" si="72"/>
        <v>m.SK_C051_Mobility</v>
      </c>
      <c r="AC445" s="28" t="str">
        <f t="shared" si="70"/>
        <v xml:space="preserve"> </v>
      </c>
      <c r="AD445" s="28" t="str">
        <f t="shared" si="71"/>
        <v/>
      </c>
      <c r="AE445" t="str">
        <f t="shared" si="61"/>
        <v>[Mobility identifier]</v>
      </c>
    </row>
    <row r="446" spans="1:32" ht="16" x14ac:dyDescent="0.2">
      <c r="A446">
        <v>100363</v>
      </c>
      <c r="B446" s="11" t="str">
        <f>DataItems3[[#This Row],[Field]]&amp;IF(DataItems3[[#This Row],[Options for supplying the Field]]="",""," "&amp;DataItems3[[#This Row],[Options for supplying the Field]])</f>
        <v>Mobility location</v>
      </c>
      <c r="C446">
        <v>100363</v>
      </c>
      <c r="D446" s="3" t="s">
        <v>86</v>
      </c>
      <c r="F446" s="3" t="s">
        <v>1639</v>
      </c>
      <c r="G446" s="13"/>
      <c r="H446" s="14" t="s">
        <v>1640</v>
      </c>
      <c r="J446" s="3">
        <v>1</v>
      </c>
      <c r="K446" s="3">
        <v>3</v>
      </c>
      <c r="L446" s="3">
        <v>0</v>
      </c>
      <c r="M446" s="3">
        <v>0</v>
      </c>
      <c r="N446" s="3" t="s">
        <v>89</v>
      </c>
      <c r="Q446" s="16" t="s">
        <v>1641</v>
      </c>
      <c r="R446" s="3" t="s">
        <v>91</v>
      </c>
      <c r="S446" s="16" t="s">
        <v>1642</v>
      </c>
      <c r="U446" s="3" t="s">
        <v>1631</v>
      </c>
      <c r="V446" s="3" t="s">
        <v>93</v>
      </c>
      <c r="W446" s="57" t="s">
        <v>150</v>
      </c>
      <c r="X446" t="str">
        <f>DataItems3[[#This Row],[Collection]]&amp;DataItems3[[#This Row],[Field]]&amp;DataItems3[[#This Row],[Options for supplying the Field]]&amp;DataItems3[[#This Row],[Fieldname]]&amp;DataItems3[[#This Row],[Parent]]</f>
        <v>StudentMobility locationF_MOBLOCA</v>
      </c>
      <c r="Y446" s="15">
        <v>43434</v>
      </c>
      <c r="Z446" t="s">
        <v>95</v>
      </c>
      <c r="AA446" s="28" t="str">
        <f t="shared" si="66"/>
        <v>m.F_MOBLOCA</v>
      </c>
      <c r="AB446" s="28" t="str">
        <f t="shared" si="72"/>
        <v>m.F_MOBLOCA</v>
      </c>
      <c r="AC446" s="28" t="str">
        <f t="shared" si="70"/>
        <v xml:space="preserve"> </v>
      </c>
      <c r="AD446" s="28" t="str">
        <f t="shared" si="71"/>
        <v/>
      </c>
      <c r="AE446" t="str">
        <f t="shared" ref="AE446:AE509" si="73">IF(F446="","","["&amp;SUBSTITUTE(SUBSTITUTE(SUBSTITUTE(F446,"[","{"),"]","}"),"⁽"&amp;CHAR(185)&amp;"⁾","")&amp;"]")</f>
        <v>[Mobility location]</v>
      </c>
    </row>
    <row r="447" spans="1:32" ht="16" x14ac:dyDescent="0.2">
      <c r="A447">
        <v>100364</v>
      </c>
      <c r="B447" s="11" t="str">
        <f>DataItems3[[#This Row],[Field]]&amp;IF(DataItems3[[#This Row],[Options for supplying the Field]]="",""," "&amp;DataItems3[[#This Row],[Options for supplying the Field]])</f>
        <v>Mobility scheme</v>
      </c>
      <c r="C447">
        <v>100364</v>
      </c>
      <c r="D447" s="3" t="s">
        <v>86</v>
      </c>
      <c r="F447" s="3" t="s">
        <v>1643</v>
      </c>
      <c r="G447" s="13"/>
      <c r="H447" s="14" t="s">
        <v>1644</v>
      </c>
      <c r="J447" s="3">
        <v>1</v>
      </c>
      <c r="K447" s="3">
        <v>2</v>
      </c>
      <c r="L447" s="3">
        <v>0</v>
      </c>
      <c r="M447" s="3">
        <v>0</v>
      </c>
      <c r="N447" s="3" t="s">
        <v>89</v>
      </c>
      <c r="Q447" s="16" t="s">
        <v>1645</v>
      </c>
      <c r="R447" s="3" t="s">
        <v>91</v>
      </c>
      <c r="S447" s="16" t="s">
        <v>1645</v>
      </c>
      <c r="U447" s="3" t="s">
        <v>1631</v>
      </c>
      <c r="V447" s="3" t="s">
        <v>93</v>
      </c>
      <c r="W447" s="57" t="s">
        <v>150</v>
      </c>
      <c r="X447" t="str">
        <f>DataItems3[[#This Row],[Collection]]&amp;DataItems3[[#This Row],[Field]]&amp;DataItems3[[#This Row],[Options for supplying the Field]]&amp;DataItems3[[#This Row],[Fieldname]]&amp;DataItems3[[#This Row],[Parent]]</f>
        <v>StudentMobility schemeF_MOBSCHEME</v>
      </c>
      <c r="Y447" s="15">
        <v>43434</v>
      </c>
      <c r="Z447" t="s">
        <v>95</v>
      </c>
      <c r="AA447" s="28" t="str">
        <f t="shared" si="66"/>
        <v>m.F_MOBSCHEME</v>
      </c>
      <c r="AB447" s="28" t="str">
        <f t="shared" si="72"/>
        <v>m.F_MOBSCHEME</v>
      </c>
      <c r="AC447" s="28" t="str">
        <f t="shared" si="70"/>
        <v xml:space="preserve"> </v>
      </c>
      <c r="AD447" s="28" t="str">
        <f t="shared" si="71"/>
        <v/>
      </c>
      <c r="AE447" t="str">
        <f t="shared" si="73"/>
        <v>[Mobility scheme]</v>
      </c>
    </row>
    <row r="448" spans="1:32" ht="16" x14ac:dyDescent="0.2">
      <c r="A448">
        <v>100365</v>
      </c>
      <c r="B448" s="11" t="str">
        <f>DataItems3[[#This Row],[Field]]&amp;IF(DataItems3[[#This Row],[Options for supplying the Field]]="",""," "&amp;DataItems3[[#This Row],[Options for supplying the Field]])</f>
        <v>Mobility type 1</v>
      </c>
      <c r="C448">
        <v>100365</v>
      </c>
      <c r="D448" s="3" t="s">
        <v>86</v>
      </c>
      <c r="F448" s="3" t="s">
        <v>1646</v>
      </c>
      <c r="G448" s="13"/>
      <c r="H448" s="14" t="s">
        <v>1647</v>
      </c>
      <c r="J448" s="3">
        <v>2</v>
      </c>
      <c r="K448" s="3">
        <v>2</v>
      </c>
      <c r="L448" s="3">
        <v>0</v>
      </c>
      <c r="M448" s="3">
        <v>0</v>
      </c>
      <c r="N448" s="3" t="s">
        <v>89</v>
      </c>
      <c r="Q448" s="16" t="s">
        <v>1648</v>
      </c>
      <c r="S448" s="16" t="s">
        <v>1649</v>
      </c>
      <c r="U448" s="3" t="s">
        <v>1631</v>
      </c>
      <c r="V448" s="3" t="s">
        <v>93</v>
      </c>
      <c r="W448" s="57" t="s">
        <v>150</v>
      </c>
      <c r="X448" t="str">
        <f>DataItems3[[#This Row],[Collection]]&amp;DataItems3[[#This Row],[Field]]&amp;DataItems3[[#This Row],[Options for supplying the Field]]&amp;DataItems3[[#This Row],[Fieldname]]&amp;DataItems3[[#This Row],[Parent]]</f>
        <v>StudentMobility type 1F_MOBTYPE1</v>
      </c>
      <c r="Y448" s="15">
        <v>43434</v>
      </c>
      <c r="Z448" t="s">
        <v>95</v>
      </c>
      <c r="AA448" s="28" t="str">
        <f t="shared" si="66"/>
        <v xml:space="preserve">m.F_MOBTYPE1 </v>
      </c>
      <c r="AB448" s="28" t="str">
        <f t="shared" si="72"/>
        <v>m.F_MOBTYPE1</v>
      </c>
      <c r="AC448" s="28" t="str">
        <f t="shared" si="70"/>
        <v/>
      </c>
      <c r="AD448" s="28" t="str">
        <f t="shared" si="71"/>
        <v/>
      </c>
      <c r="AE448" t="str">
        <f t="shared" si="73"/>
        <v>[Mobility type 1]</v>
      </c>
    </row>
    <row r="449" spans="1:32" ht="16" x14ac:dyDescent="0.2">
      <c r="A449">
        <v>100684</v>
      </c>
      <c r="B449" s="11" t="str">
        <f>DataItems3[[#This Row],[Field]]&amp;IF(DataItems3[[#This Row],[Options for supplying the Field]]="",""," "&amp;DataItems3[[#This Row],[Options for supplying the Field]])</f>
        <v>Mobility type 2</v>
      </c>
      <c r="C449">
        <v>100684</v>
      </c>
      <c r="D449" s="3" t="s">
        <v>86</v>
      </c>
      <c r="F449" s="3" t="s">
        <v>1650</v>
      </c>
      <c r="G449" s="13"/>
      <c r="H449" s="14" t="s">
        <v>1651</v>
      </c>
      <c r="J449" s="3">
        <v>2</v>
      </c>
      <c r="K449" s="3">
        <v>0</v>
      </c>
      <c r="L449" s="3">
        <v>0</v>
      </c>
      <c r="M449" s="3">
        <v>0</v>
      </c>
      <c r="Q449" s="16" t="s">
        <v>1652</v>
      </c>
      <c r="S449" s="16" t="s">
        <v>1653</v>
      </c>
      <c r="U449" s="3" t="s">
        <v>1631</v>
      </c>
      <c r="W449" s="57" t="s">
        <v>114</v>
      </c>
      <c r="X449" t="str">
        <f>DataItems3[[#This Row],[Collection]]&amp;DataItems3[[#This Row],[Field]]&amp;DataItems3[[#This Row],[Options for supplying the Field]]&amp;DataItems3[[#This Row],[Fieldname]]&amp;DataItems3[[#This Row],[Parent]]</f>
        <v>StudentMobility type 2F_MOBTYPE2</v>
      </c>
      <c r="Y449" s="4">
        <v>44161</v>
      </c>
      <c r="Z449" t="s">
        <v>99</v>
      </c>
      <c r="AA449" s="28" t="str">
        <f t="shared" si="66"/>
        <v>isnull(cast(m.F_MOBTYPE2 as varchar),'Unknown')</v>
      </c>
      <c r="AB449" s="28" t="str">
        <f t="shared" si="72"/>
        <v>m.F_MOBTYPE2</v>
      </c>
      <c r="AC449" s="28" t="str">
        <f t="shared" si="70"/>
        <v/>
      </c>
      <c r="AD449" s="28" t="str">
        <f t="shared" si="71"/>
        <v/>
      </c>
      <c r="AE449" t="str">
        <f t="shared" si="73"/>
        <v>[Mobility type 2]</v>
      </c>
    </row>
    <row r="450" spans="1:32" ht="16" x14ac:dyDescent="0.2">
      <c r="A450">
        <v>100685</v>
      </c>
      <c r="B450" s="11" t="str">
        <f>DataItems3[[#This Row],[Field]]&amp;IF(DataItems3[[#This Row],[Options for supplying the Field]]="",""," "&amp;DataItems3[[#This Row],[Options for supplying the Field]])</f>
        <v>Mobility type 3</v>
      </c>
      <c r="C450">
        <v>100685</v>
      </c>
      <c r="D450" s="3" t="s">
        <v>86</v>
      </c>
      <c r="F450" s="3" t="s">
        <v>1654</v>
      </c>
      <c r="G450" s="13"/>
      <c r="H450" s="14" t="s">
        <v>1655</v>
      </c>
      <c r="J450" s="3">
        <v>2</v>
      </c>
      <c r="K450" s="3">
        <v>0</v>
      </c>
      <c r="L450" s="3">
        <v>0</v>
      </c>
      <c r="M450" s="3">
        <v>0</v>
      </c>
      <c r="Q450" s="16" t="s">
        <v>1656</v>
      </c>
      <c r="S450" s="16" t="s">
        <v>1657</v>
      </c>
      <c r="U450" s="3" t="s">
        <v>1631</v>
      </c>
      <c r="W450" s="57" t="s">
        <v>114</v>
      </c>
      <c r="X450" t="str">
        <f>DataItems3[[#This Row],[Collection]]&amp;DataItems3[[#This Row],[Field]]&amp;DataItems3[[#This Row],[Options for supplying the Field]]&amp;DataItems3[[#This Row],[Fieldname]]&amp;DataItems3[[#This Row],[Parent]]</f>
        <v>StudentMobility type 3F_MOBTYPE3</v>
      </c>
      <c r="Y450" s="4">
        <v>44161</v>
      </c>
      <c r="Z450" t="s">
        <v>99</v>
      </c>
      <c r="AA450" s="28" t="str">
        <f t="shared" si="66"/>
        <v>isnull(cast(m.F_MOBTYPE3 as varchar),'Unknown')</v>
      </c>
      <c r="AB450" s="28" t="str">
        <f t="shared" si="72"/>
        <v>m.F_MOBTYPE3</v>
      </c>
      <c r="AC450" s="28" t="str">
        <f t="shared" si="70"/>
        <v/>
      </c>
      <c r="AD450" s="28" t="str">
        <f t="shared" si="71"/>
        <v/>
      </c>
      <c r="AE450" t="str">
        <f t="shared" si="73"/>
        <v>[Mobility type 3]</v>
      </c>
    </row>
    <row r="451" spans="1:32" ht="16" x14ac:dyDescent="0.2">
      <c r="A451">
        <v>100366</v>
      </c>
      <c r="B451" s="11" t="str">
        <f>DataItems3[[#This Row],[Field]]&amp;IF(DataItems3[[#This Row],[Options for supplying the Field]]="",""," "&amp;DataItems3[[#This Row],[Options for supplying the Field]])</f>
        <v>Mode of employment (Full)</v>
      </c>
      <c r="C451">
        <v>100366</v>
      </c>
      <c r="D451" s="3" t="s">
        <v>100</v>
      </c>
      <c r="F451" s="3" t="s">
        <v>1658</v>
      </c>
      <c r="G451" s="13" t="s">
        <v>277</v>
      </c>
      <c r="H451" s="13" t="s">
        <v>1659</v>
      </c>
      <c r="J451" s="3">
        <v>1</v>
      </c>
      <c r="K451" s="3">
        <v>2</v>
      </c>
      <c r="L451" s="3">
        <v>1</v>
      </c>
      <c r="M451" s="3">
        <v>0</v>
      </c>
      <c r="N451" s="3" t="s">
        <v>89</v>
      </c>
      <c r="Q451" s="16" t="s">
        <v>1660</v>
      </c>
      <c r="R451" s="3" t="s">
        <v>93</v>
      </c>
      <c r="S451" s="16" t="s">
        <v>1661</v>
      </c>
      <c r="U451" s="3" t="s">
        <v>93</v>
      </c>
      <c r="V451" s="3" t="s">
        <v>93</v>
      </c>
      <c r="W451" s="57" t="s">
        <v>109</v>
      </c>
      <c r="X451" t="str">
        <f>DataItems3[[#This Row],[Collection]]&amp;DataItems3[[#This Row],[Field]]&amp;DataItems3[[#This Row],[Options for supplying the Field]]&amp;DataItems3[[#This Row],[Fieldname]]&amp;DataItems3[[#This Row],[Parent]]</f>
        <v>StaffMode of employment(Full)F_MOEMP</v>
      </c>
      <c r="Y451" s="15">
        <v>43482</v>
      </c>
      <c r="Z451" t="s">
        <v>225</v>
      </c>
      <c r="AA451" s="28" t="str">
        <f t="shared" si="66"/>
        <v>CAST(C.F_MOEMP AS VARCHAR(1))</v>
      </c>
      <c r="AB451" s="28" t="str">
        <f t="shared" si="72"/>
        <v xml:space="preserve"> c.f_MOEMP</v>
      </c>
      <c r="AC451" s="28" t="str">
        <f t="shared" si="70"/>
        <v/>
      </c>
      <c r="AD451" s="28" t="str">
        <f t="shared" si="71"/>
        <v/>
      </c>
      <c r="AE451" t="str">
        <f t="shared" si="73"/>
        <v>[Mode of employment]</v>
      </c>
    </row>
    <row r="452" spans="1:32" ht="16" x14ac:dyDescent="0.2">
      <c r="A452">
        <v>100367</v>
      </c>
      <c r="B452" s="11" t="str">
        <f>DataItems3[[#This Row],[Field]]&amp;IF(DataItems3[[#This Row],[Options for supplying the Field]]="",""," "&amp;DataItems3[[#This Row],[Options for supplying the Field]])</f>
        <v>Mode of employment (Full-time/ Part-time)</v>
      </c>
      <c r="C452">
        <v>100367</v>
      </c>
      <c r="D452" s="3" t="s">
        <v>100</v>
      </c>
      <c r="F452" s="3" t="s">
        <v>1658</v>
      </c>
      <c r="G452" s="13" t="s">
        <v>1662</v>
      </c>
      <c r="H452" s="14" t="s">
        <v>1663</v>
      </c>
      <c r="J452" s="3">
        <v>2</v>
      </c>
      <c r="K452" s="3">
        <v>1</v>
      </c>
      <c r="L452" s="3">
        <v>0</v>
      </c>
      <c r="M452" s="3">
        <v>0</v>
      </c>
      <c r="N452" s="3" t="s">
        <v>106</v>
      </c>
      <c r="Q452" s="16" t="s">
        <v>1664</v>
      </c>
      <c r="R452" s="3" t="s">
        <v>93</v>
      </c>
      <c r="S452" s="16" t="s">
        <v>1665</v>
      </c>
      <c r="U452" s="3" t="s">
        <v>93</v>
      </c>
      <c r="V452" s="3" t="s">
        <v>93</v>
      </c>
      <c r="W452" s="57" t="s">
        <v>109</v>
      </c>
      <c r="X452" t="str">
        <f>DataItems3[[#This Row],[Collection]]&amp;DataItems3[[#This Row],[Field]]&amp;DataItems3[[#This Row],[Options for supplying the Field]]&amp;DataItems3[[#This Row],[Fieldname]]&amp;DataItems3[[#This Row],[Parent]]</f>
        <v>StaffMode of employment(Full-time/ Part-time)F_XMOEMP01</v>
      </c>
      <c r="Y452" s="15">
        <v>43391</v>
      </c>
      <c r="Z452" t="s">
        <v>102</v>
      </c>
      <c r="AA452" s="28" t="str">
        <f t="shared" si="66"/>
        <v>CASE WHEN cc.DW_FromDate &gt;= 20100801 THEN CAST(C.F_XMOEMP01 AS VARCHAR(1)) WHEN c.F_MOEMP IS NULL THEN '0' WHEN c.F_MOEMP IN ('1', '2') THEN '1' WHEN c.F_MOEMP IN ('3', '4', '5') THEN '2' WHEN c.F_MOEMP = '6' THEN '3' ELSE c.F_MOEMP END</v>
      </c>
      <c r="AB452" s="28" t="str">
        <f t="shared" si="72"/>
        <v>CASE WHEN cc.DW_FromDate &gt;= 20100801 and c.F_XMOEMP01 in ('01', '1') then 'Full-time' WHEN cc.DW_FromDate &gt;= 20100801 and c.F_XMOEMP01 in ('02', '2') then 'Part-time' WHEN cc.DW_FromDate &gt;= 20100801 and c.F_XMOEMP01 in ('03', '3') then 'Dormant' WHEN c.F_MOEMP IS NULL THEN 'Unknown' WHEN c.F_MOEMP IN ('1', '2') THEN 'Full-time' WHEN c.F_MOEMP IN ('3', '4', '5') THEN 'Part-time' WHEN c.F_MOEMP = '6' THEN 'Dormant' ELSE c.F_MOEMP END</v>
      </c>
      <c r="AC452" s="28" t="str">
        <f t="shared" si="70"/>
        <v/>
      </c>
      <c r="AD452" s="28" t="str">
        <f t="shared" si="71"/>
        <v/>
      </c>
      <c r="AE452" t="str">
        <f t="shared" si="73"/>
        <v>[Mode of employment]</v>
      </c>
    </row>
    <row r="453" spans="1:32" ht="16" x14ac:dyDescent="0.2">
      <c r="A453">
        <v>100368</v>
      </c>
      <c r="B453" s="11" t="str">
        <f>DataItems3[[#This Row],[Field]]&amp;IF(DataItems3[[#This Row],[Options for supplying the Field]]="",""," "&amp;DataItems3[[#This Row],[Options for supplying the Field]])</f>
        <v>Mode of further study (Full-time/ Part-time)</v>
      </c>
      <c r="C453">
        <v>100368</v>
      </c>
      <c r="D453" s="3" t="s">
        <v>146</v>
      </c>
      <c r="F453" s="3" t="s">
        <v>1666</v>
      </c>
      <c r="G453" s="13" t="s">
        <v>1662</v>
      </c>
      <c r="H453" s="14" t="s">
        <v>93</v>
      </c>
      <c r="J453" s="3">
        <v>1</v>
      </c>
      <c r="K453" s="3">
        <v>1</v>
      </c>
      <c r="L453" s="3">
        <v>0</v>
      </c>
      <c r="M453" s="3">
        <v>0</v>
      </c>
      <c r="N453" s="3" t="s">
        <v>89</v>
      </c>
      <c r="Q453" s="16" t="s">
        <v>93</v>
      </c>
      <c r="R453" s="3" t="s">
        <v>93</v>
      </c>
      <c r="S453" s="16" t="s">
        <v>93</v>
      </c>
      <c r="U453" s="3" t="s">
        <v>93</v>
      </c>
      <c r="V453" s="3" t="s">
        <v>93</v>
      </c>
      <c r="W453" s="57" t="s">
        <v>2926</v>
      </c>
      <c r="X453" t="str">
        <f>DataItems3[[#This Row],[Collection]]&amp;DataItems3[[#This Row],[Field]]&amp;DataItems3[[#This Row],[Options for supplying the Field]]&amp;DataItems3[[#This Row],[Fieldname]]&amp;DataItems3[[#This Row],[Parent]]</f>
        <v>DLHEMode of further study(Full-time/ Part-time)</v>
      </c>
      <c r="Y453" s="15">
        <v>43416</v>
      </c>
      <c r="Z453" t="s">
        <v>95</v>
      </c>
      <c r="AA453" s="28" t="str">
        <f t="shared" si="66"/>
        <v/>
      </c>
      <c r="AB453" s="28" t="str">
        <f t="shared" si="72"/>
        <v/>
      </c>
      <c r="AC453" s="28" t="str">
        <f t="shared" si="70"/>
        <v/>
      </c>
      <c r="AD453" s="28" t="str">
        <f t="shared" si="71"/>
        <v/>
      </c>
      <c r="AE453" t="str">
        <f t="shared" si="73"/>
        <v>[Mode of further study]</v>
      </c>
    </row>
    <row r="454" spans="1:32" ht="16" x14ac:dyDescent="0.2">
      <c r="A454">
        <v>100369</v>
      </c>
      <c r="B454" s="11" t="str">
        <f>DataItems3[[#This Row],[Field]]&amp;IF(DataItems3[[#This Row],[Options for supplying the Field]]="",""," "&amp;DataItems3[[#This Row],[Options for supplying the Field]])</f>
        <v>Mode of qualification (Full-time/ Part-time)</v>
      </c>
      <c r="C454">
        <v>100369</v>
      </c>
      <c r="D454" s="3" t="s">
        <v>86</v>
      </c>
      <c r="E454" s="3" t="s">
        <v>106</v>
      </c>
      <c r="F454" s="3" t="s">
        <v>1667</v>
      </c>
      <c r="G454" s="13" t="s">
        <v>1662</v>
      </c>
      <c r="H454" s="14" t="s">
        <v>1668</v>
      </c>
      <c r="J454" s="3">
        <v>1</v>
      </c>
      <c r="K454" s="3">
        <v>1</v>
      </c>
      <c r="L454" s="3">
        <v>0</v>
      </c>
      <c r="M454" s="3">
        <v>0</v>
      </c>
      <c r="N454" s="3" t="s">
        <v>106</v>
      </c>
      <c r="P454" s="3" t="s">
        <v>280</v>
      </c>
      <c r="Q454" s="16" t="s">
        <v>1669</v>
      </c>
      <c r="R454" s="16" t="s">
        <v>1669</v>
      </c>
      <c r="S454" s="16" t="s">
        <v>1670</v>
      </c>
      <c r="T454" s="16" t="s">
        <v>1670</v>
      </c>
      <c r="U454" s="3" t="s">
        <v>93</v>
      </c>
      <c r="V454" s="3" t="s">
        <v>93</v>
      </c>
      <c r="W454" s="57" t="s">
        <v>109</v>
      </c>
      <c r="X454" t="str">
        <f>DataItems3[[#This Row],[Collection]]&amp;DataItems3[[#This Row],[Field]]&amp;DataItems3[[#This Row],[Options for supplying the Field]]&amp;DataItems3[[#This Row],[Fieldname]]&amp;DataItems3[[#This Row],[Parent]]</f>
        <v>StudentMode of qualification(Full-time/ Part-time)F_XQMODE01Qualifiers</v>
      </c>
      <c r="Y454" s="15"/>
      <c r="AA454" s="28" t="str">
        <f t="shared" si="66"/>
        <v>CAST(s.F_XQMODE01 AS VARCHAR(1))</v>
      </c>
      <c r="AB454" s="28" t="str">
        <f t="shared" si="72"/>
        <v xml:space="preserve"> s.f_xqmode01</v>
      </c>
      <c r="AC454" s="28" t="str">
        <f t="shared" si="70"/>
        <v>CAST(s.F_XQMODE01 AS VARCHAR(1))</v>
      </c>
      <c r="AD454" s="28" t="str">
        <f t="shared" si="71"/>
        <v xml:space="preserve"> s.f_xqmode01</v>
      </c>
      <c r="AE454" t="str">
        <f t="shared" si="73"/>
        <v>[Mode of qualification]</v>
      </c>
      <c r="AF454">
        <v>101008</v>
      </c>
    </row>
    <row r="455" spans="1:32" ht="16" x14ac:dyDescent="0.2">
      <c r="A455">
        <v>100371</v>
      </c>
      <c r="B455" s="11" t="str">
        <f>DataItems3[[#This Row],[Field]]&amp;IF(DataItems3[[#This Row],[Options for supplying the Field]]="",""," "&amp;DataItems3[[#This Row],[Options for supplying the Field]])</f>
        <v>Mode of study (Full)</v>
      </c>
      <c r="C455">
        <v>100371</v>
      </c>
      <c r="D455" s="3" t="s">
        <v>86</v>
      </c>
      <c r="F455" s="3" t="s">
        <v>1671</v>
      </c>
      <c r="G455" s="13" t="s">
        <v>277</v>
      </c>
      <c r="H455" s="14" t="s">
        <v>1672</v>
      </c>
      <c r="J455" s="3">
        <v>1</v>
      </c>
      <c r="K455" s="3">
        <v>2</v>
      </c>
      <c r="L455" s="3">
        <v>0</v>
      </c>
      <c r="M455" s="3">
        <v>0</v>
      </c>
      <c r="Q455" s="16" t="s">
        <v>1673</v>
      </c>
      <c r="R455" s="3" t="s">
        <v>91</v>
      </c>
      <c r="S455" s="16" t="s">
        <v>1674</v>
      </c>
      <c r="U455" s="3" t="s">
        <v>93</v>
      </c>
      <c r="V455" s="3" t="s">
        <v>93</v>
      </c>
      <c r="W455" s="57" t="s">
        <v>150</v>
      </c>
      <c r="X455" t="str">
        <f>DataItems3[[#This Row],[Collection]]&amp;DataItems3[[#This Row],[Field]]&amp;DataItems3[[#This Row],[Options for supplying the Field]]&amp;DataItems3[[#This Row],[Fieldname]]&amp;DataItems3[[#This Row],[Parent]]</f>
        <v>StudentMode of study(Full)F_MODE</v>
      </c>
      <c r="Y455" s="15">
        <v>43438</v>
      </c>
      <c r="Z455" t="s">
        <v>102</v>
      </c>
      <c r="AA455" s="28" t="str">
        <f t="shared" si="66"/>
        <v xml:space="preserve">CAST(s.F_mode AS VARCHAR(2)) </v>
      </c>
      <c r="AB455" s="28" t="str">
        <f t="shared" si="72"/>
        <v xml:space="preserve"> s.f_mode</v>
      </c>
      <c r="AC455" s="28" t="str">
        <f t="shared" si="70"/>
        <v xml:space="preserve"> </v>
      </c>
      <c r="AD455" s="28" t="str">
        <f t="shared" si="71"/>
        <v/>
      </c>
      <c r="AE455" t="str">
        <f t="shared" si="73"/>
        <v>[Mode of study]</v>
      </c>
    </row>
    <row r="456" spans="1:32" ht="16" x14ac:dyDescent="0.2">
      <c r="A456">
        <v>100374</v>
      </c>
      <c r="B456" s="11" t="str">
        <f>DataItems3[[#This Row],[Field]]&amp;IF(DataItems3[[#This Row],[Options for supplying the Field]]="",""," "&amp;DataItems3[[#This Row],[Options for supplying the Field]])</f>
        <v>Mode of study (Full-time/ Sandwich)</v>
      </c>
      <c r="C456">
        <v>100374</v>
      </c>
      <c r="D456" s="3" t="s">
        <v>86</v>
      </c>
      <c r="F456" s="3" t="s">
        <v>1671</v>
      </c>
      <c r="G456" s="13" t="s">
        <v>1675</v>
      </c>
      <c r="H456" s="14" t="s">
        <v>1676</v>
      </c>
      <c r="J456" s="3">
        <v>2</v>
      </c>
      <c r="K456" s="3">
        <v>1</v>
      </c>
      <c r="L456" s="3">
        <v>0</v>
      </c>
      <c r="M456" s="3">
        <v>0</v>
      </c>
      <c r="N456" s="3" t="s">
        <v>106</v>
      </c>
      <c r="Q456" s="16" t="s">
        <v>1677</v>
      </c>
      <c r="R456" s="3" t="s">
        <v>91</v>
      </c>
      <c r="S456" s="16" t="s">
        <v>1678</v>
      </c>
      <c r="U456" s="3" t="s">
        <v>93</v>
      </c>
      <c r="V456" s="3" t="s">
        <v>93</v>
      </c>
      <c r="W456" s="57" t="s">
        <v>109</v>
      </c>
      <c r="X456" t="str">
        <f>DataItems3[[#This Row],[Collection]]&amp;DataItems3[[#This Row],[Field]]&amp;DataItems3[[#This Row],[Options for supplying the Field]]&amp;DataItems3[[#This Row],[Fieldname]]&amp;DataItems3[[#This Row],[Parent]]</f>
        <v>StudentMode of study(Full-time/ Sandwich)F_XMODE01</v>
      </c>
      <c r="Y456" s="15"/>
      <c r="AA456" s="28" t="str">
        <f t="shared" si="66"/>
        <v xml:space="preserve">CAST(s.F_XMODE01 AS VARCHAR(1)) </v>
      </c>
      <c r="AB456" s="28" t="str">
        <f t="shared" si="72"/>
        <v xml:space="preserve"> s.f_xmode01</v>
      </c>
      <c r="AC456" s="28" t="str">
        <f t="shared" si="70"/>
        <v xml:space="preserve"> </v>
      </c>
      <c r="AD456" s="28" t="str">
        <f t="shared" si="71"/>
        <v/>
      </c>
      <c r="AE456" t="str">
        <f t="shared" si="73"/>
        <v>[Mode of study]</v>
      </c>
    </row>
    <row r="457" spans="1:32" ht="32" x14ac:dyDescent="0.2">
      <c r="A457">
        <v>100375</v>
      </c>
      <c r="B457" s="11" t="str">
        <f>DataItems3[[#This Row],[Field]]&amp;IF(DataItems3[[#This Row],[Options for supplying the Field]]="",""," "&amp;DataItems3[[#This Row],[Options for supplying the Field]])</f>
        <v>Mode of study (Full-time/ Sandwich/ Part-time)</v>
      </c>
      <c r="C457">
        <v>100375</v>
      </c>
      <c r="D457" s="3" t="s">
        <v>86</v>
      </c>
      <c r="F457" s="3" t="s">
        <v>1671</v>
      </c>
      <c r="G457" s="13" t="s">
        <v>1679</v>
      </c>
      <c r="H457" s="14" t="s">
        <v>1676</v>
      </c>
      <c r="J457" s="3">
        <v>2</v>
      </c>
      <c r="K457" s="3">
        <v>1</v>
      </c>
      <c r="L457" s="3">
        <v>0</v>
      </c>
      <c r="M457" s="3">
        <v>0</v>
      </c>
      <c r="N457" s="3" t="s">
        <v>106</v>
      </c>
      <c r="Q457" s="16" t="s">
        <v>1677</v>
      </c>
      <c r="R457" s="3" t="s">
        <v>91</v>
      </c>
      <c r="S457" s="16" t="s">
        <v>1678</v>
      </c>
      <c r="U457" s="3" t="s">
        <v>93</v>
      </c>
      <c r="V457" s="3" t="s">
        <v>93</v>
      </c>
      <c r="W457" s="57" t="s">
        <v>109</v>
      </c>
      <c r="X457" t="str">
        <f>DataItems3[[#This Row],[Collection]]&amp;DataItems3[[#This Row],[Field]]&amp;DataItems3[[#This Row],[Options for supplying the Field]]&amp;DataItems3[[#This Row],[Fieldname]]&amp;DataItems3[[#This Row],[Parent]]</f>
        <v>StudentMode of study(Full-time/ Sandwich/ Part-time)F_XMODE01</v>
      </c>
      <c r="Y457" s="15"/>
      <c r="AA457" s="28" t="str">
        <f t="shared" si="66"/>
        <v xml:space="preserve">CAST(s.F_XMODE01 AS VARCHAR(1)) </v>
      </c>
      <c r="AB457" s="28" t="str">
        <f t="shared" si="72"/>
        <v xml:space="preserve"> s.f_xmode01</v>
      </c>
      <c r="AC457" s="28" t="str">
        <f t="shared" si="70"/>
        <v xml:space="preserve"> </v>
      </c>
      <c r="AD457" s="28" t="str">
        <f t="shared" si="71"/>
        <v/>
      </c>
      <c r="AE457" t="str">
        <f t="shared" si="73"/>
        <v>[Mode of study]</v>
      </c>
    </row>
    <row r="458" spans="1:32" ht="48" x14ac:dyDescent="0.2">
      <c r="A458">
        <v>100376</v>
      </c>
      <c r="B458" s="11" t="str">
        <f>DataItems3[[#This Row],[Field]]&amp;IF(DataItems3[[#This Row],[Options for supplying the Field]]="",""," "&amp;DataItems3[[#This Row],[Options for supplying the Field]])</f>
        <v>Mode of study (Full-time/ Sandwich/ Part-time/ Writing-up/ Sabbatical)</v>
      </c>
      <c r="C458">
        <v>100376</v>
      </c>
      <c r="D458" s="3" t="s">
        <v>86</v>
      </c>
      <c r="F458" s="3" t="s">
        <v>1671</v>
      </c>
      <c r="G458" s="13" t="s">
        <v>1680</v>
      </c>
      <c r="H458" s="14" t="s">
        <v>1676</v>
      </c>
      <c r="J458" s="3">
        <v>2</v>
      </c>
      <c r="K458" s="3">
        <v>2</v>
      </c>
      <c r="L458" s="3">
        <v>0</v>
      </c>
      <c r="M458" s="3">
        <v>0</v>
      </c>
      <c r="Q458" s="16" t="s">
        <v>1677</v>
      </c>
      <c r="R458" s="3" t="s">
        <v>91</v>
      </c>
      <c r="S458" s="16" t="s">
        <v>1678</v>
      </c>
      <c r="U458" s="3" t="s">
        <v>93</v>
      </c>
      <c r="V458" s="3" t="s">
        <v>93</v>
      </c>
      <c r="W458" s="57" t="s">
        <v>109</v>
      </c>
      <c r="X458" t="str">
        <f>DataItems3[[#This Row],[Collection]]&amp;DataItems3[[#This Row],[Field]]&amp;DataItems3[[#This Row],[Options for supplying the Field]]&amp;DataItems3[[#This Row],[Fieldname]]&amp;DataItems3[[#This Row],[Parent]]</f>
        <v>StudentMode of study(Full-time/ Sandwich/ Part-time/ Writing-up/ Sabbatical)F_XMODE01</v>
      </c>
      <c r="Y458" s="15">
        <v>43438</v>
      </c>
      <c r="Z458" t="s">
        <v>102</v>
      </c>
      <c r="AA458" s="28" t="str">
        <f t="shared" si="66"/>
        <v xml:space="preserve">CAST(s.F_XMODE01 AS VARCHAR(1)) </v>
      </c>
      <c r="AB458" s="28" t="str">
        <f t="shared" si="72"/>
        <v xml:space="preserve"> s.f_xmode01</v>
      </c>
      <c r="AC458" s="28" t="str">
        <f t="shared" si="70"/>
        <v xml:space="preserve"> </v>
      </c>
      <c r="AD458" s="28" t="str">
        <f t="shared" si="71"/>
        <v/>
      </c>
      <c r="AE458" t="str">
        <f t="shared" si="73"/>
        <v>[Mode of study]</v>
      </c>
      <c r="AF458">
        <v>100934</v>
      </c>
    </row>
    <row r="459" spans="1:32" ht="16" x14ac:dyDescent="0.2">
      <c r="A459">
        <v>100372</v>
      </c>
      <c r="B459" s="11" t="str">
        <f>DataItems3[[#This Row],[Field]]&amp;IF(DataItems3[[#This Row],[Options for supplying the Field]]="",""," "&amp;DataItems3[[#This Row],[Options for supplying the Field]])</f>
        <v>Mode of study (Full-time/ Part-time)</v>
      </c>
      <c r="C459">
        <v>100372</v>
      </c>
      <c r="D459" s="3" t="s">
        <v>86</v>
      </c>
      <c r="E459" s="3" t="s">
        <v>106</v>
      </c>
      <c r="F459" s="3" t="s">
        <v>1671</v>
      </c>
      <c r="G459" s="13" t="s">
        <v>1662</v>
      </c>
      <c r="H459" s="14" t="s">
        <v>1681</v>
      </c>
      <c r="I459" s="63"/>
      <c r="J459" s="3">
        <v>1</v>
      </c>
      <c r="K459" s="3">
        <v>1</v>
      </c>
      <c r="L459" s="3">
        <v>0</v>
      </c>
      <c r="M459" s="3">
        <v>0</v>
      </c>
      <c r="N459" s="3" t="s">
        <v>106</v>
      </c>
      <c r="Q459" s="16" t="s">
        <v>1682</v>
      </c>
      <c r="R459" s="16" t="s">
        <v>1682</v>
      </c>
      <c r="S459" s="16" t="s">
        <v>1683</v>
      </c>
      <c r="T459" s="16" t="s">
        <v>1683</v>
      </c>
      <c r="U459" s="3" t="s">
        <v>93</v>
      </c>
      <c r="V459" s="3" t="s">
        <v>93</v>
      </c>
      <c r="W459" s="57" t="s">
        <v>109</v>
      </c>
      <c r="X459" t="str">
        <f>DataItems3[[#This Row],[Collection]]&amp;DataItems3[[#This Row],[Field]]&amp;DataItems3[[#This Row],[Options for supplying the Field]]&amp;DataItems3[[#This Row],[Fieldname]]&amp;DataItems3[[#This Row],[Parent]]</f>
        <v>StudentMode of study(Full-time/ Part-time)F_XMODE301</v>
      </c>
      <c r="Y459" s="15"/>
      <c r="AA459" s="28" t="str">
        <f t="shared" si="66"/>
        <v>CAST(s.F_XMODE301 AS VARCHAR(1))</v>
      </c>
      <c r="AB459" s="28" t="str">
        <f t="shared" si="72"/>
        <v xml:space="preserve"> s.f_xmode301</v>
      </c>
      <c r="AC459" s="28" t="str">
        <f t="shared" si="70"/>
        <v>CAST(s.F_XMODE301 AS VARCHAR(1))</v>
      </c>
      <c r="AD459" s="28" t="str">
        <f t="shared" si="71"/>
        <v xml:space="preserve"> s.f_xmode301</v>
      </c>
      <c r="AE459" t="str">
        <f t="shared" si="73"/>
        <v>[Mode of study]</v>
      </c>
      <c r="AF459">
        <v>101008</v>
      </c>
    </row>
    <row r="460" spans="1:32" ht="32" x14ac:dyDescent="0.2">
      <c r="A460">
        <v>100373</v>
      </c>
      <c r="B460" s="11" t="str">
        <f>DataItems3[[#This Row],[Field]]&amp;IF(DataItems3[[#This Row],[Options for supplying the Field]]="",""," "&amp;DataItems3[[#This Row],[Options for supplying the Field]])</f>
        <v>Mode of study (Full-time/ Part-time/ Other)</v>
      </c>
      <c r="C460">
        <v>100373</v>
      </c>
      <c r="D460" s="3" t="s">
        <v>86</v>
      </c>
      <c r="F460" s="3" t="s">
        <v>1671</v>
      </c>
      <c r="G460" s="13" t="s">
        <v>1684</v>
      </c>
      <c r="H460" s="14" t="s">
        <v>1681</v>
      </c>
      <c r="J460" s="3">
        <v>1</v>
      </c>
      <c r="K460" s="3">
        <v>1</v>
      </c>
      <c r="L460" s="3">
        <v>0</v>
      </c>
      <c r="M460" s="3">
        <v>0</v>
      </c>
      <c r="N460" s="3" t="s">
        <v>1685</v>
      </c>
      <c r="Q460" s="16" t="s">
        <v>1686</v>
      </c>
      <c r="R460" s="3" t="s">
        <v>91</v>
      </c>
      <c r="S460" s="16" t="s">
        <v>1683</v>
      </c>
      <c r="U460" s="3" t="s">
        <v>93</v>
      </c>
      <c r="V460" s="3" t="s">
        <v>93</v>
      </c>
      <c r="W460" s="57" t="s">
        <v>109</v>
      </c>
      <c r="X460" t="str">
        <f>DataItems3[[#This Row],[Collection]]&amp;DataItems3[[#This Row],[Field]]&amp;DataItems3[[#This Row],[Options for supplying the Field]]&amp;DataItems3[[#This Row],[Fieldname]]&amp;DataItems3[[#This Row],[Parent]]</f>
        <v>StudentMode of study(Full-time/ Part-time/ Other)F_XMODE301</v>
      </c>
      <c r="Y460" s="15"/>
      <c r="AA460" s="28" t="str">
        <f t="shared" si="66"/>
        <v xml:space="preserve">CAST(s.F_XMODE301 AS VARCHAR(1)) </v>
      </c>
      <c r="AB460" s="28" t="str">
        <f t="shared" si="72"/>
        <v xml:space="preserve"> s.f_xmode301</v>
      </c>
      <c r="AC460" s="28" t="str">
        <f t="shared" si="70"/>
        <v xml:space="preserve"> </v>
      </c>
      <c r="AD460" s="28" t="str">
        <f t="shared" si="71"/>
        <v/>
      </c>
      <c r="AE460" t="str">
        <f t="shared" si="73"/>
        <v>[Mode of study]</v>
      </c>
    </row>
    <row r="461" spans="1:32" ht="16" x14ac:dyDescent="0.2">
      <c r="A461">
        <v>100644</v>
      </c>
      <c r="B461" s="19" t="str">
        <f>DataItems3[[#This Row],[Field]]&amp;IF(DataItems3[[#This Row],[Options for supplying the Field]]="",""," "&amp;DataItems3[[#This Row],[Options for supplying the Field]])</f>
        <v>Mode of study [F_XSTUINTENSITY]</v>
      </c>
      <c r="C461">
        <v>100644</v>
      </c>
      <c r="D461" s="3" t="s">
        <v>151</v>
      </c>
      <c r="F461" s="3" t="s">
        <v>1671</v>
      </c>
      <c r="G461" s="13" t="str">
        <f>"["&amp;H461&amp;"]"</f>
        <v>[F_XSTUINTENSITY]</v>
      </c>
      <c r="H461" s="3" t="s">
        <v>1687</v>
      </c>
      <c r="J461" s="3">
        <v>1</v>
      </c>
      <c r="K461" s="3">
        <v>2</v>
      </c>
      <c r="L461" s="3">
        <v>0</v>
      </c>
      <c r="M461" s="3">
        <v>0</v>
      </c>
      <c r="P461" s="3" t="s">
        <v>1688</v>
      </c>
      <c r="Q461" s="16" t="s">
        <v>1689</v>
      </c>
      <c r="R461" s="3" t="s">
        <v>93</v>
      </c>
      <c r="S461" s="16" t="s">
        <v>1690</v>
      </c>
      <c r="U461" s="3" t="s">
        <v>1691</v>
      </c>
      <c r="V461" s="3" t="s">
        <v>93</v>
      </c>
      <c r="W461" s="57" t="s">
        <v>2909</v>
      </c>
      <c r="X461" t="str">
        <f>DataItems3[[#This Row],[Collection]]&amp;DataItems3[[#This Row],[Field]]&amp;DataItems3[[#This Row],[Options for supplying the Field]]&amp;DataItems3[[#This Row],[Fieldname]]&amp;DataItems3[[#This Row],[Parent]]</f>
        <v>Graduate OutcomesMode of study[F_XSTUINTENSITY]F_XSTUINTENSITYProvider &gt; Graduate &gt; Study:</v>
      </c>
      <c r="Y461" s="15">
        <v>44008</v>
      </c>
      <c r="Z461" t="s">
        <v>159</v>
      </c>
      <c r="AA461" s="28" t="str">
        <f t="shared" si="66"/>
        <v>CASE WHEN ISNULL(g.ZRESPSTATUS, '02')='02' OR ISNULL(g.XACTIVITY, '99')='99' THEN 'Not in GO publication population' else isnull(g.XSTUINTENSITY,'NA/UNK') end</v>
      </c>
      <c r="AB461" s="28" t="str">
        <f t="shared" si="72"/>
        <v>CASE WHEN ISNULL(g.ZRESPSTATUS, '02')='02' OR ISNULL(g.XACTIVITY, '99')='99' THEN 'Not in GO publication population' else iif(isnull(g.xstuintensity,'NA')='NA','Not applicable',iif(g.xstuintensity='UN','Unknown',xstuintensity.label)) end</v>
      </c>
      <c r="AC461" s="28" t="str">
        <f t="shared" si="70"/>
        <v/>
      </c>
      <c r="AD461" s="28" t="str">
        <f t="shared" si="71"/>
        <v/>
      </c>
      <c r="AE461" t="str">
        <f t="shared" si="73"/>
        <v>[Mode of study]</v>
      </c>
    </row>
    <row r="462" spans="1:32" ht="16" x14ac:dyDescent="0.2">
      <c r="A462">
        <v>100377</v>
      </c>
      <c r="B462" s="11" t="str">
        <f>DataItems3[[#This Row],[Field]]&amp;IF(DataItems3[[#This Row],[Options for supplying the Field]]="",""," "&amp;DataItems3[[#This Row],[Options for supplying the Field]])</f>
        <v>Module identifier  (MODID)</v>
      </c>
      <c r="C462">
        <v>100377</v>
      </c>
      <c r="D462" s="3" t="s">
        <v>86</v>
      </c>
      <c r="F462" s="3" t="s">
        <v>1692</v>
      </c>
      <c r="G462" s="13" t="s">
        <v>1693</v>
      </c>
      <c r="H462" s="14" t="s">
        <v>3094</v>
      </c>
      <c r="J462" s="3">
        <v>2</v>
      </c>
      <c r="K462" s="3">
        <v>3</v>
      </c>
      <c r="L462" s="3">
        <v>0</v>
      </c>
      <c r="M462" s="3">
        <v>0</v>
      </c>
      <c r="N462" s="3" t="s">
        <v>89</v>
      </c>
      <c r="Q462" s="16" t="s">
        <v>1694</v>
      </c>
      <c r="R462" s="3" t="s">
        <v>91</v>
      </c>
      <c r="S462" s="16" t="s">
        <v>1694</v>
      </c>
      <c r="U462" s="3" t="s">
        <v>586</v>
      </c>
      <c r="V462" s="3" t="s">
        <v>93</v>
      </c>
      <c r="W462" s="57" t="s">
        <v>114</v>
      </c>
      <c r="X462" t="str">
        <f>DataItems3[[#This Row],[Collection]]&amp;DataItems3[[#This Row],[Field]]&amp;DataItems3[[#This Row],[Options for supplying the Field]]&amp;DataItems3[[#This Row],[Fieldname]]&amp;DataItems3[[#This Row],[Parent]]</f>
        <v>StudentModule identifier (MODID)F_MODID</v>
      </c>
      <c r="Y462" s="15">
        <v>43395</v>
      </c>
      <c r="Z462" t="s">
        <v>588</v>
      </c>
      <c r="AA462" s="28" t="str">
        <f t="shared" si="66"/>
        <v>mod.f_modid</v>
      </c>
      <c r="AB462" s="28" t="str">
        <f t="shared" si="72"/>
        <v>mod.f_modid</v>
      </c>
      <c r="AC462" s="28" t="str">
        <f t="shared" si="70"/>
        <v xml:space="preserve"> </v>
      </c>
      <c r="AD462" s="28" t="str">
        <f t="shared" si="71"/>
        <v/>
      </c>
      <c r="AE462" t="str">
        <f t="shared" si="73"/>
        <v>[Module identifier ]</v>
      </c>
    </row>
    <row r="463" spans="1:32" ht="16" x14ac:dyDescent="0.2">
      <c r="A463">
        <v>100378</v>
      </c>
      <c r="B463" s="11" t="str">
        <f>DataItems3[[#This Row],[Field]]&amp;IF(DataItems3[[#This Row],[Options for supplying the Field]]="",""," "&amp;DataItems3[[#This Row],[Options for supplying the Field]])</f>
        <v>Module title  (MTITLE)</v>
      </c>
      <c r="C463">
        <v>100378</v>
      </c>
      <c r="D463" s="3" t="s">
        <v>86</v>
      </c>
      <c r="F463" s="3" t="s">
        <v>1695</v>
      </c>
      <c r="G463" s="13" t="s">
        <v>1696</v>
      </c>
      <c r="H463" s="14" t="s">
        <v>1697</v>
      </c>
      <c r="J463" s="3">
        <v>2</v>
      </c>
      <c r="K463" s="3">
        <v>10</v>
      </c>
      <c r="L463" s="3">
        <v>2</v>
      </c>
      <c r="M463" s="3">
        <v>0</v>
      </c>
      <c r="N463" s="3" t="s">
        <v>89</v>
      </c>
      <c r="Q463" s="16" t="s">
        <v>1698</v>
      </c>
      <c r="R463" s="3" t="s">
        <v>91</v>
      </c>
      <c r="S463" s="28" t="s">
        <v>1698</v>
      </c>
      <c r="T463"/>
      <c r="U463" s="3" t="s">
        <v>586</v>
      </c>
      <c r="V463" s="3" t="s">
        <v>93</v>
      </c>
      <c r="W463" s="57" t="s">
        <v>580</v>
      </c>
      <c r="X463" t="str">
        <f>DataItems3[[#This Row],[Collection]]&amp;DataItems3[[#This Row],[Field]]&amp;DataItems3[[#This Row],[Options for supplying the Field]]&amp;DataItems3[[#This Row],[Fieldname]]&amp;DataItems3[[#This Row],[Parent]]</f>
        <v>StudentModule title (MTITLE)F_MTITLE</v>
      </c>
      <c r="Y463" s="15">
        <v>43440</v>
      </c>
      <c r="Z463" t="s">
        <v>588</v>
      </c>
      <c r="AA463" s="28" t="str">
        <f t="shared" si="66"/>
        <v>mod.f_mtitle</v>
      </c>
      <c r="AB463" s="28" t="str">
        <f t="shared" si="72"/>
        <v>mod.f_mtitle</v>
      </c>
      <c r="AC463" s="28" t="str">
        <f t="shared" si="70"/>
        <v xml:space="preserve"> </v>
      </c>
      <c r="AD463" s="28" t="str">
        <f t="shared" si="71"/>
        <v/>
      </c>
      <c r="AE463" t="str">
        <f t="shared" si="73"/>
        <v>[Module title ]</v>
      </c>
    </row>
    <row r="464" spans="1:32" ht="16" x14ac:dyDescent="0.2">
      <c r="A464">
        <v>100379</v>
      </c>
      <c r="B464" s="11" t="str">
        <f>DataItems3[[#This Row],[Field]]&amp;IF(DataItems3[[#This Row],[Options for supplying the Field]]="",""," "&amp;DataItems3[[#This Row],[Options for supplying the Field]])</f>
        <v>Months worked [EMPMONTH]</v>
      </c>
      <c r="C464">
        <v>100379</v>
      </c>
      <c r="D464" s="3" t="s">
        <v>151</v>
      </c>
      <c r="F464" s="3" t="s">
        <v>1700</v>
      </c>
      <c r="G464" s="13" t="s">
        <v>1701</v>
      </c>
      <c r="H464" s="3" t="s">
        <v>1702</v>
      </c>
      <c r="J464" s="3">
        <v>2</v>
      </c>
      <c r="K464" s="3">
        <v>2</v>
      </c>
      <c r="L464" s="3">
        <v>2</v>
      </c>
      <c r="M464" s="3">
        <v>0</v>
      </c>
      <c r="P464" s="3" t="s">
        <v>874</v>
      </c>
      <c r="Q464" s="16" t="s">
        <v>3095</v>
      </c>
      <c r="R464" s="3" t="s">
        <v>93</v>
      </c>
      <c r="S464" s="16" t="s">
        <v>3096</v>
      </c>
      <c r="U464" s="3" t="s">
        <v>93</v>
      </c>
      <c r="V464" s="3" t="s">
        <v>93</v>
      </c>
      <c r="W464" s="57" t="s">
        <v>2909</v>
      </c>
      <c r="X464" t="str">
        <f>DataItems3[[#This Row],[Collection]]&amp;DataItems3[[#This Row],[Field]]&amp;DataItems3[[#This Row],[Options for supplying the Field]]&amp;DataItems3[[#This Row],[Fieldname]]&amp;DataItems3[[#This Row],[Parent]]</f>
        <v>Graduate OutcomesMonths worked[EMPMONTH]EMPMONTHProvider &gt; Graduate &gt; Employment:</v>
      </c>
      <c r="Y464" s="15">
        <v>43550</v>
      </c>
      <c r="Z464" t="s">
        <v>159</v>
      </c>
      <c r="AA464" s="28" t="str">
        <f t="shared" si="66"/>
        <v>CASE WHEN ISNULL(g.ZRESPSTATUS, '02')='02' OR ISNULL(g.XACTIVITY, '99')='99' THEN 'Not in GO publication population' WHEN g.dw_fromdate=20200801 THEN 'Not applicable 2020/21 onwards' WHEN ISNULL(g.empmonth,'') IN ('0','') THEN 'N/A'  else g.EMPMONTH end</v>
      </c>
      <c r="AB464" s="28" t="str">
        <f t="shared" si="72"/>
        <v>CASE WHEN ISNULL(g.ZRESPSTATUS, '02')='02' OR ISNULL(g.XACTIVITY, '99')='99' THEN 'Not in GO publication population' WHEN g.dw_fromdate=20200801 THEN 'Not applicable 2020/21 onwards'  WHEN ISNULL(g.empmonth,'') IN ('0','') THEN 'N/A' else g.EMPMONTH end</v>
      </c>
      <c r="AC464" s="28" t="str">
        <f t="shared" si="70"/>
        <v/>
      </c>
      <c r="AD464" s="28" t="str">
        <f t="shared" si="71"/>
        <v/>
      </c>
      <c r="AE464" t="str">
        <f t="shared" si="73"/>
        <v>[Months worked]</v>
      </c>
    </row>
    <row r="465" spans="1:31" ht="16" x14ac:dyDescent="0.2">
      <c r="A465">
        <v>100380</v>
      </c>
      <c r="B465" s="11" t="str">
        <f>DataItems3[[#This Row],[Field]]&amp;IF(DataItems3[[#This Row],[Options for supplying the Field]]="",""," "&amp;DataItems3[[#This Row],[Options for supplying the Field]])</f>
        <v>Most Important - Standard Industrial Classification (SIC) 2007⁽¹⁾ (4 digit) [XM2007SIC]</v>
      </c>
      <c r="C465">
        <v>100380</v>
      </c>
      <c r="D465" s="3" t="s">
        <v>151</v>
      </c>
      <c r="F465" s="3" t="str">
        <f>"Most Important - Standard Industrial Classification (SIC) 2007"&amp;"⁽"&amp;CHAR(185)&amp;"⁾"</f>
        <v>Most Important - Standard Industrial Classification (SIC) 2007⁽¹⁾</v>
      </c>
      <c r="G465" s="13" t="s">
        <v>1703</v>
      </c>
      <c r="H465" s="3" t="s">
        <v>1704</v>
      </c>
      <c r="J465" s="3">
        <v>1</v>
      </c>
      <c r="K465" s="3">
        <v>4</v>
      </c>
      <c r="L465" s="3">
        <v>2</v>
      </c>
      <c r="M465" s="3">
        <v>0</v>
      </c>
      <c r="P465" s="3" t="s">
        <v>323</v>
      </c>
      <c r="Q465" s="16" t="s">
        <v>1705</v>
      </c>
      <c r="R465" s="3" t="s">
        <v>93</v>
      </c>
      <c r="S465" s="16" t="s">
        <v>1706</v>
      </c>
      <c r="U465" s="3" t="s">
        <v>1704</v>
      </c>
      <c r="V465" s="3" t="s">
        <v>93</v>
      </c>
      <c r="W465" s="57" t="s">
        <v>2909</v>
      </c>
      <c r="X465" t="str">
        <f>DataItems3[[#This Row],[Collection]]&amp;DataItems3[[#This Row],[Field]]&amp;DataItems3[[#This Row],[Options for supplying the Field]]&amp;DataItems3[[#This Row],[Fieldname]]&amp;DataItems3[[#This Row],[Parent]]</f>
        <v>Graduate OutcomesMost Important - Standard Industrial Classification (SIC) 2007⁽¹⁾(4 digit) [XM2007SIC]XM2007SICProvider &gt; Derived Field</v>
      </c>
      <c r="Y465" s="15">
        <v>43550</v>
      </c>
      <c r="Z465" t="s">
        <v>159</v>
      </c>
      <c r="AA465" s="28" t="str">
        <f t="shared" si="66"/>
        <v>CASE WHEN ISNULL(g.ZRESPSTATUS, '02')='02' OR ISNULL(g.XACTIVITY, '99')='99' THEN 'Not in GO publication population' WHEN g.DW_FromDate=20170801  AND ISNULL(g.XM2007SIC, '-1') IN ('$$$$', '9999', '____', '-1') THEN 'NA/UNK' WHEN g.DW_FromDate=20170801 THEN ISNULL(g.XM2007SIC, 'NA/UNK')   WHEN s.DW_FromDate&gt;=20180801         AND ISNULL(k.XM2007SIC, '-1') IN ('$$$$', '9999', '____', '-1') THEN 'NA/UNK' WHEN s.DW_FromDate&gt;=20180801 THEN ISNULL(k.XM2007SIC, 'NA/UNK')ELSE 'ERROR' END</v>
      </c>
      <c r="AB465" s="28" t="str">
        <f t="shared" si="72"/>
        <v>CASE WHEN ISNULL(g.ZRESPSTATUS, '02')='02' OR ISNULL(g.XACTIVITY, '99')='99' THEN 'Not in GO publication population' WHEN g.DW_FromDate=20170801  AND ISNULL(g.XM2007SIC, '-1') IN ('$$$$', '9999', '____', '-1') THEN 'NA/UNK' WHEN g.DW_FromDate=20170801 THEN ISNULL(XM2007SIC.label, 'NA/UNK')   WHEN s.DW_FromDate&gt;=20180801         AND ISNULL(k.XM2007SIC, '-1') IN ('$$$$', '9999', '____', '-1') THEN 'NA/UNK' WHEN s.DW_FromDate&gt;=20180801 THEN ISNULL(XM2007SIC.label, 'NA/UNK')ELSE 'ERROR' END</v>
      </c>
      <c r="AC465" s="28" t="str">
        <f t="shared" si="70"/>
        <v/>
      </c>
      <c r="AD465" s="28" t="str">
        <f t="shared" si="71"/>
        <v/>
      </c>
      <c r="AE465" t="str">
        <f t="shared" si="73"/>
        <v>[Most Important - Standard Industrial Classification (SIC) 2007]</v>
      </c>
    </row>
    <row r="466" spans="1:31" ht="16" x14ac:dyDescent="0.2">
      <c r="A466">
        <v>100381</v>
      </c>
      <c r="B466" s="11" t="str">
        <f>DataItems3[[#This Row],[Field]]&amp;IF(DataItems3[[#This Row],[Options for supplying the Field]]="",""," "&amp;DataItems3[[#This Row],[Options for supplying the Field]])</f>
        <v>Most Important - Standard Industrial Classification (SIC) 2007⁽¹⁾ (1 digit) [XM2007SIC1]</v>
      </c>
      <c r="C466">
        <v>100381</v>
      </c>
      <c r="D466" s="3" t="s">
        <v>151</v>
      </c>
      <c r="F466" s="3" t="str">
        <f>"Most Important - Standard Industrial Classification (SIC) 2007"&amp;"⁽"&amp;CHAR(185)&amp;"⁾"</f>
        <v>Most Important - Standard Industrial Classification (SIC) 2007⁽¹⁾</v>
      </c>
      <c r="G466" s="13" t="s">
        <v>1707</v>
      </c>
      <c r="H466" s="3" t="s">
        <v>1708</v>
      </c>
      <c r="J466" s="3">
        <v>1</v>
      </c>
      <c r="K466" s="3">
        <v>3</v>
      </c>
      <c r="L466" s="3">
        <v>0</v>
      </c>
      <c r="M466" s="3">
        <v>0</v>
      </c>
      <c r="P466" s="3" t="s">
        <v>323</v>
      </c>
      <c r="Q466" s="16" t="s">
        <v>1709</v>
      </c>
      <c r="S466" s="16" t="s">
        <v>1710</v>
      </c>
      <c r="U466" s="3" t="s">
        <v>1708</v>
      </c>
      <c r="V466" s="3" t="s">
        <v>93</v>
      </c>
      <c r="W466" s="57" t="s">
        <v>2909</v>
      </c>
      <c r="X466" t="str">
        <f>DataItems3[[#This Row],[Collection]]&amp;DataItems3[[#This Row],[Field]]&amp;DataItems3[[#This Row],[Options for supplying the Field]]&amp;DataItems3[[#This Row],[Fieldname]]&amp;DataItems3[[#This Row],[Parent]]</f>
        <v>Graduate OutcomesMost Important - Standard Industrial Classification (SIC) 2007⁽¹⁾(1 digit) [XM2007SIC1]XM2007SIC1Provider &gt; Derived Field</v>
      </c>
      <c r="Y466" s="15">
        <v>43550</v>
      </c>
      <c r="Z466" t="s">
        <v>159</v>
      </c>
      <c r="AA466" s="28" t="str">
        <f t="shared" si="66"/>
        <v>CASE WHEN ISNULL(g.ZRESPSTATUS, '02')='02'   OR ISNULL(g.XACTIVITY, '99')='99' THEN 'Not in GO publication population' WHEN g.DW_FromDate=20170801  AND ISNULL(g.XM2007SIC1, '-1') IN ('$', '9', '_', '-1') THEN 'V' WHEN g.DW_FromDate=20170801 THEN ISNULL(g.XM2007SIC1, 'NA/UNK')   WHEN s.DW_FromDate&gt;=20180801         AND ISNULL(k.XM2007SIC1, '-1') IN ('$', '9', '_', '-1') THEN 'V' WHEN s.DW_FromDate&gt;=20180801 THEN ISNULL(k.XM2007SIC1, 'NA/UNK')ELSE 'ERROR' END</v>
      </c>
      <c r="AB466" s="28" t="str">
        <f>IF(S466="","",IF(IFERROR(SEARCH("select",S466)&gt;0,0),IF(U466="",IF(MID(S466,SEARCH(H466,S466)-4,1)=" ",MID(S466,SEARCH(H466,S466)-2,LEN(#REF!)+2),MID(S466,SEARCH(H466,S466)-3,LEN(H466)+3)),U466&amp;"."&amp;H466),S466))</f>
        <v>CASE WHEN ISNULL(g.ZRESPSTATUS, '02')='02'   OR ISNULL(g.XACTIVITY, '99')='99' THEN 'Not in GO publication population' WHEN s.DW_FromDate=20170801  AND ISNULL(g.XM2007SIC1, '-1') IN ('$', '9', '_', '-1') THEN 'Not known' WHEN s.DW_FromDate=20170801 THEN ISNULL(XM2007SIC1.label, 'NA/UNK')   WHEN s.DW_FromDate&gt;=20180801         AND ISNULL(k.XM2007SIC1, '-1') IN ('$', '9', '_', '-1') THEN 'Not known' WHEN s.DW_FromDate&gt;=20180801 THEN ISNULL(XM2007SIC1.label, 'NA/UNK')ELSE 'ERROR' END</v>
      </c>
      <c r="AC466" s="28" t="str">
        <f t="shared" si="70"/>
        <v/>
      </c>
      <c r="AD466" s="28" t="str">
        <f t="shared" si="71"/>
        <v/>
      </c>
      <c r="AE466" t="str">
        <f t="shared" si="73"/>
        <v>[Most Important - Standard Industrial Classification (SIC) 2007]</v>
      </c>
    </row>
    <row r="467" spans="1:31" ht="16" x14ac:dyDescent="0.2">
      <c r="A467">
        <v>100382</v>
      </c>
      <c r="B467" s="11" t="str">
        <f>DataItems3[[#This Row],[Field]]&amp;IF(DataItems3[[#This Row],[Options for supplying the Field]]="",""," "&amp;DataItems3[[#This Row],[Options for supplying the Field]])</f>
        <v>Most Important - Standard Industrial Classification (SIC) 2007⁽¹⁾ (2 digit) [XM2007SIC2]</v>
      </c>
      <c r="C467">
        <v>100382</v>
      </c>
      <c r="D467" s="3" t="s">
        <v>151</v>
      </c>
      <c r="F467" s="3" t="str">
        <f>"Most Important - Standard Industrial Classification (SIC) 2007"&amp;"⁽"&amp;CHAR(185)&amp;"⁾"</f>
        <v>Most Important - Standard Industrial Classification (SIC) 2007⁽¹⁾</v>
      </c>
      <c r="G467" s="13" t="s">
        <v>1711</v>
      </c>
      <c r="H467" s="3" t="s">
        <v>1712</v>
      </c>
      <c r="J467" s="3">
        <v>1</v>
      </c>
      <c r="K467" s="3">
        <v>3</v>
      </c>
      <c r="L467" s="3">
        <v>0</v>
      </c>
      <c r="M467" s="3">
        <v>0</v>
      </c>
      <c r="P467" s="3" t="s">
        <v>323</v>
      </c>
      <c r="Q467" s="16" t="s">
        <v>1713</v>
      </c>
      <c r="R467" s="3" t="s">
        <v>93</v>
      </c>
      <c r="S467" s="16" t="s">
        <v>1714</v>
      </c>
      <c r="U467" s="3" t="s">
        <v>1712</v>
      </c>
      <c r="V467" s="3" t="s">
        <v>93</v>
      </c>
      <c r="W467" s="57" t="s">
        <v>2909</v>
      </c>
      <c r="X467" t="str">
        <f>DataItems3[[#This Row],[Collection]]&amp;DataItems3[[#This Row],[Field]]&amp;DataItems3[[#This Row],[Options for supplying the Field]]&amp;DataItems3[[#This Row],[Fieldname]]&amp;DataItems3[[#This Row],[Parent]]</f>
        <v>Graduate OutcomesMost Important - Standard Industrial Classification (SIC) 2007⁽¹⁾(2 digit) [XM2007SIC2]XM2007SIC2Provider &gt; Derived Field</v>
      </c>
      <c r="Y467" s="15">
        <v>43550</v>
      </c>
      <c r="Z467" t="s">
        <v>159</v>
      </c>
      <c r="AA467" s="28" t="str">
        <f t="shared" si="66"/>
        <v>CASE WHEN ISNULL(g.ZRESPSTATUS, '02')='02' OR ISNULL(g.XACTIVITY, '99')='99' THEN 'Not in GO publication population' WHEN g.DW_FromDate=20170801  AND ISNULL(g.XM2007SIC2, '-1') IN ('$$', '9', '__', '-1') THEN 'NA/UNK' WHEN g.DW_FromDate=20170801 THEN ISNULL(g.XM2007SIC2, 'NA/UNK')   WHEN s.DW_FromDate&gt;=20180801         AND ISNULL(k.XM2007SIC2, '-1') IN ('$$', '9', '__', '-1') THEN 'NA/UNK' WHEN s.DW_FromDate&gt;=20180801 THEN ISNULL(k.XM2007SIC2, 'NA/UNK')ELSE 'ERROR' END</v>
      </c>
      <c r="AB467" s="28" t="str">
        <f t="shared" ref="AB467:AB474" si="74">IF(S467="","",IF(IFERROR(SEARCH("select",S467)&gt;0,0),IF(U467="",IF(MID(S467,SEARCH(H467,S467)-4,1)=" ",MID(S467,SEARCH(H467,S467)-2,LEN(O475)+2),MID(S467,SEARCH(H467,S467)-3,LEN(H467)+3)),U467&amp;"."&amp;H467),S467))</f>
        <v>CASE WHEN ISNULL(g.ZRESPSTATUS, '02')='02' OR ISNULL(g.XACTIVITY, '99')='99' THEN 'Not in GO publication population' WHEN g.DW_FromDate=20170801  AND ISNULL(g.XM2007SIC2, '-1') IN ('$$', '9', '__', '-1') THEN 'NA/UNK' WHEN g.DW_FromDate=20170801 THEN ISNULL(XM2007SIC2.label, 'NA/UNK')   WHEN s.DW_FromDate&gt;=20180801         AND ISNULL(k.XM2007SIC2, '-1') IN ('$$', '9', '__', '-1') THEN 'NA/UNK' WHEN s.DW_FromDate&gt;=20180801 THEN ISNULL(XM2007SIC2.label, 'NA/UNK')ELSE 'ERROR' END</v>
      </c>
      <c r="AC467" s="28" t="str">
        <f t="shared" si="70"/>
        <v/>
      </c>
      <c r="AD467" s="28" t="str">
        <f t="shared" si="71"/>
        <v/>
      </c>
      <c r="AE467" t="str">
        <f t="shared" si="73"/>
        <v>[Most Important - Standard Industrial Classification (SIC) 2007]</v>
      </c>
    </row>
    <row r="468" spans="1:31" ht="32" x14ac:dyDescent="0.2">
      <c r="A468">
        <v>100383</v>
      </c>
      <c r="B468" s="11" t="str">
        <f>DataItems3[[#This Row],[Field]]&amp;IF(DataItems3[[#This Row],[Options for supplying the Field]]="",""," "&amp;DataItems3[[#This Row],[Options for supplying the Field]])</f>
        <v>Most Important - Standard Occupational Classification (SOC) 2010⁽¹⁾ (5 Digit) [XM2010SOC]</v>
      </c>
      <c r="C468">
        <v>100383</v>
      </c>
      <c r="D468" s="3" t="s">
        <v>151</v>
      </c>
      <c r="F468" s="3" t="str">
        <f>"Most Important - Standard Occupational Classification (SOC) 2010"&amp;"⁽"&amp;CHAR(185)&amp;"⁾"</f>
        <v>Most Important - Standard Occupational Classification (SOC) 2010⁽¹⁾</v>
      </c>
      <c r="G468" s="13" t="s">
        <v>1715</v>
      </c>
      <c r="H468" s="3" t="s">
        <v>1716</v>
      </c>
      <c r="J468" s="3">
        <v>1</v>
      </c>
      <c r="K468" s="3">
        <v>4</v>
      </c>
      <c r="L468" s="3">
        <v>4</v>
      </c>
      <c r="M468" s="3">
        <v>2</v>
      </c>
      <c r="P468" s="3" t="s">
        <v>323</v>
      </c>
      <c r="Q468" s="16" t="s">
        <v>1717</v>
      </c>
      <c r="R468" s="3" t="s">
        <v>93</v>
      </c>
      <c r="S468" s="16" t="s">
        <v>1718</v>
      </c>
      <c r="U468" s="3" t="s">
        <v>1716</v>
      </c>
      <c r="V468" s="3" t="s">
        <v>93</v>
      </c>
      <c r="W468" s="57" t="s">
        <v>2909</v>
      </c>
      <c r="X468" t="str">
        <f>DataItems3[[#This Row],[Collection]]&amp;DataItems3[[#This Row],[Field]]&amp;DataItems3[[#This Row],[Options for supplying the Field]]&amp;DataItems3[[#This Row],[Fieldname]]&amp;DataItems3[[#This Row],[Parent]]</f>
        <v>Graduate OutcomesMost Important - Standard Occupational Classification (SOC) 2010⁽¹⁾(5 Digit) [XM2010SOC]XM2010SOCProvider &gt; Derived Field</v>
      </c>
      <c r="Y468" s="15">
        <v>43550</v>
      </c>
      <c r="Z468" t="s">
        <v>159</v>
      </c>
      <c r="AA468" s="28" t="str">
        <f t="shared" si="66"/>
        <v>CASE WHEN ISNULL(g.ZRESPSTATUS, '02')='02' OR ISNULL(g.XACTIVITY, '99')='99' THEN 'Not in GO publication population'  WHEN g.DW_FromDate &gt;= 20180801 THEN 'Not applicable 2018/19 onwards' WHEN g.XM2010SOC IN ('00010','$$$$$','-3') THEN 'NA/UNK' else ISNULL(g.XM2010SOC,'NA/UNK') end</v>
      </c>
      <c r="AB468" s="28" t="str">
        <f t="shared" si="74"/>
        <v>CASE WHEN ISNULL(g.ZRESPSTATUS, '02')='02' OR ISNULL(g.XACTIVITY, '99')='99' THEN 'Not in GO publication population' WHEN g.DW_FromDate &gt;= 20180801 THEN 'Not applicable 2018/19 onwards' WHEN g.XM2010SOC IN ('00010','$$$$$','-3') THEN 'Unknown/ not applicable' else ISNULL(XM2010SOC.label,'Unknown/ not applicable') end</v>
      </c>
      <c r="AC468" s="28" t="str">
        <f t="shared" si="70"/>
        <v/>
      </c>
      <c r="AD468" s="28" t="str">
        <f t="shared" si="71"/>
        <v/>
      </c>
      <c r="AE468" t="str">
        <f t="shared" si="73"/>
        <v>[Most Important - Standard Occupational Classification (SOC) 2010]</v>
      </c>
    </row>
    <row r="469" spans="1:31" ht="32" x14ac:dyDescent="0.2">
      <c r="A469">
        <v>100384</v>
      </c>
      <c r="B469" s="11" t="str">
        <f>DataItems3[[#This Row],[Field]]&amp;IF(DataItems3[[#This Row],[Options for supplying the Field]]="",""," "&amp;DataItems3[[#This Row],[Options for supplying the Field]])</f>
        <v>Most Important - Standard Occupational Classification (SOC) 2010⁽¹⁾ (major grouping) [XM2010SOC1]</v>
      </c>
      <c r="C469">
        <v>100384</v>
      </c>
      <c r="D469" s="3" t="s">
        <v>151</v>
      </c>
      <c r="F469" s="3" t="str">
        <f>"Most Important - Standard Occupational Classification (SOC) 2010"&amp;"⁽"&amp;CHAR(185)&amp;"⁾"</f>
        <v>Most Important - Standard Occupational Classification (SOC) 2010⁽¹⁾</v>
      </c>
      <c r="G469" s="13" t="s">
        <v>1719</v>
      </c>
      <c r="H469" s="3" t="s">
        <v>1720</v>
      </c>
      <c r="J469" s="3">
        <v>1</v>
      </c>
      <c r="K469" s="3">
        <v>2</v>
      </c>
      <c r="L469" s="3">
        <v>0</v>
      </c>
      <c r="M469" s="3">
        <v>0</v>
      </c>
      <c r="P469" s="3" t="s">
        <v>323</v>
      </c>
      <c r="Q469" s="16" t="s">
        <v>1721</v>
      </c>
      <c r="R469" s="3" t="s">
        <v>93</v>
      </c>
      <c r="S469" s="16" t="s">
        <v>1722</v>
      </c>
      <c r="U469" s="3" t="s">
        <v>1720</v>
      </c>
      <c r="V469" s="3" t="s">
        <v>93</v>
      </c>
      <c r="W469" s="57" t="s">
        <v>2909</v>
      </c>
      <c r="X469" t="str">
        <f>DataItems3[[#This Row],[Collection]]&amp;DataItems3[[#This Row],[Field]]&amp;DataItems3[[#This Row],[Options for supplying the Field]]&amp;DataItems3[[#This Row],[Fieldname]]&amp;DataItems3[[#This Row],[Parent]]</f>
        <v>Graduate OutcomesMost Important - Standard Occupational Classification (SOC) 2010⁽¹⁾(major grouping) [XM2010SOC1]XM2010SOC1Provider &gt; Derived Field</v>
      </c>
      <c r="Y469" s="15">
        <v>43550</v>
      </c>
      <c r="Z469" t="s">
        <v>159</v>
      </c>
      <c r="AA469" s="28" t="str">
        <f t="shared" si="66"/>
        <v>CASE WHEN ISNULL(g.ZRESPSTATUS, '02')='02' OR ISNULL(g.XACTIVITY, '99')='99' THEN 'Not in GO publication population' WHEN g.DW_FromDate &gt;= 20180801 THEN 'Not applicable 2018/19 onwards' WHEN g.XM2010SOC1 = '-3' THEN 'X ' else g.XM2010SOC1 end</v>
      </c>
      <c r="AB469" s="28" t="str">
        <f t="shared" si="74"/>
        <v>CASE WHEN ISNULL(g.ZRESPSTATUS, '02')='02' OR ISNULL(g.XACTIVITY, '99')='99' THEN 'Not in GO publication population' WHEN g.DW_FromDate &gt;= 20180801 THEN 'Not applicable 2018/19 onwards' WHEN g.XM2010SOC1 = '-3' THEN 'Not known/Not applicable' else XM2010SOC1.label end</v>
      </c>
      <c r="AC469" s="28" t="str">
        <f t="shared" si="70"/>
        <v/>
      </c>
      <c r="AD469" s="28" t="str">
        <f t="shared" si="71"/>
        <v/>
      </c>
      <c r="AE469" t="str">
        <f t="shared" si="73"/>
        <v>[Most Important - Standard Occupational Classification (SOC) 2010]</v>
      </c>
    </row>
    <row r="470" spans="1:31" ht="32" x14ac:dyDescent="0.2">
      <c r="A470">
        <v>100385</v>
      </c>
      <c r="B470" s="11" t="str">
        <f>DataItems3[[#This Row],[Field]]&amp;IF(DataItems3[[#This Row],[Options for supplying the Field]]="",""," "&amp;DataItems3[[#This Row],[Options for supplying the Field]])</f>
        <v>Most Important - Standard Occupational Classification (SOC) 2010⁽¹⁾ (minor grouping) [XM2010SOC3]</v>
      </c>
      <c r="C470">
        <v>100385</v>
      </c>
      <c r="D470" s="3" t="s">
        <v>151</v>
      </c>
      <c r="F470" s="3" t="str">
        <f>"Most Important - Standard Occupational Classification (SOC) 2010"&amp;"⁽"&amp;CHAR(185)&amp;"⁾"</f>
        <v>Most Important - Standard Occupational Classification (SOC) 2010⁽¹⁾</v>
      </c>
      <c r="G470" s="13" t="s">
        <v>1723</v>
      </c>
      <c r="H470" s="3" t="s">
        <v>1724</v>
      </c>
      <c r="J470" s="3">
        <v>1</v>
      </c>
      <c r="K470" s="3">
        <v>3</v>
      </c>
      <c r="L470" s="3">
        <v>0</v>
      </c>
      <c r="M470" s="3">
        <v>0</v>
      </c>
      <c r="P470" s="3" t="s">
        <v>323</v>
      </c>
      <c r="Q470" s="16" t="s">
        <v>1725</v>
      </c>
      <c r="R470" s="3" t="s">
        <v>93</v>
      </c>
      <c r="S470" s="16" t="s">
        <v>1726</v>
      </c>
      <c r="U470" s="3" t="s">
        <v>1724</v>
      </c>
      <c r="V470" s="3" t="s">
        <v>93</v>
      </c>
      <c r="W470" s="57" t="s">
        <v>2909</v>
      </c>
      <c r="X470" t="str">
        <f>DataItems3[[#This Row],[Collection]]&amp;DataItems3[[#This Row],[Field]]&amp;DataItems3[[#This Row],[Options for supplying the Field]]&amp;DataItems3[[#This Row],[Fieldname]]&amp;DataItems3[[#This Row],[Parent]]</f>
        <v>Graduate OutcomesMost Important - Standard Occupational Classification (SOC) 2010⁽¹⁾(minor grouping) [XM2010SOC3]XM2010SOC3Provider &gt; Derived Field</v>
      </c>
      <c r="Y470" s="15">
        <v>43550</v>
      </c>
      <c r="Z470" t="s">
        <v>159</v>
      </c>
      <c r="AA470" s="28" t="str">
        <f t="shared" si="66"/>
        <v>CASE WHEN ISNULL(g.ZRESPSTATUS, '02')='02' OR ISNULL(g.XACTIVITY, '99')='99' THEN 'Not in GO publication population'  WHEN g.DW_FromDate &gt;= 20180801 THEN 'Not applicable 2018/19 onwards' WHEN g.XM2010SOC3 IN ('$$$','___','-3') THEN 'NA/UNK' else ISNULL(g.XM2010SOC3,'NA/UNK') end</v>
      </c>
      <c r="AB470" s="28" t="str">
        <f t="shared" si="74"/>
        <v>CASE WHEN ISNULL(g.ZRESPSTATUS, '02')='02' OR ISNULL(g.XACTIVITY, '99')='99' THEN 'Not in GO publication population'  WHEN g.DW_FromDate &gt;= 20180801 THEN 'Not applicable 2018/19 onwards' WHEN g.XM2010SOC3 IN ('$$$','___','-3') THEN 'Unknown/ not applicable' else ISNULL(XM2010SOC3.label,'Unknown/ not applicable') end</v>
      </c>
      <c r="AC470" s="28" t="str">
        <f t="shared" si="70"/>
        <v/>
      </c>
      <c r="AD470" s="28" t="str">
        <f t="shared" si="71"/>
        <v/>
      </c>
      <c r="AE470" t="str">
        <f t="shared" si="73"/>
        <v>[Most Important - Standard Occupational Classification (SOC) 2010]</v>
      </c>
    </row>
    <row r="471" spans="1:31" ht="32" x14ac:dyDescent="0.2">
      <c r="A471">
        <v>100824</v>
      </c>
      <c r="B471" s="11" t="str">
        <f>DataItems3[[#This Row],[Field]]&amp;IF(DataItems3[[#This Row],[Options for supplying the Field]]="",""," "&amp;DataItems3[[#This Row],[Options for supplying the Field]])</f>
        <v>Most Important - Standard Occupational Classification (SOC) 2020⁽¹⁾ (4 Digit) [XM2020SOC]</v>
      </c>
      <c r="C471">
        <v>100824</v>
      </c>
      <c r="D471" s="3" t="s">
        <v>151</v>
      </c>
      <c r="F471" s="3" t="s">
        <v>1727</v>
      </c>
      <c r="G471" s="13" t="s">
        <v>1728</v>
      </c>
      <c r="H471" s="14" t="s">
        <v>1729</v>
      </c>
      <c r="J471" s="3">
        <v>1</v>
      </c>
      <c r="K471" s="3">
        <v>4</v>
      </c>
      <c r="L471" s="3">
        <v>3</v>
      </c>
      <c r="M471" s="3">
        <v>2</v>
      </c>
      <c r="N471" s="3" t="s">
        <v>89</v>
      </c>
      <c r="Q471" s="16" t="s">
        <v>1730</v>
      </c>
      <c r="S471" s="16" t="s">
        <v>1731</v>
      </c>
      <c r="U471" s="3" t="s">
        <v>1732</v>
      </c>
      <c r="W471" s="57" t="s">
        <v>2909</v>
      </c>
      <c r="X471" t="str">
        <f>DataItems3[[#This Row],[Collection]]&amp;DataItems3[[#This Row],[Field]]&amp;DataItems3[[#This Row],[Options for supplying the Field]]&amp;DataItems3[[#This Row],[Fieldname]]&amp;DataItems3[[#This Row],[Parent]]</f>
        <v>Graduate OutcomesMost Important - Standard Occupational Classification (SOC) 2020⁽¹⁾(4 Digit) [XM2020SOC]F_XM2020SOC</v>
      </c>
      <c r="Y471" s="4">
        <v>44404</v>
      </c>
      <c r="Z471" t="s">
        <v>56</v>
      </c>
      <c r="AA471" s="28" t="str">
        <f t="shared" si="66"/>
        <v xml:space="preserve">CASE WHEN ISNULL(g.ZRESPSTATUS, '02')='02'   OR ISNULL(g.XACTIVITY, '99')='99' THEN 'Not in GO publication population'   WHEN ISNULL(k.Xm2020SOC, '$') IN ('$', '_','$$','__','$$$$','____','0001') THEN 'NA/UNK'   ELSE ISNULL(k.Xm2020SOC, 'NA/UNK')END </v>
      </c>
      <c r="AB471" s="28" t="str">
        <f t="shared" si="74"/>
        <v xml:space="preserve">CASE WHEN ISNULL(g.ZRESPSTATUS, '02')='02'   OR ISNULL(g.XACTIVITY, '99')='99' THEN 'Not in GO publication population'   WHEN ISNULL(k.Xm2020SOC, '$') IN ('$', '_','$$','__','$$$$','____','0001') THEN 'NA/UNK'   ELSE ISNULL(Xm2020SOC.label, 'NA/UNK')END </v>
      </c>
      <c r="AC471" s="28" t="str">
        <f t="shared" si="70"/>
        <v/>
      </c>
      <c r="AD471" s="28" t="str">
        <f t="shared" si="71"/>
        <v/>
      </c>
      <c r="AE471" t="str">
        <f t="shared" si="73"/>
        <v>[Most Important - Standard Occupational Classification (SOC) 2020]</v>
      </c>
    </row>
    <row r="472" spans="1:31" ht="32" x14ac:dyDescent="0.2">
      <c r="A472">
        <v>100825</v>
      </c>
      <c r="B472" s="11" t="str">
        <f>DataItems3[[#This Row],[Field]]&amp;IF(DataItems3[[#This Row],[Options for supplying the Field]]="",""," "&amp;DataItems3[[#This Row],[Options for supplying the Field]])</f>
        <v>Most Important - Standard Occupational Classification (SOC) 2020⁽¹⁾ (major grouping) [XM2020SOC1]</v>
      </c>
      <c r="C472">
        <v>100825</v>
      </c>
      <c r="D472" s="3" t="s">
        <v>151</v>
      </c>
      <c r="F472" s="3" t="s">
        <v>1727</v>
      </c>
      <c r="G472" s="13" t="s">
        <v>1733</v>
      </c>
      <c r="H472" s="14" t="s">
        <v>1734</v>
      </c>
      <c r="J472" s="3">
        <v>1</v>
      </c>
      <c r="K472" s="3">
        <v>2</v>
      </c>
      <c r="L472" s="3">
        <v>0</v>
      </c>
      <c r="M472" s="3">
        <v>0</v>
      </c>
      <c r="N472" s="3" t="s">
        <v>89</v>
      </c>
      <c r="Q472" s="16" t="s">
        <v>1735</v>
      </c>
      <c r="S472" s="16" t="s">
        <v>1736</v>
      </c>
      <c r="U472" s="3" t="s">
        <v>1737</v>
      </c>
      <c r="W472" s="57" t="s">
        <v>2909</v>
      </c>
      <c r="X472" t="str">
        <f>DataItems3[[#This Row],[Collection]]&amp;DataItems3[[#This Row],[Field]]&amp;DataItems3[[#This Row],[Options for supplying the Field]]&amp;DataItems3[[#This Row],[Fieldname]]&amp;DataItems3[[#This Row],[Parent]]</f>
        <v>Graduate OutcomesMost Important - Standard Occupational Classification (SOC) 2020⁽¹⁾(major grouping) [XM2020SOC1]F_XM2020SOC1</v>
      </c>
      <c r="Y472" s="4">
        <v>44404</v>
      </c>
      <c r="Z472" t="s">
        <v>56</v>
      </c>
      <c r="AA472" s="28" t="str">
        <f t="shared" si="66"/>
        <v xml:space="preserve">CASE WHEN ISNULL(g.ZRESPSTATUS, '02')='02'   OR ISNULL(g.XACTIVITY, '99')='99' THEN 'Not in GO publication population'  WHEN ISNULL(k.Xm2020SOC1, '$') IN ('$', '_','$$','__','X') THEN 'NA/UNK'  ELSE ISNULL(k.Xm2020SOC1, 'NA/UNK')END </v>
      </c>
      <c r="AB472" s="28" t="str">
        <f t="shared" si="74"/>
        <v xml:space="preserve">CASE WHEN ISNULL(g.ZRESPSTATUS, '02')='02'   OR ISNULL(g.XACTIVITY, '99')='99' THEN 'Not in GO publication population'  WHEN ISNULL(k.Xm2020SOC1, '$') IN ('$', '_','$$','__','X') THEN 'NA/UNK'  ELSE ISNULL(Xm2020SOC1.label, 'NA/UNK')END </v>
      </c>
      <c r="AC472" s="28" t="str">
        <f t="shared" si="70"/>
        <v/>
      </c>
      <c r="AD472" s="28" t="str">
        <f t="shared" si="71"/>
        <v/>
      </c>
      <c r="AE472" t="str">
        <f t="shared" si="73"/>
        <v>[Most Important - Standard Occupational Classification (SOC) 2020]</v>
      </c>
    </row>
    <row r="473" spans="1:31" ht="32" x14ac:dyDescent="0.2">
      <c r="A473">
        <v>100826</v>
      </c>
      <c r="B473" s="11" t="str">
        <f>DataItems3[[#This Row],[Field]]&amp;IF(DataItems3[[#This Row],[Options for supplying the Field]]="",""," "&amp;DataItems3[[#This Row],[Options for supplying the Field]])</f>
        <v>Most Important - Standard Occupational Classification (SOC) 2020⁽¹⁾ (minor grouping) [XM2020SOC3]</v>
      </c>
      <c r="C473">
        <v>100826</v>
      </c>
      <c r="D473" s="3" t="s">
        <v>151</v>
      </c>
      <c r="F473" s="3" t="s">
        <v>1727</v>
      </c>
      <c r="G473" s="13" t="s">
        <v>1738</v>
      </c>
      <c r="H473" s="14" t="s">
        <v>1739</v>
      </c>
      <c r="J473" s="3">
        <v>1</v>
      </c>
      <c r="K473" s="3">
        <v>3</v>
      </c>
      <c r="L473" s="3">
        <v>0</v>
      </c>
      <c r="M473" s="3">
        <v>0</v>
      </c>
      <c r="N473" s="3" t="s">
        <v>89</v>
      </c>
      <c r="Q473" s="16" t="s">
        <v>1740</v>
      </c>
      <c r="S473" s="16" t="s">
        <v>1741</v>
      </c>
      <c r="U473" s="3" t="s">
        <v>1742</v>
      </c>
      <c r="W473" s="57" t="s">
        <v>2909</v>
      </c>
      <c r="X473" t="str">
        <f>DataItems3[[#This Row],[Collection]]&amp;DataItems3[[#This Row],[Field]]&amp;DataItems3[[#This Row],[Options for supplying the Field]]&amp;DataItems3[[#This Row],[Fieldname]]&amp;DataItems3[[#This Row],[Parent]]</f>
        <v>Graduate OutcomesMost Important - Standard Occupational Classification (SOC) 2020⁽¹⁾(minor grouping) [XM2020SOC3]F_XM2020SOC3</v>
      </c>
      <c r="Y473" s="4">
        <v>44404</v>
      </c>
      <c r="Z473" t="s">
        <v>56</v>
      </c>
      <c r="AA473" s="28" t="str">
        <f t="shared" si="66"/>
        <v xml:space="preserve">CASE WHEN ISNULL(g.ZRESPSTATUS, '02')='02'   OR ISNULL(g.XACTIVITY, '99')='99' THEN 'Not in GO publication population'   WHEN ISNULL(k.Xm2020SOC3, '$') IN ('$', '_','$$','__','$$$','___') THEN 'NA/UNK'   ELSE ISNULL(k.Xm2020SOC3, 'NA/UNK')END </v>
      </c>
      <c r="AB473" s="28" t="str">
        <f t="shared" si="74"/>
        <v xml:space="preserve">CASE WHEN ISNULL(g.ZRESPSTATUS, '02')='02'   OR ISNULL(g.XACTIVITY, '99')='99' THEN 'Not in GO publication population'   WHEN ISNULL(k.Xm2020SOC3, '$') IN ('$', '_','$$','__','$$$','___') THEN 'NA/UNK'   ELSE ISNULL(Xm2020SOC3.label, 'NA/UNK')END </v>
      </c>
      <c r="AC473" s="28" t="str">
        <f t="shared" si="70"/>
        <v/>
      </c>
      <c r="AD473" s="28" t="str">
        <f t="shared" si="71"/>
        <v/>
      </c>
      <c r="AE473" t="str">
        <f t="shared" si="73"/>
        <v>[Most Important - Standard Occupational Classification (SOC) 2020]</v>
      </c>
    </row>
    <row r="474" spans="1:31" ht="16" x14ac:dyDescent="0.2">
      <c r="A474">
        <v>100386</v>
      </c>
      <c r="B474" s="11" t="str">
        <f>DataItems3[[#This Row],[Field]]&amp;IF(DataItems3[[#This Row],[Options for supplying the Field]]="",""," "&amp;DataItems3[[#This Row],[Options for supplying the Field]])</f>
        <v>Most important activity</v>
      </c>
      <c r="C474">
        <v>100386</v>
      </c>
      <c r="D474" s="3" t="s">
        <v>146</v>
      </c>
      <c r="F474" s="3" t="s">
        <v>1743</v>
      </c>
      <c r="G474" s="13"/>
      <c r="H474" s="14" t="s">
        <v>93</v>
      </c>
      <c r="J474" s="3">
        <v>1</v>
      </c>
      <c r="K474" s="3">
        <v>3</v>
      </c>
      <c r="L474" s="3">
        <v>0</v>
      </c>
      <c r="M474" s="3">
        <v>0</v>
      </c>
      <c r="N474" s="3" t="s">
        <v>89</v>
      </c>
      <c r="Q474" s="16" t="s">
        <v>93</v>
      </c>
      <c r="R474" s="3" t="s">
        <v>93</v>
      </c>
      <c r="S474" s="16" t="s">
        <v>93</v>
      </c>
      <c r="U474" s="3" t="s">
        <v>93</v>
      </c>
      <c r="V474" s="3" t="s">
        <v>93</v>
      </c>
      <c r="W474" s="57" t="s">
        <v>2926</v>
      </c>
      <c r="X474" t="str">
        <f>DataItems3[[#This Row],[Collection]]&amp;DataItems3[[#This Row],[Field]]&amp;DataItems3[[#This Row],[Options for supplying the Field]]&amp;DataItems3[[#This Row],[Fieldname]]&amp;DataItems3[[#This Row],[Parent]]</f>
        <v>DLHEMost important activity</v>
      </c>
      <c r="Y474" s="15">
        <v>43416</v>
      </c>
      <c r="Z474" t="s">
        <v>95</v>
      </c>
      <c r="AA474" s="28" t="str">
        <f t="shared" si="66"/>
        <v/>
      </c>
      <c r="AB474" s="28" t="str">
        <f t="shared" si="74"/>
        <v/>
      </c>
      <c r="AC474" s="28" t="str">
        <f t="shared" si="70"/>
        <v/>
      </c>
      <c r="AD474" s="28" t="str">
        <f t="shared" si="71"/>
        <v/>
      </c>
      <c r="AE474" t="str">
        <f t="shared" si="73"/>
        <v>[Most important activity]</v>
      </c>
    </row>
    <row r="475" spans="1:31" ht="16" x14ac:dyDescent="0.2">
      <c r="A475">
        <v>100388</v>
      </c>
      <c r="B475" s="11" t="str">
        <f>DataItems3[[#This Row],[Field]]&amp;IF(DataItems3[[#This Row],[Options for supplying the Field]]="",""," "&amp;DataItems3[[#This Row],[Options for supplying the Field]])</f>
        <v>Multiple jobs [MULTIJOB]</v>
      </c>
      <c r="C475">
        <v>100388</v>
      </c>
      <c r="D475" s="3" t="s">
        <v>151</v>
      </c>
      <c r="F475" s="3" t="s">
        <v>1744</v>
      </c>
      <c r="G475" s="13" t="s">
        <v>1745</v>
      </c>
      <c r="H475" s="3" t="s">
        <v>1746</v>
      </c>
      <c r="J475" s="3">
        <v>2</v>
      </c>
      <c r="K475" s="3">
        <v>2</v>
      </c>
      <c r="L475" s="3">
        <v>0</v>
      </c>
      <c r="M475" s="3">
        <v>0</v>
      </c>
      <c r="P475" s="3" t="s">
        <v>874</v>
      </c>
      <c r="Q475" s="16" t="s">
        <v>1747</v>
      </c>
      <c r="R475" s="3" t="s">
        <v>93</v>
      </c>
      <c r="S475" s="16" t="s">
        <v>1748</v>
      </c>
      <c r="U475" s="3" t="s">
        <v>1746</v>
      </c>
      <c r="V475" s="3" t="s">
        <v>93</v>
      </c>
      <c r="W475" s="57" t="s">
        <v>2909</v>
      </c>
      <c r="X475" t="str">
        <f>DataItems3[[#This Row],[Collection]]&amp;DataItems3[[#This Row],[Field]]&amp;DataItems3[[#This Row],[Options for supplying the Field]]&amp;DataItems3[[#This Row],[Fieldname]]&amp;DataItems3[[#This Row],[Parent]]</f>
        <v>Graduate OutcomesMultiple jobs[MULTIJOB]MULTIJOBProvider &gt; Graduate &gt; Employment:</v>
      </c>
      <c r="Y475" s="15">
        <v>43550</v>
      </c>
      <c r="Z475" t="s">
        <v>159</v>
      </c>
      <c r="AA475" s="28" t="str">
        <f t="shared" si="66"/>
        <v>CASE WHEN ISNULL(g.ZRESPSTATUS, '02')='02' OR ISNULL(g.XACTIVITY, '99')='99' THEN 'Not in GO publication population' else IIF(isnull(g.MULTIJOB,'')='','N/A',g.MULTIJOB) end</v>
      </c>
      <c r="AB475" s="28" t="str">
        <f>IF(S475="","",IF(IFERROR(SEARCH("select",S475)&gt;0,0),IF(U475="",IF(MID(S475,SEARCH(H475,S475)-4,1)=" ",MID(S475,SEARCH(H475,S475)-2,LEN(O484)+2),MID(S475,SEARCH(H475,S475)-3,LEN(H475)+3)),U475&amp;"."&amp;H475),S475))</f>
        <v>CASE WHEN ISNULL(g.ZRESPSTATUS, '02')='02' OR ISNULL(g.XACTIVITY, '99')='99' THEN 'Not in GO publication population' else IIF(isnull(g.MULTIJOB,'')='','N/A',MULTIJOB.label) end</v>
      </c>
      <c r="AC475" s="28" t="str">
        <f t="shared" si="70"/>
        <v/>
      </c>
      <c r="AD475" s="28" t="str">
        <f t="shared" si="71"/>
        <v/>
      </c>
      <c r="AE475" t="str">
        <f t="shared" si="73"/>
        <v>[Multiple jobs]</v>
      </c>
    </row>
    <row r="476" spans="1:31" ht="16" x14ac:dyDescent="0.2">
      <c r="A476">
        <v>100889</v>
      </c>
      <c r="B476" s="29" t="str">
        <f>DataItems3[[#This Row],[Field]]&amp;IF(DataItems3[[#This Row],[Options for supplying the Field]]="",""," "&amp;DataItems3[[#This Row],[Options for supplying the Field]])</f>
        <v>National identity 1 - Welsh providers only (Staff)</v>
      </c>
      <c r="C476">
        <v>100889</v>
      </c>
      <c r="D476" s="3" t="s">
        <v>100</v>
      </c>
      <c r="F476" s="3" t="s">
        <v>3097</v>
      </c>
      <c r="G476" s="13" t="s">
        <v>327</v>
      </c>
      <c r="H476" s="13" t="s">
        <v>3098</v>
      </c>
      <c r="I476" s="13"/>
      <c r="J476" s="3">
        <v>2</v>
      </c>
      <c r="K476" s="3">
        <v>2</v>
      </c>
      <c r="L476" s="3">
        <v>1</v>
      </c>
      <c r="M476" s="3">
        <v>2</v>
      </c>
      <c r="Q476" s="16" t="s">
        <v>3099</v>
      </c>
      <c r="S476" s="16" t="s">
        <v>3100</v>
      </c>
      <c r="U476" s="3" t="s">
        <v>3101</v>
      </c>
      <c r="W476" s="57" t="s">
        <v>150</v>
      </c>
      <c r="X476" t="str">
        <f>DataItems3[[#This Row],[Collection]]&amp;DataItems3[[#This Row],[Field]]&amp;DataItems3[[#This Row],[Options for supplying the Field]]&amp;DataItems3[[#This Row],[Fieldname]]&amp;DataItems3[[#This Row],[Parent]]</f>
        <v>StaffNational identity 1 - Welsh providers only(Staff)F_NATID1</v>
      </c>
      <c r="Y476" s="4">
        <v>44853</v>
      </c>
      <c r="Z476" t="s">
        <v>2875</v>
      </c>
      <c r="AA476" s="28" t="str">
        <f t="shared" si="66"/>
        <v>CASE WHEN cc.DW_FromDate &gt;= 20210801 THEN 'N/A' WHEN p.F_XINSTC01 != 'W' THEN 'NA' WHEN ISNULL(p.F_NATID1, 'U') IN ('U', 'R', 'N', '', ' ') THEN 'U' ELSE ISNULL(p.F_NATID1, 'U') END</v>
      </c>
      <c r="AB476" s="28" t="str">
        <f>IF(S476="","",IF(IFERROR(SEARCH("select",S476)&gt;0,0),IF(U476="",IF(MID(S476,SEARCH(H476,S476)-4,1)=" ",MID(S476,SEARCH(H476,S476)-2,LEN(O504)+2),MID(S476,SEARCH(H476,S476)-3,LEN(H476)+3)),U476&amp;"."&amp;H476),S476))</f>
        <v>CASE WHEN cc.DW_FromDate &gt;= 20210801 THEN 'Not applicable (2021/22 onwards)' WHEN p.F_XINSTC01 != 'W' THEN 'Not applicable (not at Welsh provider)' WHEN ISNULL(p.F_NATID1, 'U') IN ('U', 'R', 'N', '', ' ') THEN 'Unknown' ELSE natid1.DW_CurrentLabel END</v>
      </c>
      <c r="AC476" s="28" t="str">
        <f t="shared" si="70"/>
        <v/>
      </c>
      <c r="AD476" s="28" t="str">
        <f t="shared" si="71"/>
        <v/>
      </c>
      <c r="AE476" t="str">
        <f t="shared" si="73"/>
        <v>[National identity 1 - Welsh providers only]</v>
      </c>
    </row>
    <row r="477" spans="1:31" ht="16" x14ac:dyDescent="0.2">
      <c r="A477">
        <v>100890</v>
      </c>
      <c r="B477" s="29" t="str">
        <f>DataItems3[[#This Row],[Field]]&amp;IF(DataItems3[[#This Row],[Options for supplying the Field]]="",""," "&amp;DataItems3[[#This Row],[Options for supplying the Field]])</f>
        <v>National identity 2 - Welsh providers only (Staff)</v>
      </c>
      <c r="C477">
        <v>100890</v>
      </c>
      <c r="D477" s="3" t="s">
        <v>100</v>
      </c>
      <c r="F477" s="3" t="s">
        <v>3102</v>
      </c>
      <c r="G477" s="13" t="s">
        <v>327</v>
      </c>
      <c r="H477" s="13" t="s">
        <v>3103</v>
      </c>
      <c r="I477" s="13"/>
      <c r="J477" s="3">
        <v>0</v>
      </c>
      <c r="K477" s="3">
        <v>0</v>
      </c>
      <c r="L477" s="3">
        <v>0</v>
      </c>
      <c r="M477" s="3">
        <v>0</v>
      </c>
      <c r="Q477" s="16" t="s">
        <v>3104</v>
      </c>
      <c r="S477" s="16" t="s">
        <v>3105</v>
      </c>
      <c r="U477" s="3" t="s">
        <v>3106</v>
      </c>
      <c r="W477" s="57" t="s">
        <v>150</v>
      </c>
      <c r="X477" t="str">
        <f>DataItems3[[#This Row],[Collection]]&amp;DataItems3[[#This Row],[Field]]&amp;DataItems3[[#This Row],[Options for supplying the Field]]&amp;DataItems3[[#This Row],[Fieldname]]&amp;DataItems3[[#This Row],[Parent]]</f>
        <v>StaffNational identity 2 - Welsh providers only(Staff)F_NATID2</v>
      </c>
      <c r="Y477" s="4">
        <v>44853</v>
      </c>
      <c r="Z477" t="s">
        <v>2875</v>
      </c>
      <c r="AA477" s="28" t="str">
        <f t="shared" si="66"/>
        <v>CASE WHEN cc.DW_FromDate &gt;= 20210801 THEN 'N/A' WHEN p.F_XINSTC01 != 'W' THEN 'NA' WHEN ISNULL(p.F_NATID2, 'U') IN ('U', 'R', 'N', '', ' ') THEN 'U' ELSE ISNULL(p.F_NATID2, 'U') END</v>
      </c>
      <c r="AB477" s="28" t="str">
        <f>IF(S477="","",IF(IFERROR(SEARCH("select",S477)&gt;0,0),IF(U477="",IF(MID(S477,SEARCH(H477,S477)-4,1)=" ",MID(S477,SEARCH(H477,S477)-2,LEN(O504)+2),MID(S477,SEARCH(H477,S477)-3,LEN(H477)+3)),U477&amp;"."&amp;H477),S477))</f>
        <v>CASE WHEN cc.DW_FromDate &gt;= 20210801 THEN 'Not applicable (2021/22 onwards)' WHEN p.F_XINSTC01 != 'W' THEN 'Not applicable (not at Welsh provider)' WHEN ISNULL(p.F_NATID2, 'U') IN ('U', 'R', 'N', '', ' ') THEN 'Unknown' ELSE natid2.DW_CurrentLabel END</v>
      </c>
      <c r="AC477" s="28" t="str">
        <f t="shared" si="70"/>
        <v/>
      </c>
      <c r="AD477" s="28" t="str">
        <f t="shared" si="71"/>
        <v/>
      </c>
      <c r="AE477" t="str">
        <f t="shared" si="73"/>
        <v>[National identity 2 - Welsh providers only]</v>
      </c>
    </row>
    <row r="478" spans="1:31" ht="16" x14ac:dyDescent="0.2">
      <c r="A478">
        <v>100390</v>
      </c>
      <c r="B478" s="11" t="str">
        <f>DataItems3[[#This Row],[Field]]&amp;IF(DataItems3[[#This Row],[Options for supplying the Field]]="",""," "&amp;DataItems3[[#This Row],[Options for supplying the Field]])</f>
        <v>Nationality (Full)</v>
      </c>
      <c r="C478">
        <v>100390</v>
      </c>
      <c r="D478" s="3" t="s">
        <v>86</v>
      </c>
      <c r="E478" s="3" t="s">
        <v>106</v>
      </c>
      <c r="F478" s="3" t="s">
        <v>1749</v>
      </c>
      <c r="G478" s="13" t="s">
        <v>277</v>
      </c>
      <c r="H478" s="14" t="s">
        <v>1750</v>
      </c>
      <c r="J478" s="3">
        <v>1</v>
      </c>
      <c r="K478" s="3">
        <v>4</v>
      </c>
      <c r="L478" s="3">
        <v>4</v>
      </c>
      <c r="M478" s="3">
        <v>2</v>
      </c>
      <c r="N478" s="3" t="s">
        <v>106</v>
      </c>
      <c r="Q478" s="16" t="s">
        <v>1751</v>
      </c>
      <c r="R478" s="16" t="s">
        <v>1751</v>
      </c>
      <c r="S478" s="16" t="s">
        <v>1752</v>
      </c>
      <c r="T478" s="16" t="s">
        <v>1752</v>
      </c>
      <c r="U478" s="3" t="s">
        <v>1753</v>
      </c>
      <c r="V478" s="3" t="s">
        <v>93</v>
      </c>
      <c r="W478" s="57" t="s">
        <v>150</v>
      </c>
      <c r="X478" t="str">
        <f>DataItems3[[#This Row],[Collection]]&amp;DataItems3[[#This Row],[Field]]&amp;DataItems3[[#This Row],[Options for supplying the Field]]&amp;DataItems3[[#This Row],[Fieldname]]&amp;DataItems3[[#This Row],[Parent]]</f>
        <v>StudentNationality(Full)F_NATION</v>
      </c>
      <c r="Y478" s="15">
        <v>43684</v>
      </c>
      <c r="Z478" t="s">
        <v>95</v>
      </c>
      <c r="AA478" s="28" t="str">
        <f t="shared" si="66"/>
        <v>CASE WHEN ISNULL(s.f_nation,'ZZ') IN ('',' ','  ') THEN 'ZZ'   ELSE ISNULL(s.f_nation,'ZZ') END</v>
      </c>
      <c r="AB478" s="28" t="str">
        <f>IF(S478="","",IF(IFERROR(SEARCH("select",S478)&gt;0,0),IF(U478="",IF(MID(S478,SEARCH(H478,S478)-4,1)=" ",MID(S478,SEARCH(H478,S478)-2,LEN(O490)+2),MID(S478,SEARCH(H478,S478)-3,LEN(H478)+3)),U478&amp;"."&amp;H478),S478))</f>
        <v xml:space="preserve">CASE WHEN ISNULL(s.f_nation,'ZZ') IN ('',' ','  ') THEN 'Not Known'   ELSE nat.dw_currentlabel END </v>
      </c>
      <c r="AC478" s="28" t="str">
        <f t="shared" si="70"/>
        <v>CASE WHEN ISNULL(s.f_nation,'ZZ') IN ('',' ','  ') THEN 'ZZ'   ELSE ISNULL(s.f_nation,'ZZ') END</v>
      </c>
      <c r="AD478" s="28" t="str">
        <f t="shared" ref="AD478:AD486" si="75">IF(T478="","",IF(IFERROR(SEARCH("select",T478)&gt;0,0),IF(U478="",IF(MID(T478,SEARCH(H478,T478)-4,1)=" ",MID(T478,SEARCH(H478,T478)-2,LEN(O490)+2),MID(T478,SEARCH(H478,T478)-3,LEN(H478)+3)),U478&amp;"."&amp;H478),T478))</f>
        <v xml:space="preserve">CASE WHEN ISNULL(s.f_nation,'ZZ') IN ('',' ','  ') THEN 'Not Known'   ELSE nat.dw_currentlabel END </v>
      </c>
      <c r="AE478" t="str">
        <f t="shared" si="73"/>
        <v>[Nationality]</v>
      </c>
    </row>
    <row r="479" spans="1:31" ht="80" x14ac:dyDescent="0.2">
      <c r="A479">
        <v>100391</v>
      </c>
      <c r="B479" s="11" t="str">
        <f>DataItems3[[#This Row],[Field]]&amp;IF(DataItems3[[#This Row],[Options for supplying the Field]]="",""," "&amp;DataItems3[[#This Row],[Options for supplying the Field]])</f>
        <v>Nationality (UK (including Guernsey, Jersey and the Isle of Man)/ EU/ Other EEA/ Other Non-EU/ Not known)</v>
      </c>
      <c r="C479">
        <v>100391</v>
      </c>
      <c r="D479" s="3" t="s">
        <v>100</v>
      </c>
      <c r="F479" s="3" t="s">
        <v>1749</v>
      </c>
      <c r="G479" s="13" t="s">
        <v>1754</v>
      </c>
      <c r="H479" s="14" t="s">
        <v>1755</v>
      </c>
      <c r="J479" s="3">
        <v>3</v>
      </c>
      <c r="K479" s="3">
        <v>2</v>
      </c>
      <c r="L479" s="3">
        <v>0</v>
      </c>
      <c r="M479" s="3">
        <v>0</v>
      </c>
      <c r="N479" s="3" t="s">
        <v>89</v>
      </c>
      <c r="Q479" s="16" t="s">
        <v>1756</v>
      </c>
      <c r="R479" s="3" t="s">
        <v>93</v>
      </c>
      <c r="S479" s="16" t="s">
        <v>1757</v>
      </c>
      <c r="U479" s="3" t="s">
        <v>1758</v>
      </c>
      <c r="V479" s="3" t="s">
        <v>93</v>
      </c>
      <c r="W479" s="57" t="s">
        <v>109</v>
      </c>
      <c r="X479" t="str">
        <f>DataItems3[[#This Row],[Collection]]&amp;DataItems3[[#This Row],[Field]]&amp;DataItems3[[#This Row],[Options for supplying the Field]]&amp;DataItems3[[#This Row],[Fieldname]]&amp;DataItems3[[#This Row],[Parent]]</f>
        <v>StaffNationality(UK (including Guernsey, Jersey and the Isle of Man)/ EU/ Other EEA/ Other Non-EU/ Not known)F_XSNAT01</v>
      </c>
      <c r="Y479" s="15">
        <v>43482</v>
      </c>
      <c r="Z479" t="s">
        <v>225</v>
      </c>
      <c r="AA479" s="28" t="str">
        <f t="shared" si="66"/>
        <v>CASE WHEN cc.DW_FromDate &lt;= 20040801 AND p.F_XSNAT01 IN ('2', '3') THEN '2' ELSE p.F_XSNAT01 END</v>
      </c>
      <c r="AB479" s="28" t="str">
        <f>IF(S479="","",IF(IFERROR(SEARCH("select",S479)&gt;0,0),IF(U479="",IF(MID(S479,SEARCH(H479,S479)-4,1)=" ",MID(S479,SEARCH(H479,S479)-2,LEN(#REF!)+2),MID(S479,SEARCH(H479,S479)-3,LEN(H479)+3)),U479&amp;"."&amp;H479),S479))</f>
        <v>CASE WHEN cc.DW_FromDate &lt;= 20040801 AND p.F_XSNAT01 IN ('2', '3') THEN 'European Union countries' ELSE XSNAT01.label END</v>
      </c>
      <c r="AC479" s="28" t="str">
        <f t="shared" si="70"/>
        <v/>
      </c>
      <c r="AD479" s="28" t="str">
        <f t="shared" si="75"/>
        <v/>
      </c>
      <c r="AE479" t="str">
        <f t="shared" si="73"/>
        <v>[Nationality]</v>
      </c>
    </row>
    <row r="480" spans="1:31" ht="16" x14ac:dyDescent="0.2">
      <c r="A480">
        <v>100389</v>
      </c>
      <c r="B480" s="11" t="str">
        <f>DataItems3[[#This Row],[Field]]&amp;IF(DataItems3[[#This Row],[Options for supplying the Field]]="",""," "&amp;DataItems3[[#This Row],[Options for supplying the Field]])</f>
        <v>Nationality (Staff) (Full)</v>
      </c>
      <c r="C480">
        <v>100389</v>
      </c>
      <c r="D480" s="3" t="s">
        <v>100</v>
      </c>
      <c r="F480" s="3" t="s">
        <v>1759</v>
      </c>
      <c r="G480" s="13" t="s">
        <v>277</v>
      </c>
      <c r="H480" s="14" t="s">
        <v>1750</v>
      </c>
      <c r="J480" s="3">
        <v>1</v>
      </c>
      <c r="K480" s="3">
        <v>3</v>
      </c>
      <c r="L480" s="3">
        <v>4</v>
      </c>
      <c r="M480" s="3">
        <v>2</v>
      </c>
      <c r="N480" s="3" t="s">
        <v>106</v>
      </c>
      <c r="Q480" s="16" t="s">
        <v>1760</v>
      </c>
      <c r="R480" s="3" t="s">
        <v>93</v>
      </c>
      <c r="S480" s="16" t="s">
        <v>1761</v>
      </c>
      <c r="U480" s="3" t="s">
        <v>93</v>
      </c>
      <c r="V480" s="3" t="s">
        <v>93</v>
      </c>
      <c r="W480" s="57" t="s">
        <v>150</v>
      </c>
      <c r="X480" t="str">
        <f>DataItems3[[#This Row],[Collection]]&amp;DataItems3[[#This Row],[Field]]&amp;DataItems3[[#This Row],[Options for supplying the Field]]&amp;DataItems3[[#This Row],[Fieldname]]&amp;DataItems3[[#This Row],[Parent]]</f>
        <v>StaffNationality (Staff)(Full)F_NATION</v>
      </c>
      <c r="Y480" s="15">
        <v>43395</v>
      </c>
      <c r="Z480" t="s">
        <v>102</v>
      </c>
      <c r="AA480" s="28" t="str">
        <f t="shared" si="66"/>
        <v>p.f_nation</v>
      </c>
      <c r="AB480" s="28" t="str">
        <f t="shared" ref="AB480:AB486" si="76">IF(S480="","",IF(IFERROR(SEARCH("select",S480)&gt;0,0),IF(U480="",IF(MID(S480,SEARCH(H480,S480)-4,1)=" ",MID(S480,SEARCH(H480,S480)-2,LEN(O491)+2),MID(S480,SEARCH(H480,S480)-3,LEN(H480)+3)),U480&amp;"."&amp;H480),S480))</f>
        <v xml:space="preserve"> p.f_nation</v>
      </c>
      <c r="AC480" s="28" t="str">
        <f t="shared" si="70"/>
        <v/>
      </c>
      <c r="AD480" s="28" t="str">
        <f t="shared" si="75"/>
        <v/>
      </c>
      <c r="AE480" t="str">
        <f t="shared" si="73"/>
        <v>[Nationality (Staff)]</v>
      </c>
    </row>
    <row r="481" spans="1:32" ht="32" x14ac:dyDescent="0.2">
      <c r="A481">
        <v>100392</v>
      </c>
      <c r="B481" s="11" t="str">
        <f>DataItems3[[#This Row],[Field]]&amp;IF(DataItems3[[#This Row],[Options for supplying the Field]]="",""," "&amp;DataItems3[[#This Row],[Options for supplying the Field]])</f>
        <v>Nationality (Staff) (UK/ EU/ Non-EU/ Unknown)</v>
      </c>
      <c r="C481">
        <v>100392</v>
      </c>
      <c r="D481" s="3" t="s">
        <v>100</v>
      </c>
      <c r="F481" s="3" t="s">
        <v>1759</v>
      </c>
      <c r="G481" s="13" t="s">
        <v>1762</v>
      </c>
      <c r="H481" s="14" t="s">
        <v>1755</v>
      </c>
      <c r="J481" s="3">
        <v>1</v>
      </c>
      <c r="K481" s="3">
        <v>2</v>
      </c>
      <c r="L481" s="3">
        <v>0</v>
      </c>
      <c r="M481" s="3">
        <v>0</v>
      </c>
      <c r="N481" s="3" t="s">
        <v>106</v>
      </c>
      <c r="Q481" s="16" t="s">
        <v>1763</v>
      </c>
      <c r="R481" s="3" t="s">
        <v>93</v>
      </c>
      <c r="S481" s="16" t="s">
        <v>1764</v>
      </c>
      <c r="U481" s="3" t="s">
        <v>1758</v>
      </c>
      <c r="V481" s="3" t="s">
        <v>93</v>
      </c>
      <c r="W481" s="57" t="s">
        <v>114</v>
      </c>
      <c r="X481" t="str">
        <f>DataItems3[[#This Row],[Collection]]&amp;DataItems3[[#This Row],[Field]]&amp;DataItems3[[#This Row],[Options for supplying the Field]]&amp;DataItems3[[#This Row],[Fieldname]]&amp;DataItems3[[#This Row],[Parent]]</f>
        <v>StaffNationality (Staff)(UK/ EU/ Non-EU/ Unknown)F_XSNAT01</v>
      </c>
      <c r="Y481" s="15">
        <v>43395</v>
      </c>
      <c r="Z481" t="s">
        <v>102</v>
      </c>
      <c r="AA481" s="28" t="str">
        <f t="shared" si="66"/>
        <v>case when P.F_XSNAT01 in ('5','4') then 'Non-EU' else cast(P.F_XSNAT01 AS VARCHAR) end</v>
      </c>
      <c r="AB481" s="28" t="str">
        <f t="shared" si="76"/>
        <v>case when P.F_XSNAT01 in ('5','4') then 'Non-EU' else XSNAT01.dw_currentlabel end</v>
      </c>
      <c r="AC481" s="28" t="str">
        <f t="shared" si="70"/>
        <v/>
      </c>
      <c r="AD481" s="28" t="str">
        <f t="shared" si="75"/>
        <v/>
      </c>
      <c r="AE481" t="str">
        <f t="shared" si="73"/>
        <v>[Nationality (Staff)]</v>
      </c>
    </row>
    <row r="482" spans="1:32" ht="32" x14ac:dyDescent="0.2">
      <c r="A482">
        <v>100393</v>
      </c>
      <c r="B482" s="11" t="str">
        <f>DataItems3[[#This Row],[Field]]&amp;IF(DataItems3[[#This Row],[Options for supplying the Field]]="",""," "&amp;DataItems3[[#This Row],[Options for supplying the Field]])</f>
        <v>Nationality⁽¹⁾ (UK/ EU/ Non-EU/ Unknown)</v>
      </c>
      <c r="C482">
        <v>100393</v>
      </c>
      <c r="D482" s="3" t="s">
        <v>86</v>
      </c>
      <c r="F482" s="3" t="str">
        <f>"Nationality"&amp;"⁽"&amp;CHAR(185)&amp;"⁾"</f>
        <v>Nationality⁽¹⁾</v>
      </c>
      <c r="G482" s="13" t="s">
        <v>1762</v>
      </c>
      <c r="H482" s="14" t="s">
        <v>1765</v>
      </c>
      <c r="J482" s="3">
        <v>1</v>
      </c>
      <c r="K482" s="3">
        <v>1</v>
      </c>
      <c r="L482" s="3">
        <v>0</v>
      </c>
      <c r="M482" s="3">
        <v>0</v>
      </c>
      <c r="N482" s="3" t="s">
        <v>106</v>
      </c>
      <c r="Q482" s="16" t="s">
        <v>1766</v>
      </c>
      <c r="R482" s="3" t="s">
        <v>91</v>
      </c>
      <c r="S482" s="16" t="s">
        <v>1767</v>
      </c>
      <c r="U482" s="3" t="s">
        <v>93</v>
      </c>
      <c r="V482" s="3" t="s">
        <v>93</v>
      </c>
      <c r="W482" s="57" t="s">
        <v>549</v>
      </c>
      <c r="X482" t="str">
        <f>DataItems3[[#This Row],[Collection]]&amp;DataItems3[[#This Row],[Field]]&amp;DataItems3[[#This Row],[Options for supplying the Field]]&amp;DataItems3[[#This Row],[Fieldname]]&amp;DataItems3[[#This Row],[Parent]]</f>
        <v>StudentNationality⁽¹⁾(UK/ EU/ Non-EU/ Unknown)F_XNATGR01</v>
      </c>
      <c r="Y482" s="15">
        <v>43684</v>
      </c>
      <c r="Z482" t="s">
        <v>95</v>
      </c>
      <c r="AA482" s="28" t="str">
        <f t="shared" ref="AA482:AA545" si="77">IF(Q482="","",Q482)</f>
        <v>IIF(s.F_XNATGR01 IN ('GRGB', 'GREU', 'GRZZ'), s.F_XNATGR01, 'Non-EU')</v>
      </c>
      <c r="AB482" s="28" t="str">
        <f t="shared" si="76"/>
        <v>case when s.f_xnatgr01 ='GRGB' then 'UK' when s.f_xnatgr01='GREU' then 'EU' when s.f_xnatgr01 in ('GRAF' ,'GRAS','GRAU','GRME','GRNA','GROE','GRSA') then 'Non-EU' else 'Unknown' end</v>
      </c>
      <c r="AC482" s="28" t="str">
        <f t="shared" si="70"/>
        <v xml:space="preserve"> </v>
      </c>
      <c r="AD482" s="28" t="str">
        <f t="shared" si="75"/>
        <v/>
      </c>
      <c r="AE482" t="str">
        <f t="shared" si="73"/>
        <v>[Nationality]</v>
      </c>
    </row>
    <row r="483" spans="1:32" ht="16" x14ac:dyDescent="0.2">
      <c r="A483">
        <v>100394</v>
      </c>
      <c r="B483" s="11" t="str">
        <f>DataItems3[[#This Row],[Field]]&amp;IF(DataItems3[[#This Row],[Options for supplying the Field]]="",""," "&amp;DataItems3[[#This Row],[Options for supplying the Field]])</f>
        <v>Nationality⁽¹⁾ (UK/ Other/ Unknown)</v>
      </c>
      <c r="C483">
        <v>100394</v>
      </c>
      <c r="D483" s="3" t="s">
        <v>86</v>
      </c>
      <c r="F483" s="3" t="str">
        <f>"Nationality"&amp;"⁽"&amp;CHAR(185)&amp;"⁾"</f>
        <v>Nationality⁽¹⁾</v>
      </c>
      <c r="G483" s="13" t="s">
        <v>864</v>
      </c>
      <c r="H483" s="14" t="s">
        <v>1765</v>
      </c>
      <c r="J483" s="3">
        <v>2</v>
      </c>
      <c r="K483" s="3">
        <v>1</v>
      </c>
      <c r="L483" s="3">
        <v>0</v>
      </c>
      <c r="M483" s="3">
        <v>0</v>
      </c>
      <c r="Q483" s="16" t="s">
        <v>1768</v>
      </c>
      <c r="R483" s="3" t="s">
        <v>91</v>
      </c>
      <c r="S483" s="16" t="s">
        <v>1769</v>
      </c>
      <c r="U483" s="3" t="s">
        <v>93</v>
      </c>
      <c r="V483" s="3" t="s">
        <v>93</v>
      </c>
      <c r="W483" s="57" t="s">
        <v>997</v>
      </c>
      <c r="X483" t="str">
        <f>DataItems3[[#This Row],[Collection]]&amp;DataItems3[[#This Row],[Field]]&amp;DataItems3[[#This Row],[Options for supplying the Field]]&amp;DataItems3[[#This Row],[Fieldname]]&amp;DataItems3[[#This Row],[Parent]]</f>
        <v>StudentNationality⁽¹⁾(UK/ Other/ Unknown)F_XNATGR01</v>
      </c>
      <c r="Y483" s="15">
        <v>43861</v>
      </c>
      <c r="Z483" t="s">
        <v>577</v>
      </c>
      <c r="AA483" s="28" t="str">
        <f t="shared" si="77"/>
        <v>IIF(s.F_XNATGR01 IN ('GRGB', 'GRZZ'), s.F_XNATGR01, 'Other')</v>
      </c>
      <c r="AB483" s="28" t="str">
        <f t="shared" si="76"/>
        <v>case when s.f_xnatgr01 ='GRGB' then 'UK' when s.f_xnatgr01 in ('GRZZ') then 'Unknown' else 'Other' end</v>
      </c>
      <c r="AC483" s="28" t="str">
        <f t="shared" si="70"/>
        <v xml:space="preserve"> </v>
      </c>
      <c r="AD483" s="28" t="str">
        <f t="shared" si="75"/>
        <v/>
      </c>
      <c r="AE483" t="str">
        <f t="shared" si="73"/>
        <v>[Nationality]</v>
      </c>
    </row>
    <row r="484" spans="1:32" ht="16" x14ac:dyDescent="0.2">
      <c r="A484">
        <v>100395</v>
      </c>
      <c r="B484" s="11" t="str">
        <f>DataItems3[[#This Row],[Field]]&amp;IF(DataItems3[[#This Row],[Options for supplying the Field]]="",""," "&amp;DataItems3[[#This Row],[Options for supplying the Field]])</f>
        <v>Nature of employers business</v>
      </c>
      <c r="C484">
        <v>100395</v>
      </c>
      <c r="D484" s="3" t="s">
        <v>146</v>
      </c>
      <c r="F484" s="3" t="s">
        <v>1770</v>
      </c>
      <c r="G484" s="13"/>
      <c r="H484" s="14" t="s">
        <v>93</v>
      </c>
      <c r="J484" s="3">
        <v>2</v>
      </c>
      <c r="K484" s="3">
        <v>3</v>
      </c>
      <c r="L484" s="3">
        <v>2</v>
      </c>
      <c r="M484" s="3">
        <v>0</v>
      </c>
      <c r="N484" s="3" t="s">
        <v>89</v>
      </c>
      <c r="Q484" s="16" t="s">
        <v>93</v>
      </c>
      <c r="R484" s="3" t="s">
        <v>93</v>
      </c>
      <c r="S484" s="16" t="s">
        <v>93</v>
      </c>
      <c r="U484" s="3" t="s">
        <v>93</v>
      </c>
      <c r="V484" s="3" t="s">
        <v>93</v>
      </c>
      <c r="W484" s="57" t="s">
        <v>2926</v>
      </c>
      <c r="X484" t="str">
        <f>DataItems3[[#This Row],[Collection]]&amp;DataItems3[[#This Row],[Field]]&amp;DataItems3[[#This Row],[Options for supplying the Field]]&amp;DataItems3[[#This Row],[Fieldname]]&amp;DataItems3[[#This Row],[Parent]]</f>
        <v>DLHENature of employers business</v>
      </c>
      <c r="Y484" s="15">
        <v>43416</v>
      </c>
      <c r="Z484" t="s">
        <v>95</v>
      </c>
      <c r="AA484" s="28" t="str">
        <f t="shared" si="77"/>
        <v/>
      </c>
      <c r="AB484" s="28" t="str">
        <f t="shared" si="76"/>
        <v/>
      </c>
      <c r="AC484" s="28" t="str">
        <f t="shared" si="70"/>
        <v/>
      </c>
      <c r="AD484" s="28" t="str">
        <f t="shared" si="75"/>
        <v/>
      </c>
      <c r="AE484" t="str">
        <f t="shared" si="73"/>
        <v>[Nature of employers business]</v>
      </c>
    </row>
    <row r="485" spans="1:32" ht="16" x14ac:dyDescent="0.2">
      <c r="A485">
        <v>100396</v>
      </c>
      <c r="B485" s="11" t="str">
        <f>DataItems3[[#This Row],[Field]]&amp;IF(DataItems3[[#This Row],[Options for supplying the Field]]="",""," "&amp;DataItems3[[#This Row],[Options for supplying the Field]])</f>
        <v>New contract marker</v>
      </c>
      <c r="C485">
        <v>100396</v>
      </c>
      <c r="D485" s="3" t="s">
        <v>100</v>
      </c>
      <c r="F485" s="3" t="s">
        <v>1771</v>
      </c>
      <c r="G485" s="13"/>
      <c r="H485" s="14" t="s">
        <v>1772</v>
      </c>
      <c r="J485" s="3">
        <v>1</v>
      </c>
      <c r="K485" s="3">
        <v>1</v>
      </c>
      <c r="L485" s="3">
        <v>0</v>
      </c>
      <c r="M485" s="3">
        <v>0</v>
      </c>
      <c r="N485" s="3" t="s">
        <v>89</v>
      </c>
      <c r="Q485" s="16" t="s">
        <v>1773</v>
      </c>
      <c r="R485" s="3" t="s">
        <v>93</v>
      </c>
      <c r="S485" s="16" t="s">
        <v>1773</v>
      </c>
      <c r="U485" s="3" t="s">
        <v>1774</v>
      </c>
      <c r="V485" s="3" t="s">
        <v>93</v>
      </c>
      <c r="W485" s="57" t="s">
        <v>114</v>
      </c>
      <c r="X485" t="str">
        <f>DataItems3[[#This Row],[Collection]]&amp;DataItems3[[#This Row],[Field]]&amp;DataItems3[[#This Row],[Options for supplying the Field]]&amp;DataItems3[[#This Row],[Fieldname]]&amp;DataItems3[[#This Row],[Parent]]</f>
        <v>StaffNew contract markerf_zacstar02_per</v>
      </c>
      <c r="Y485" s="15">
        <v>43441</v>
      </c>
      <c r="Z485" t="s">
        <v>95</v>
      </c>
      <c r="AA485" s="28" t="str">
        <f t="shared" si="77"/>
        <v>cast(pd.f_zacstar02_per as varchar)</v>
      </c>
      <c r="AB485" s="28" t="str">
        <f t="shared" si="76"/>
        <v>cast(pd.f_zacstar02_per as varchar)</v>
      </c>
      <c r="AC485" s="28" t="str">
        <f t="shared" si="70"/>
        <v/>
      </c>
      <c r="AD485" s="28" t="str">
        <f t="shared" si="75"/>
        <v/>
      </c>
      <c r="AE485" t="str">
        <f t="shared" si="73"/>
        <v>[New contract marker]</v>
      </c>
    </row>
    <row r="486" spans="1:32" ht="16" x14ac:dyDescent="0.2">
      <c r="A486">
        <v>100398</v>
      </c>
      <c r="B486" s="11" t="str">
        <f>DataItems3[[#This Row],[Field]]&amp;IF(DataItems3[[#This Row],[Options for supplying the Field]]="",""," "&amp;DataItems3[[#This Row],[Options for supplying the Field]])</f>
        <v>New tariff⁽¹⁾ (Full)</v>
      </c>
      <c r="C486">
        <v>100398</v>
      </c>
      <c r="D486" s="3" t="s">
        <v>86</v>
      </c>
      <c r="E486" s="3" t="s">
        <v>106</v>
      </c>
      <c r="F486" s="3" t="str">
        <f>"New tariff"&amp;"⁽"&amp;CHAR(185)&amp;"⁾"</f>
        <v>New tariff⁽¹⁾</v>
      </c>
      <c r="G486" s="13" t="s">
        <v>277</v>
      </c>
      <c r="H486" s="14" t="s">
        <v>1775</v>
      </c>
      <c r="J486" s="3">
        <v>5</v>
      </c>
      <c r="K486" s="3">
        <v>4</v>
      </c>
      <c r="L486" s="3">
        <v>3</v>
      </c>
      <c r="M486" s="3">
        <v>1</v>
      </c>
      <c r="N486" s="3" t="s">
        <v>89</v>
      </c>
      <c r="Q486" s="16" t="s">
        <v>1776</v>
      </c>
      <c r="R486" s="16" t="s">
        <v>1776</v>
      </c>
      <c r="S486" s="16" t="s">
        <v>1776</v>
      </c>
      <c r="T486" s="16" t="s">
        <v>1776</v>
      </c>
      <c r="U486" s="3" t="s">
        <v>93</v>
      </c>
      <c r="V486" s="3" t="s">
        <v>93</v>
      </c>
      <c r="W486" s="57" t="s">
        <v>114</v>
      </c>
      <c r="X486" t="str">
        <f>DataItems3[[#This Row],[Collection]]&amp;DataItems3[[#This Row],[Field]]&amp;DataItems3[[#This Row],[Options for supplying the Field]]&amp;DataItems3[[#This Row],[Fieldname]]&amp;DataItems3[[#This Row],[Parent]]</f>
        <v xml:space="preserve">StudentNew tariff⁽¹⁾(Full)F_XTPOINTS </v>
      </c>
      <c r="Y486" s="15">
        <v>43434</v>
      </c>
      <c r="Z486" t="s">
        <v>95</v>
      </c>
      <c r="AA486" s="28" t="str">
        <f t="shared" si="77"/>
        <v>CASE when s.dw_fromdate &lt; 20170801 then 'Not applicable before 2017/18' WHEN s.f_qualent3 in ('P41','P42','P46','P47','P50','P51','P53','P54','P62','P63','P64','P65','P68','P80','P91','P93','P94','X00','X01') THEN  CASE WHEN s.f_xtpoints IN (0) THEN 'Unknown' ELSE cast(s.f_xtpoints as varchar) END ELSE 'Not applicable' END</v>
      </c>
      <c r="AB486" s="28" t="str">
        <f t="shared" si="76"/>
        <v>CASE when s.dw_fromdate &lt; 20170801 then 'Not applicable before 2017/18' WHEN s.f_qualent3 in ('P41','P42','P46','P47','P50','P51','P53','P54','P62','P63','P64','P65','P68','P80','P91','P93','P94','X00','X01') THEN  CASE WHEN s.f_xtpoints IN (0) THEN 'Unknown' ELSE cast(s.f_xtpoints as varchar) END ELSE 'Not applicable' END</v>
      </c>
      <c r="AC486" s="28" t="str">
        <f t="shared" si="70"/>
        <v>CASE when s.dw_fromdate &lt; 20170801 then 'Not applicable before 2017/18' WHEN s.f_qualent3 in ('P41','P42','P46','P47','P50','P51','P53','P54','P62','P63','P64','P65','P68','P80','P91','P93','P94','X00','X01') THEN  CASE WHEN s.f_xtpoints IN (0) THEN 'Unknown' ELSE cast(s.f_xtpoints as varchar) END ELSE 'Not applicable' END</v>
      </c>
      <c r="AD486" s="28" t="str">
        <f t="shared" si="75"/>
        <v>CASE when s.dw_fromdate &lt; 20170801 then 'Not applicable before 2017/18' WHEN s.f_qualent3 in ('P41','P42','P46','P47','P50','P51','P53','P54','P62','P63','P64','P65','P68','P80','P91','P93','P94','X00','X01') THEN  CASE WHEN s.f_xtpoints IN (0) THEN 'Unknown' ELSE cast(s.f_xtpoints as varchar) END ELSE 'Not applicable' END</v>
      </c>
      <c r="AE486" t="str">
        <f t="shared" si="73"/>
        <v>[New tariff]</v>
      </c>
      <c r="AF486">
        <v>100985</v>
      </c>
    </row>
    <row r="487" spans="1:32" ht="16" x14ac:dyDescent="0.2">
      <c r="A487">
        <v>101012</v>
      </c>
      <c r="B487" s="11" t="str">
        <f>DataItems3[[#This Row],[Field]]&amp;IF(DataItems3[[#This Row],[Options for supplying the Field]]="",""," "&amp;DataItems3[[#This Row],[Options for supplying the Field]])</f>
        <v>Subject of Study (CAH1)  (DF)</v>
      </c>
      <c r="C487">
        <v>101012</v>
      </c>
      <c r="D487" s="3" t="s">
        <v>2992</v>
      </c>
      <c r="F487" s="58" t="s">
        <v>3107</v>
      </c>
      <c r="G487" s="13" t="s">
        <v>2994</v>
      </c>
      <c r="H487" s="58" t="s">
        <v>3108</v>
      </c>
      <c r="J487" s="64">
        <v>3</v>
      </c>
      <c r="K487" s="64">
        <v>3</v>
      </c>
      <c r="L487" s="64">
        <v>0</v>
      </c>
      <c r="M487" s="64">
        <v>0</v>
      </c>
      <c r="Q487" s="16" t="s">
        <v>3109</v>
      </c>
      <c r="R487" s="16"/>
      <c r="S487" s="16" t="s">
        <v>3109</v>
      </c>
      <c r="T487" s="16"/>
      <c r="W487" s="57"/>
      <c r="X487" t="str">
        <f>DataItems3[[#This Row],[Collection]]&amp;DataItems3[[#This Row],[Field]]&amp;DataItems3[[#This Row],[Options for supplying the Field]]&amp;DataItems3[[#This Row],[Fieldname]]&amp;DataItems3[[#This Row],[Parent]]</f>
        <v>Data FuturesSubject of Study (CAH1) (DF)Z_SUBJCAHGRP1</v>
      </c>
      <c r="Y487" s="4">
        <v>45190</v>
      </c>
      <c r="Z487" t="s">
        <v>2463</v>
      </c>
      <c r="AA487" s="28" t="str">
        <f t="shared" si="77"/>
        <v>IIF(dfsj.Z_SUBJCAHGRP3='CAH26-01-03','CAH26-01-03',dfsj.Z_SUBJCAHGRP1)</v>
      </c>
      <c r="AB487" s="28" t="str">
        <f>IF(S487="","",IF(IFERROR(SEARCH("select",S487)&gt;0,0),IF(U487="",IF(MID(S487,SEARCH(H487,S487)-4,1)=" ",MID(S487,SEARCH(H487,S487)-2,LEN(O496)+2),MID(S487,SEARCH(H487,S487)-3,LEN(H487)+3)),U487&amp;"."&amp;H487),S487))</f>
        <v>IIF(dfsj.Z_SUBJCAHGRP3='CAH26-01-03','CAH26-01-03',dfsj.Z_SUBJCAHGRP1)</v>
      </c>
      <c r="AC487" s="28" t="str">
        <f>IF(T487="","",T487)</f>
        <v/>
      </c>
      <c r="AD487" s="28" t="str">
        <f t="shared" ref="AD487:AD500" si="78">IF(T487="","",IF(IFERROR(SEARCH("select",T487)&gt;0,0),IF(U487="",IF(MID(T487,SEARCH(H487,T487)-4,1)=" ",MID(T487,SEARCH(H487,T487)-2,LEN(O496)+2),MID(T487,SEARCH(H487,T487)-3,LEN(H487)+3)),U487&amp;"."&amp;H487),T487))</f>
        <v/>
      </c>
      <c r="AE487" t="str">
        <f t="shared" si="73"/>
        <v>[Subject of Study (CAH1) ]</v>
      </c>
    </row>
    <row r="488" spans="1:32" ht="16" x14ac:dyDescent="0.2">
      <c r="A488">
        <v>101011</v>
      </c>
      <c r="B488" s="11" t="str">
        <f>DataItems3[[#This Row],[Field]]&amp;IF(DataItems3[[#This Row],[Options for supplying the Field]]="",""," "&amp;DataItems3[[#This Row],[Options for supplying the Field]])</f>
        <v>Subject of Study (CAH2)  (DF)</v>
      </c>
      <c r="C488">
        <v>101011</v>
      </c>
      <c r="D488" s="3" t="s">
        <v>2992</v>
      </c>
      <c r="F488" s="58" t="s">
        <v>3110</v>
      </c>
      <c r="G488" s="13" t="s">
        <v>2994</v>
      </c>
      <c r="H488" s="58" t="s">
        <v>3111</v>
      </c>
      <c r="J488" s="64">
        <v>3</v>
      </c>
      <c r="K488" s="64">
        <v>4</v>
      </c>
      <c r="L488" s="64">
        <v>0</v>
      </c>
      <c r="M488" s="64">
        <v>0</v>
      </c>
      <c r="Q488" s="16" t="s">
        <v>3112</v>
      </c>
      <c r="R488" s="16"/>
      <c r="S488" s="16" t="s">
        <v>3112</v>
      </c>
      <c r="T488" s="16"/>
      <c r="W488" s="57"/>
      <c r="X488" t="str">
        <f>DataItems3[[#This Row],[Collection]]&amp;DataItems3[[#This Row],[Field]]&amp;DataItems3[[#This Row],[Options for supplying the Field]]&amp;DataItems3[[#This Row],[Fieldname]]&amp;DataItems3[[#This Row],[Parent]]</f>
        <v>Data FuturesSubject of Study (CAH2) (DF)Z_SUBJCAHGRP2</v>
      </c>
      <c r="Y488" s="4">
        <v>45190</v>
      </c>
      <c r="Z488" t="s">
        <v>2463</v>
      </c>
      <c r="AA488" s="28" t="str">
        <f t="shared" si="77"/>
        <v>IIF(dfsj.Z_SUBJCAHGRP3='CAH26-01-03','CAH26-01-03',dfsj.Z_SUBJCAHGRP2)</v>
      </c>
      <c r="AB488" s="28" t="str">
        <f>IF(S488="","",IF(IFERROR(SEARCH("select",S488)&gt;0,0),IF(U488="",IF(MID(S488,SEARCH(H488,S488)-4,1)=" ",MID(S488,SEARCH(H488,S488)-2,LEN(O497)+2),MID(S488,SEARCH(H488,S488)-3,LEN(H488)+3)),U488&amp;"."&amp;H488),S488))</f>
        <v>IIF(dfsj.Z_SUBJCAHGRP3='CAH26-01-03','CAH26-01-03',dfsj.Z_SUBJCAHGRP2)</v>
      </c>
      <c r="AC488" s="28" t="str">
        <f>IF(T488="","",T488)</f>
        <v/>
      </c>
      <c r="AD488" s="28" t="str">
        <f t="shared" si="78"/>
        <v/>
      </c>
      <c r="AE488" t="str">
        <f t="shared" si="73"/>
        <v>[Subject of Study (CAH2) ]</v>
      </c>
    </row>
    <row r="489" spans="1:32" ht="16" x14ac:dyDescent="0.2">
      <c r="A489">
        <v>101010</v>
      </c>
      <c r="B489" s="11" t="str">
        <f>DataItems3[[#This Row],[Field]]&amp;IF(DataItems3[[#This Row],[Options for supplying the Field]]="",""," "&amp;DataItems3[[#This Row],[Options for supplying the Field]])</f>
        <v>Subject of Study (CAH3)  (DF)</v>
      </c>
      <c r="C489">
        <v>101010</v>
      </c>
      <c r="D489" s="3" t="s">
        <v>2992</v>
      </c>
      <c r="F489" s="58" t="s">
        <v>3113</v>
      </c>
      <c r="G489" s="13" t="s">
        <v>2994</v>
      </c>
      <c r="H489" s="58" t="s">
        <v>3114</v>
      </c>
      <c r="J489" s="64">
        <v>2</v>
      </c>
      <c r="K489" s="64">
        <v>5</v>
      </c>
      <c r="L489" s="64">
        <v>0</v>
      </c>
      <c r="M489" s="64">
        <v>0</v>
      </c>
      <c r="Q489" s="16" t="s">
        <v>3115</v>
      </c>
      <c r="R489" s="16"/>
      <c r="S489" s="16" t="s">
        <v>3115</v>
      </c>
      <c r="T489" s="16"/>
      <c r="W489" s="57"/>
      <c r="X489" t="str">
        <f>DataItems3[[#This Row],[Collection]]&amp;DataItems3[[#This Row],[Field]]&amp;DataItems3[[#This Row],[Options for supplying the Field]]&amp;DataItems3[[#This Row],[Fieldname]]&amp;DataItems3[[#This Row],[Parent]]</f>
        <v>Data FuturesSubject of Study (CAH3) (DF)Z_SUBJCAHGRP3</v>
      </c>
      <c r="Y489" s="4">
        <v>45190</v>
      </c>
      <c r="Z489" t="s">
        <v>2463</v>
      </c>
      <c r="AA489" s="28" t="str">
        <f t="shared" si="77"/>
        <v>dfsj.Z_SUBJCAHGRP3</v>
      </c>
      <c r="AB489" s="28" t="str">
        <f>IF(S489="","",IF(IFERROR(SEARCH("select",S489)&gt;0,0),IF(U489="",IF(MID(S489,SEARCH(H489,S489)-4,1)=" ",MID(S489,SEARCH(H489,S489)-2,LEN(O498)+2),MID(S489,SEARCH(H489,S489)-3,LEN(H489)+3)),U489&amp;"."&amp;H489),S489))</f>
        <v>dfsj.Z_SUBJCAHGRP3</v>
      </c>
      <c r="AC489" s="28" t="str">
        <f>IF(T489="","",T489)</f>
        <v/>
      </c>
      <c r="AD489" s="28" t="str">
        <f t="shared" si="78"/>
        <v/>
      </c>
      <c r="AE489" t="str">
        <f t="shared" si="73"/>
        <v>[Subject of Study (CAH3) ]</v>
      </c>
    </row>
    <row r="490" spans="1:32" ht="128" x14ac:dyDescent="0.2">
      <c r="A490">
        <v>100400</v>
      </c>
      <c r="B490" s="11" t="str">
        <f>DataItems3[[#This Row],[Field]]&amp;IF(DataItems3[[#This Row],[Options for supplying the Field]]="",""," "&amp;DataItems3[[#This Row],[Options for supplying the Field]])</f>
        <v>New tariff⁽¹⁾ bands (Less than 48/ 48-63/ 64-79/ 80-95/ 96-111/ 112-127/ 128-143/ 144-159/ 160-175/ 176-191/ 192-207/ 208-223/ 224-239/ 240+/ Zero or Unknown/ Not applicable)</v>
      </c>
      <c r="C490">
        <v>100400</v>
      </c>
      <c r="D490" s="3" t="s">
        <v>86</v>
      </c>
      <c r="E490" s="3" t="s">
        <v>106</v>
      </c>
      <c r="F490" s="3" t="str">
        <f>"New tariff"&amp;"⁽"&amp;CHAR(185)&amp;"⁾"</f>
        <v>New tariff⁽¹⁾</v>
      </c>
      <c r="G490" s="13" t="s">
        <v>1777</v>
      </c>
      <c r="H490" s="14" t="s">
        <v>1775</v>
      </c>
      <c r="J490" s="3">
        <v>5</v>
      </c>
      <c r="K490" s="3">
        <v>3</v>
      </c>
      <c r="L490" s="3">
        <v>1</v>
      </c>
      <c r="M490" s="3">
        <v>0</v>
      </c>
      <c r="N490" s="3" t="s">
        <v>89</v>
      </c>
      <c r="Q490" s="16" t="s">
        <v>1778</v>
      </c>
      <c r="R490" s="16" t="s">
        <v>1778</v>
      </c>
      <c r="S490" s="16" t="s">
        <v>1778</v>
      </c>
      <c r="T490" s="16" t="s">
        <v>1778</v>
      </c>
      <c r="U490" s="3" t="s">
        <v>93</v>
      </c>
      <c r="V490" s="3" t="s">
        <v>93</v>
      </c>
      <c r="W490" s="57" t="s">
        <v>2908</v>
      </c>
      <c r="X490" t="str">
        <f>DataItems3[[#This Row],[Collection]]&amp;DataItems3[[#This Row],[Field]]&amp;DataItems3[[#This Row],[Options for supplying the Field]]&amp;DataItems3[[#This Row],[Fieldname]]&amp;DataItems3[[#This Row],[Parent]]</f>
        <v xml:space="preserve">StudentNew tariff⁽¹⁾bands (Less than 48/ 48-63/ 64-79/ 80-95/ 96-111/ 112-127/ 128-143/ 144-159/ 160-175/ 176-191/ 192-207/ 208-223/ 224-239/ 240+/ Zero or Unknown/ Not applicable)F_XTPOINTS </v>
      </c>
      <c r="Y490" s="15">
        <v>43434</v>
      </c>
      <c r="Z490" t="s">
        <v>95</v>
      </c>
      <c r="AA490" s="28" t="str">
        <f t="shared" si="77"/>
        <v xml:space="preserve">CASE when s.dw_fromdate &lt; 20170801 then 'Not applicable before 2017/18' WHEN s.F_QUALENT3 IN ('P41','P42','P46','P47','P50','P51','P53','P54','P62','P63','P64','P65','P68','P80','P91','P93','P94','X00','X01') THEN CASE WHEN s.F_XTPOINTS = 0 THEN 'Zero or Unknown' WHEN s.F_XTPOINTS BETWEEN 1 AND 47 THEN 'Less than 48' WHEN s.F_XTPOINTS BETWEEN 48 AND 63 THEN '48-63' WHEN s.F_XTPOINTS BETWEEN 64 AND 79 THEN '64-79' WHEN s.F_XTPOINTS BETWEEN 80 AND 95 THEN '80-95' WHEN s.F_XTPOINTS BETWEEN 96 AND 111 THEN '96-111' WHEN s.F_XTPOINTS BETWEEN 112 AND 127 THEN '112-127' WHEN s.F_XTPOINTS BETWEEN 128 AND 143 THEN '128-143' WHEN s.F_XTPOINTS BETWEEN 144 AND 159 THEN '144-159' WHEN s.F_XTPOINTS BETWEEN 160 AND 175 THEN '160-175' WHEN s.F_XTPOINTS BETWEEN 176 AND 191 THEN '176-191' WHEN s.F_XTPOINTS BETWEEN 192 AND 207 THEN '192-207' WHEN s.F_XTPOINTS BETWEEN 208 AND 223 THEN '208-223' WHEN s.F_XTPOINTS BETWEEN 224 AND 239 THEN '224-239' WHEN s.F_XTPOINTS &gt;= 240 THEN '240+ and over' ELSE 'Zero or Unknown' END ELSE 'Not applicable' END </v>
      </c>
      <c r="AB490" s="28" t="str">
        <f>IF(S490="","",IF(IFERROR(SEARCH("select",S490)&gt;0,0),IF(U490="",IF(MID(S490,SEARCH(H490,S490)-4,1)=" ",MID(S490,SEARCH(H490,S490)-2,LEN(O498)+2),MID(S490,SEARCH(H490,S490)-3,LEN(H490)+3)),U490&amp;"."&amp;H490),S490))</f>
        <v xml:space="preserve">CASE when s.dw_fromdate &lt; 20170801 then 'Not applicable before 2017/18' WHEN s.F_QUALENT3 IN ('P41','P42','P46','P47','P50','P51','P53','P54','P62','P63','P64','P65','P68','P80','P91','P93','P94','X00','X01') THEN CASE WHEN s.F_XTPOINTS = 0 THEN 'Zero or Unknown' WHEN s.F_XTPOINTS BETWEEN 1 AND 47 THEN 'Less than 48' WHEN s.F_XTPOINTS BETWEEN 48 AND 63 THEN '48-63' WHEN s.F_XTPOINTS BETWEEN 64 AND 79 THEN '64-79' WHEN s.F_XTPOINTS BETWEEN 80 AND 95 THEN '80-95' WHEN s.F_XTPOINTS BETWEEN 96 AND 111 THEN '96-111' WHEN s.F_XTPOINTS BETWEEN 112 AND 127 THEN '112-127' WHEN s.F_XTPOINTS BETWEEN 128 AND 143 THEN '128-143' WHEN s.F_XTPOINTS BETWEEN 144 AND 159 THEN '144-159' WHEN s.F_XTPOINTS BETWEEN 160 AND 175 THEN '160-175' WHEN s.F_XTPOINTS BETWEEN 176 AND 191 THEN '176-191' WHEN s.F_XTPOINTS BETWEEN 192 AND 207 THEN '192-207' WHEN s.F_XTPOINTS BETWEEN 208 AND 223 THEN '208-223' WHEN s.F_XTPOINTS BETWEEN 224 AND 239 THEN '224-239' WHEN s.F_XTPOINTS &gt;= 240 THEN '240+ and over' ELSE 'Zero or Unknown' END ELSE 'Not applicable' END </v>
      </c>
      <c r="AC490" s="28" t="str">
        <f t="shared" ref="AC490:AC500" si="79">IF(R490="","",R490)</f>
        <v xml:space="preserve">CASE when s.dw_fromdate &lt; 20170801 then 'Not applicable before 2017/18' WHEN s.F_QUALENT3 IN ('P41','P42','P46','P47','P50','P51','P53','P54','P62','P63','P64','P65','P68','P80','P91','P93','P94','X00','X01') THEN CASE WHEN s.F_XTPOINTS = 0 THEN 'Zero or Unknown' WHEN s.F_XTPOINTS BETWEEN 1 AND 47 THEN 'Less than 48' WHEN s.F_XTPOINTS BETWEEN 48 AND 63 THEN '48-63' WHEN s.F_XTPOINTS BETWEEN 64 AND 79 THEN '64-79' WHEN s.F_XTPOINTS BETWEEN 80 AND 95 THEN '80-95' WHEN s.F_XTPOINTS BETWEEN 96 AND 111 THEN '96-111' WHEN s.F_XTPOINTS BETWEEN 112 AND 127 THEN '112-127' WHEN s.F_XTPOINTS BETWEEN 128 AND 143 THEN '128-143' WHEN s.F_XTPOINTS BETWEEN 144 AND 159 THEN '144-159' WHEN s.F_XTPOINTS BETWEEN 160 AND 175 THEN '160-175' WHEN s.F_XTPOINTS BETWEEN 176 AND 191 THEN '176-191' WHEN s.F_XTPOINTS BETWEEN 192 AND 207 THEN '192-207' WHEN s.F_XTPOINTS BETWEEN 208 AND 223 THEN '208-223' WHEN s.F_XTPOINTS BETWEEN 224 AND 239 THEN '224-239' WHEN s.F_XTPOINTS &gt;= 240 THEN '240+ and over' ELSE 'Zero or Unknown' END ELSE 'Not applicable' END </v>
      </c>
      <c r="AD490" s="28" t="str">
        <f t="shared" si="78"/>
        <v xml:space="preserve">CASE when s.dw_fromdate &lt; 20170801 then 'Not applicable before 2017/18' WHEN s.F_QUALENT3 IN ('P41','P42','P46','P47','P50','P51','P53','P54','P62','P63','P64','P65','P68','P80','P91','P93','P94','X00','X01') THEN CASE WHEN s.F_XTPOINTS = 0 THEN 'Zero or Unknown' WHEN s.F_XTPOINTS BETWEEN 1 AND 47 THEN 'Less than 48' WHEN s.F_XTPOINTS BETWEEN 48 AND 63 THEN '48-63' WHEN s.F_XTPOINTS BETWEEN 64 AND 79 THEN '64-79' WHEN s.F_XTPOINTS BETWEEN 80 AND 95 THEN '80-95' WHEN s.F_XTPOINTS BETWEEN 96 AND 111 THEN '96-111' WHEN s.F_XTPOINTS BETWEEN 112 AND 127 THEN '112-127' WHEN s.F_XTPOINTS BETWEEN 128 AND 143 THEN '128-143' WHEN s.F_XTPOINTS BETWEEN 144 AND 159 THEN '144-159' WHEN s.F_XTPOINTS BETWEEN 160 AND 175 THEN '160-175' WHEN s.F_XTPOINTS BETWEEN 176 AND 191 THEN '176-191' WHEN s.F_XTPOINTS BETWEEN 192 AND 207 THEN '192-207' WHEN s.F_XTPOINTS BETWEEN 208 AND 223 THEN '208-223' WHEN s.F_XTPOINTS BETWEEN 224 AND 239 THEN '224-239' WHEN s.F_XTPOINTS &gt;= 240 THEN '240+ and over' ELSE 'Zero or Unknown' END ELSE 'Not applicable' END </v>
      </c>
      <c r="AE490" t="str">
        <f t="shared" si="73"/>
        <v>[New tariff]</v>
      </c>
      <c r="AF490">
        <v>101009</v>
      </c>
    </row>
    <row r="491" spans="1:32" ht="32" x14ac:dyDescent="0.2">
      <c r="A491">
        <v>100910</v>
      </c>
      <c r="B491" s="29" t="str">
        <f>DataItems3[[#This Row],[Field]]&amp;IF(DataItems3[[#This Row],[Options for supplying the Field]]="",""," "&amp;DataItems3[[#This Row],[Options for supplying the Field]])</f>
        <v>New tariff⁽¹⁾ (Average - apportioned by FPE)</v>
      </c>
      <c r="C491">
        <v>100910</v>
      </c>
      <c r="D491" s="3" t="s">
        <v>86</v>
      </c>
      <c r="F491" s="3" t="str">
        <f>"New tariff"&amp;"⁽"&amp;CHAR(185)&amp;"⁾"</f>
        <v>New tariff⁽¹⁾</v>
      </c>
      <c r="G491" s="13" t="s">
        <v>1780</v>
      </c>
      <c r="H491" s="14" t="s">
        <v>1781</v>
      </c>
      <c r="J491" s="3">
        <v>10</v>
      </c>
      <c r="K491" s="3">
        <v>4</v>
      </c>
      <c r="L491" s="3">
        <v>1</v>
      </c>
      <c r="M491" s="3">
        <v>1</v>
      </c>
      <c r="Q491" s="16" t="s">
        <v>3116</v>
      </c>
      <c r="R491" s="3" t="s">
        <v>91</v>
      </c>
      <c r="S491" s="16" t="s">
        <v>3116</v>
      </c>
      <c r="U491" s="3" t="s">
        <v>3117</v>
      </c>
      <c r="V491" s="3" t="s">
        <v>93</v>
      </c>
      <c r="W491" s="57" t="s">
        <v>114</v>
      </c>
      <c r="X491" t="str">
        <f>DataItems3[[#This Row],[Collection]]&amp;DataItems3[[#This Row],[Field]]&amp;DataItems3[[#This Row],[Options for supplying the Field]]&amp;DataItems3[[#This Row],[Fieldname]]&amp;DataItems3[[#This Row],[Parent]]</f>
        <v>StudentNew tariff⁽¹⁾(Average - apportioned by FPE)F_XTPOINTS_APP</v>
      </c>
      <c r="Y491" s="4">
        <v>44931</v>
      </c>
      <c r="Z491" t="s">
        <v>135</v>
      </c>
      <c r="AA491" s="28" t="str">
        <f t="shared" si="77"/>
        <v>CASE WHEN s.dw_fromdate &gt;= 20170801 and s.f_qualent3 in ('P41','P42','P46','P47','P50','P51','P53','P54','P62','P63','P64','P65','P68','P80','P91','P93','P94','X00','X01') THEN  CASE WHEN s.f_xtpoints IN (0) THEN 'Unknown' ELSE cast(s.F_XTPOINTS*(sj.F_XFPE01/100) as varchar) END ELSE 'Not applicable' END</v>
      </c>
      <c r="AB491" s="28" t="str">
        <f t="shared" ref="AB491:AB505" si="80">IF(S491="","",IF(IFERROR(SEARCH("select",S491)&gt;0,0),IF(U491="",IF(MID(S491,SEARCH(H491,S491)-4,1)=" ",MID(S491,SEARCH(H491,S491)-2,LEN(O500)+2),MID(S491,SEARCH(H491,S491)-3,LEN(H491)+3)),U491&amp;"."&amp;H491),S491))</f>
        <v>CASE WHEN s.dw_fromdate &gt;= 20170801 and s.f_qualent3 in ('P41','P42','P46','P47','P50','P51','P53','P54','P62','P63','P64','P65','P68','P80','P91','P93','P94','X00','X01') THEN  CASE WHEN s.f_xtpoints IN (0) THEN 'Unknown' ELSE cast(s.F_XTPOINTS*(sj.F_XFPE01/100) as varchar) END ELSE 'Not applicable' END</v>
      </c>
      <c r="AC491" s="28" t="str">
        <f t="shared" si="79"/>
        <v xml:space="preserve"> </v>
      </c>
      <c r="AD491" s="28" t="str">
        <f t="shared" si="78"/>
        <v/>
      </c>
      <c r="AE491" t="str">
        <f t="shared" si="73"/>
        <v>[New tariff]</v>
      </c>
    </row>
    <row r="492" spans="1:32" ht="16" x14ac:dyDescent="0.2">
      <c r="A492">
        <v>100401</v>
      </c>
      <c r="B492" s="11" t="str">
        <f>DataItems3[[#This Row],[Field]]&amp;IF(DataItems3[[#This Row],[Options for supplying the Field]]="",""," "&amp;DataItems3[[#This Row],[Options for supplying the Field]])</f>
        <v>NHS contract</v>
      </c>
      <c r="C492">
        <v>100401</v>
      </c>
      <c r="D492" s="3" t="s">
        <v>100</v>
      </c>
      <c r="F492" s="3" t="s">
        <v>1783</v>
      </c>
      <c r="G492" s="13"/>
      <c r="H492" s="14" t="s">
        <v>1784</v>
      </c>
      <c r="J492" s="3">
        <v>2</v>
      </c>
      <c r="K492" s="3">
        <v>1</v>
      </c>
      <c r="L492" s="3">
        <v>0</v>
      </c>
      <c r="M492" s="3">
        <v>0</v>
      </c>
      <c r="N492" s="3" t="s">
        <v>89</v>
      </c>
      <c r="Q492" s="16" t="s">
        <v>1785</v>
      </c>
      <c r="R492" s="3" t="s">
        <v>93</v>
      </c>
      <c r="S492" s="16" t="s">
        <v>1786</v>
      </c>
      <c r="U492" s="3" t="s">
        <v>93</v>
      </c>
      <c r="V492" s="3" t="s">
        <v>93</v>
      </c>
      <c r="W492" s="57" t="s">
        <v>150</v>
      </c>
      <c r="X492" t="str">
        <f>DataItems3[[#This Row],[Collection]]&amp;DataItems3[[#This Row],[Field]]&amp;DataItems3[[#This Row],[Options for supplying the Field]]&amp;DataItems3[[#This Row],[Fieldname]]&amp;DataItems3[[#This Row],[Parent]]</f>
        <v>StaffNHS contractF_NHSCON</v>
      </c>
      <c r="Y492" s="15">
        <v>43395</v>
      </c>
      <c r="Z492" t="s">
        <v>102</v>
      </c>
      <c r="AA492" s="28" t="str">
        <f t="shared" si="77"/>
        <v>CASE WHEN C.F_NHSCON IN ('',' ') THEN 'na' ELSE ISNULL(CAST(C.F_NHSCON AS VARCHAR(2)),'na') END</v>
      </c>
      <c r="AB492" s="28" t="str">
        <f t="shared" si="80"/>
        <v xml:space="preserve"> c.F_NHSCON</v>
      </c>
      <c r="AC492" s="28" t="str">
        <f t="shared" si="79"/>
        <v/>
      </c>
      <c r="AD492" s="28" t="str">
        <f t="shared" si="78"/>
        <v/>
      </c>
      <c r="AE492" t="str">
        <f t="shared" si="73"/>
        <v>[NHS contract]</v>
      </c>
    </row>
    <row r="493" spans="1:32" ht="16" x14ac:dyDescent="0.2">
      <c r="A493">
        <v>100402</v>
      </c>
      <c r="B493" s="11" t="str">
        <f>DataItems3[[#This Row],[Field]]&amp;IF(DataItems3[[#This Row],[Options for supplying the Field]]="",""," "&amp;DataItems3[[#This Row],[Options for supplying the Field]])</f>
        <v>NHS contract grade</v>
      </c>
      <c r="C493">
        <v>100402</v>
      </c>
      <c r="D493" s="3" t="s">
        <v>100</v>
      </c>
      <c r="F493" s="3" t="s">
        <v>1787</v>
      </c>
      <c r="G493" s="13"/>
      <c r="H493" s="14" t="s">
        <v>1788</v>
      </c>
      <c r="J493" s="3">
        <v>2</v>
      </c>
      <c r="K493" s="3">
        <v>2</v>
      </c>
      <c r="L493" s="3">
        <v>2</v>
      </c>
      <c r="M493" s="3">
        <v>0</v>
      </c>
      <c r="N493" s="3" t="s">
        <v>89</v>
      </c>
      <c r="Q493" s="16" t="s">
        <v>1789</v>
      </c>
      <c r="R493" s="3" t="s">
        <v>93</v>
      </c>
      <c r="S493" s="16" t="s">
        <v>1790</v>
      </c>
      <c r="U493" s="3" t="s">
        <v>93</v>
      </c>
      <c r="V493" s="3" t="s">
        <v>93</v>
      </c>
      <c r="W493" s="57" t="s">
        <v>150</v>
      </c>
      <c r="X493" t="str">
        <f>DataItems3[[#This Row],[Collection]]&amp;DataItems3[[#This Row],[Field]]&amp;DataItems3[[#This Row],[Options for supplying the Field]]&amp;DataItems3[[#This Row],[Fieldname]]&amp;DataItems3[[#This Row],[Parent]]</f>
        <v>StaffNHS contract gradeF_NHSCONGR</v>
      </c>
      <c r="Y493" s="15">
        <v>43395</v>
      </c>
      <c r="Z493" t="s">
        <v>102</v>
      </c>
      <c r="AA493" s="28" t="str">
        <f t="shared" si="77"/>
        <v>C.F_NHSCONGR</v>
      </c>
      <c r="AB493" s="28" t="str">
        <f t="shared" si="80"/>
        <v xml:space="preserve"> c.f_NHSCONGR</v>
      </c>
      <c r="AC493" s="28" t="str">
        <f t="shared" si="79"/>
        <v/>
      </c>
      <c r="AD493" s="28" t="str">
        <f t="shared" si="78"/>
        <v/>
      </c>
      <c r="AE493" t="str">
        <f t="shared" si="73"/>
        <v>[NHS contract grade]</v>
      </c>
    </row>
    <row r="494" spans="1:32" ht="16" x14ac:dyDescent="0.2">
      <c r="A494">
        <v>100839</v>
      </c>
      <c r="B494" s="11" t="str">
        <f>DataItems3[[#This Row],[Field]]&amp;IF(DataItems3[[#This Row],[Options for supplying the Field]]="",""," "&amp;DataItems3[[#This Row],[Options for supplying the Field]])</f>
        <v>NHS employer</v>
      </c>
      <c r="C494">
        <v>100839</v>
      </c>
      <c r="D494" s="3" t="s">
        <v>86</v>
      </c>
      <c r="F494" s="3" t="s">
        <v>1791</v>
      </c>
      <c r="G494" s="13"/>
      <c r="H494" s="14" t="s">
        <v>1792</v>
      </c>
      <c r="J494" s="3">
        <v>2</v>
      </c>
      <c r="K494" s="3">
        <v>1</v>
      </c>
      <c r="L494" s="3">
        <v>0</v>
      </c>
      <c r="M494" s="3">
        <v>0</v>
      </c>
      <c r="Q494" s="16" t="s">
        <v>1793</v>
      </c>
      <c r="S494" s="16" t="s">
        <v>1793</v>
      </c>
      <c r="U494" s="3" t="s">
        <v>1794</v>
      </c>
      <c r="W494" s="57" t="s">
        <v>997</v>
      </c>
      <c r="X494" t="str">
        <f>DataItems3[[#This Row],[Collection]]&amp;DataItems3[[#This Row],[Field]]&amp;DataItems3[[#This Row],[Options for supplying the Field]]&amp;DataItems3[[#This Row],[Fieldname]]&amp;DataItems3[[#This Row],[Parent]]</f>
        <v>StudentNHS employerF_NHSEMP</v>
      </c>
      <c r="Y494" s="4">
        <v>44522</v>
      </c>
      <c r="Z494" t="s">
        <v>135</v>
      </c>
      <c r="AA494" s="28" t="str">
        <f t="shared" si="77"/>
        <v>ISNULL(i.F_NHSEMP, 'Unknown')</v>
      </c>
      <c r="AB494" s="28" t="str">
        <f t="shared" si="80"/>
        <v>ISNULL(i.F_NHSEMP, 'Unknown')</v>
      </c>
      <c r="AC494" s="28" t="str">
        <f t="shared" si="79"/>
        <v/>
      </c>
      <c r="AD494" s="28" t="str">
        <f t="shared" si="78"/>
        <v/>
      </c>
      <c r="AE494" t="str">
        <f t="shared" si="73"/>
        <v>[NHS employer]</v>
      </c>
    </row>
    <row r="495" spans="1:32" ht="16" x14ac:dyDescent="0.2">
      <c r="A495">
        <v>100403</v>
      </c>
      <c r="B495" s="11" t="str">
        <f>DataItems3[[#This Row],[Field]]&amp;IF(DataItems3[[#This Row],[Options for supplying the Field]]="",""," "&amp;DataItems3[[#This Row],[Options for supplying the Field]])</f>
        <v>NHS organisation [NHSORG]</v>
      </c>
      <c r="C495">
        <v>100403</v>
      </c>
      <c r="D495" s="3" t="s">
        <v>151</v>
      </c>
      <c r="F495" s="3" t="s">
        <v>1795</v>
      </c>
      <c r="G495" s="13" t="s">
        <v>1796</v>
      </c>
      <c r="H495" s="3" t="s">
        <v>1797</v>
      </c>
      <c r="J495" s="3">
        <v>2</v>
      </c>
      <c r="K495" s="3">
        <v>1</v>
      </c>
      <c r="L495" s="3">
        <v>0</v>
      </c>
      <c r="M495" s="3">
        <v>0</v>
      </c>
      <c r="P495" s="3" t="s">
        <v>874</v>
      </c>
      <c r="Q495" s="16" t="s">
        <v>1798</v>
      </c>
      <c r="R495" s="3" t="s">
        <v>93</v>
      </c>
      <c r="S495" s="16" t="s">
        <v>1799</v>
      </c>
      <c r="U495" s="3" t="s">
        <v>1797</v>
      </c>
      <c r="V495" s="3" t="s">
        <v>93</v>
      </c>
      <c r="W495" s="57" t="s">
        <v>2909</v>
      </c>
      <c r="X495" t="str">
        <f>DataItems3[[#This Row],[Collection]]&amp;DataItems3[[#This Row],[Field]]&amp;DataItems3[[#This Row],[Options for supplying the Field]]&amp;DataItems3[[#This Row],[Fieldname]]&amp;DataItems3[[#This Row],[Parent]]</f>
        <v>Graduate OutcomesNHS organisation[NHSORG]NHSORGProvider &gt; Graduate &gt; Employment:</v>
      </c>
      <c r="Y495" s="15">
        <v>43550</v>
      </c>
      <c r="Z495" t="s">
        <v>159</v>
      </c>
      <c r="AA495" s="28" t="str">
        <f t="shared" si="77"/>
        <v>CASE WHEN ISNULL(g.ZRESPSTATUS, '02')='02' OR ISNULL(g.XACTIVITY, '99')='99' THEN 'Not in GO publication population' else IIF(isnull(g.NHSORG,'')='','N/A',g.NHSORG) end</v>
      </c>
      <c r="AB495" s="28" t="str">
        <f t="shared" si="80"/>
        <v>CASE WHEN ISNULL(g.ZRESPSTATUS, '02')='02' OR ISNULL(g.XACTIVITY, '99')='99' THEN 'Not in GO publication population' else IIF(isnull(g.NHSORG,'')='','N/A',NHSORG.label) end</v>
      </c>
      <c r="AC495" s="28" t="str">
        <f t="shared" si="79"/>
        <v/>
      </c>
      <c r="AD495" s="28" t="str">
        <f t="shared" si="78"/>
        <v/>
      </c>
      <c r="AE495" t="str">
        <f t="shared" si="73"/>
        <v>[NHS organisation]</v>
      </c>
    </row>
    <row r="496" spans="1:32" ht="16" x14ac:dyDescent="0.2">
      <c r="A496">
        <v>100873</v>
      </c>
      <c r="B496" s="11" t="str">
        <f>DataItems3[[#This Row],[Field]]&amp;IF(DataItems3[[#This Row],[Options for supplying the Field]]="",""," "&amp;DataItems3[[#This Row],[Options for supplying the Field]])</f>
        <v>NIMD deciles</v>
      </c>
      <c r="C496">
        <v>100873</v>
      </c>
      <c r="D496" s="3" t="s">
        <v>86</v>
      </c>
      <c r="E496" s="3" t="s">
        <v>106</v>
      </c>
      <c r="F496" s="3" t="s">
        <v>1800</v>
      </c>
      <c r="G496" s="13"/>
      <c r="H496" s="3" t="s">
        <v>1801</v>
      </c>
      <c r="J496" s="3">
        <v>1</v>
      </c>
      <c r="K496" s="3">
        <v>1</v>
      </c>
      <c r="L496" s="3">
        <v>0</v>
      </c>
      <c r="M496" s="3">
        <v>0</v>
      </c>
      <c r="Q496" s="16" t="s">
        <v>1802</v>
      </c>
      <c r="R496" s="16" t="s">
        <v>1802</v>
      </c>
      <c r="S496" s="16" t="s">
        <v>1802</v>
      </c>
      <c r="T496" s="16" t="s">
        <v>1802</v>
      </c>
      <c r="U496" s="3" t="s">
        <v>1803</v>
      </c>
      <c r="W496" s="57" t="s">
        <v>764</v>
      </c>
      <c r="X496" t="str">
        <f>DataItems3[[#This Row],[Collection]]&amp;DataItems3[[#This Row],[Field]]&amp;DataItems3[[#This Row],[Options for supplying the Field]]&amp;DataItems3[[#This Row],[Fieldname]]&amp;DataItems3[[#This Row],[Parent]]</f>
        <v>StudentNIMD decilesNIMD_Decile</v>
      </c>
      <c r="Y496" s="4">
        <v>44729</v>
      </c>
      <c r="Z496" t="s">
        <v>135</v>
      </c>
      <c r="AA496" s="28" t="str">
        <f t="shared" si="77"/>
        <v>ISNULL(nimd.IMD_Decile,'N/A')</v>
      </c>
      <c r="AB496" s="28" t="str">
        <f t="shared" si="80"/>
        <v>ISNULL(nimd.IMD_Decile,'N/A')</v>
      </c>
      <c r="AC496" s="28" t="str">
        <f t="shared" si="79"/>
        <v>ISNULL(nimd.IMD_Decile,'N/A')</v>
      </c>
      <c r="AD496" s="28" t="str">
        <f t="shared" si="78"/>
        <v>ISNULL(nimd.IMD_Decile,'N/A')</v>
      </c>
      <c r="AE496" t="str">
        <f t="shared" si="73"/>
        <v>[NIMD deciles]</v>
      </c>
    </row>
    <row r="497" spans="1:31" ht="16" x14ac:dyDescent="0.2">
      <c r="A497">
        <v>100872</v>
      </c>
      <c r="B497" s="11" t="str">
        <f>DataItems3[[#This Row],[Field]]&amp;IF(DataItems3[[#This Row],[Options for supplying the Field]]="",""," "&amp;DataItems3[[#This Row],[Options for supplying the Field]])</f>
        <v>NIMD quintiles</v>
      </c>
      <c r="C497">
        <v>100872</v>
      </c>
      <c r="D497" s="3" t="s">
        <v>86</v>
      </c>
      <c r="E497" s="3" t="s">
        <v>106</v>
      </c>
      <c r="F497" s="3" t="s">
        <v>1804</v>
      </c>
      <c r="G497" s="13"/>
      <c r="H497" s="3" t="s">
        <v>1805</v>
      </c>
      <c r="J497" s="3">
        <v>1</v>
      </c>
      <c r="K497" s="3">
        <v>1</v>
      </c>
      <c r="L497" s="3">
        <v>0</v>
      </c>
      <c r="M497" s="3">
        <v>0</v>
      </c>
      <c r="Q497" s="16" t="s">
        <v>1806</v>
      </c>
      <c r="R497" s="16" t="s">
        <v>1806</v>
      </c>
      <c r="S497" s="16" t="s">
        <v>1806</v>
      </c>
      <c r="T497" s="16" t="s">
        <v>1806</v>
      </c>
      <c r="U497" s="3" t="s">
        <v>1803</v>
      </c>
      <c r="W497" s="57" t="s">
        <v>145</v>
      </c>
      <c r="X497" t="str">
        <f>DataItems3[[#This Row],[Collection]]&amp;DataItems3[[#This Row],[Field]]&amp;DataItems3[[#This Row],[Options for supplying the Field]]&amp;DataItems3[[#This Row],[Fieldname]]&amp;DataItems3[[#This Row],[Parent]]</f>
        <v>StudentNIMD quintilesNIMD_Quintile</v>
      </c>
      <c r="Y497" s="4">
        <v>44729</v>
      </c>
      <c r="Z497" t="s">
        <v>135</v>
      </c>
      <c r="AA497" s="28" t="str">
        <f t="shared" si="77"/>
        <v>case when nimd.IMD_Decile in (1,2) then '1'  when nimd.IMD_Decile in (3,4) then '2' when nimd.IMD_Decile in (5,6) then '3' when nimd.IMD_Decile in (7,8) then '4' when nimd.IMD_Decile in (9,10) then '5' else 'N/A' end</v>
      </c>
      <c r="AB497" s="28" t="str">
        <f t="shared" si="80"/>
        <v>case when nimd.IMD_Decile in (1,2) then '1'  when nimd.IMD_Decile in (3,4) then '2' when nimd.IMD_Decile in (5,6) then '3' when nimd.IMD_Decile in (7,8) then '4' when nimd.IMD_Decile in (9,10) then '5' else 'N/A' end</v>
      </c>
      <c r="AC497" s="28" t="str">
        <f t="shared" si="79"/>
        <v>case when nimd.IMD_Decile in (1,2) then '1'  when nimd.IMD_Decile in (3,4) then '2' when nimd.IMD_Decile in (5,6) then '3' when nimd.IMD_Decile in (7,8) then '4' when nimd.IMD_Decile in (9,10) then '5' else 'N/A' end</v>
      </c>
      <c r="AD497" s="28" t="str">
        <f t="shared" si="78"/>
        <v>case when nimd.IMD_Decile in (1,2) then '1'  when nimd.IMD_Decile in (3,4) then '2' when nimd.IMD_Decile in (5,6) then '3' when nimd.IMD_Decile in (7,8) then '4' when nimd.IMD_Decile in (9,10) then '5' else 'N/A' end</v>
      </c>
      <c r="AE497" t="str">
        <f t="shared" si="73"/>
        <v>[NIMD quintiles]</v>
      </c>
    </row>
    <row r="498" spans="1:31" ht="16" x14ac:dyDescent="0.2">
      <c r="A498">
        <v>100655</v>
      </c>
      <c r="B498" s="11" t="str">
        <f>DataItems3[[#This Row],[Field]]&amp;IF(DataItems3[[#This Row],[Options for supplying the Field]]="",""," "&amp;DataItems3[[#This Row],[Options for supplying the Field]])</f>
        <v>Number of employees banding employment [ZNOEMPBAND]</v>
      </c>
      <c r="C498">
        <v>100655</v>
      </c>
      <c r="D498" s="3" t="s">
        <v>151</v>
      </c>
      <c r="F498" s="3" t="s">
        <v>1807</v>
      </c>
      <c r="G498" s="3" t="s">
        <v>1808</v>
      </c>
      <c r="H498" s="3" t="s">
        <v>1809</v>
      </c>
      <c r="J498" s="3">
        <v>2</v>
      </c>
      <c r="K498" s="3">
        <v>4</v>
      </c>
      <c r="L498" s="3">
        <v>0</v>
      </c>
      <c r="M498" s="3">
        <v>0</v>
      </c>
      <c r="Q498" s="16" t="s">
        <v>1810</v>
      </c>
      <c r="S498" s="16" t="s">
        <v>1810</v>
      </c>
      <c r="T498" s="16"/>
      <c r="U498" s="3" t="s">
        <v>1811</v>
      </c>
      <c r="W498" s="57" t="s">
        <v>2909</v>
      </c>
      <c r="X498" t="str">
        <f>DataItems3[[#This Row],[Collection]]&amp;DataItems3[[#This Row],[Field]]&amp;DataItems3[[#This Row],[Options for supplying the Field]]&amp;DataItems3[[#This Row],[Fieldname]]&amp;DataItems3[[#This Row],[Parent]]</f>
        <v>Graduate OutcomesNumber of employees bandingemployment [ZNOEMPBAND]ZNOEMPBAND</v>
      </c>
      <c r="Y498" s="4">
        <v>44019</v>
      </c>
      <c r="Z498" t="s">
        <v>1200</v>
      </c>
      <c r="AA498" s="28" t="str">
        <f t="shared" si="77"/>
        <v>CASE WHEN ISNULL(g.ZRESPSTATUS, '02')='02' OR ISNULL(g.XACTIVITY, '99')='99' THEN 'Not in GO publication population' else IIF(sic1.ZNOEMPBAND='','X',isnull(sic1.ZNOEMPBAND,'X')) end</v>
      </c>
      <c r="AB498" s="28" t="str">
        <f t="shared" si="80"/>
        <v>CASE WHEN ISNULL(g.ZRESPSTATUS, '02')='02' OR ISNULL(g.XACTIVITY, '99')='99' THEN 'Not in GO publication population' else IIF(sic1.ZNOEMPBAND='','X',isnull(sic1.ZNOEMPBAND,'X')) end</v>
      </c>
      <c r="AC498" s="28" t="str">
        <f t="shared" si="79"/>
        <v/>
      </c>
      <c r="AD498" s="28" t="str">
        <f t="shared" si="78"/>
        <v/>
      </c>
      <c r="AE498" t="str">
        <f t="shared" si="73"/>
        <v>[Number of employees banding]</v>
      </c>
    </row>
    <row r="499" spans="1:31" ht="32" x14ac:dyDescent="0.2">
      <c r="A499">
        <v>100676</v>
      </c>
      <c r="B499" s="11" t="str">
        <f>DataItems3[[#This Row],[Field]]&amp;IF(DataItems3[[#This Row],[Options for supplying the Field]]="",""," "&amp;DataItems3[[#This Row],[Options for supplying the Field]])</f>
        <v>Number of employees banding main activity [ZNOEMPBAND]</v>
      </c>
      <c r="C499">
        <v>100676</v>
      </c>
      <c r="D499" s="3" t="s">
        <v>151</v>
      </c>
      <c r="F499" s="3" t="s">
        <v>1807</v>
      </c>
      <c r="G499" s="13" t="s">
        <v>1812</v>
      </c>
      <c r="H499" s="3" t="s">
        <v>1809</v>
      </c>
      <c r="J499" s="3">
        <v>2</v>
      </c>
      <c r="K499" s="3">
        <v>4</v>
      </c>
      <c r="L499" s="3">
        <v>0</v>
      </c>
      <c r="M499" s="3">
        <v>0</v>
      </c>
      <c r="Q499" s="16" t="s">
        <v>1813</v>
      </c>
      <c r="S499" s="16" t="s">
        <v>1813</v>
      </c>
      <c r="T499" s="16"/>
      <c r="U499" s="3" t="s">
        <v>1814</v>
      </c>
      <c r="W499" s="57" t="s">
        <v>2909</v>
      </c>
      <c r="X499" t="str">
        <f>DataItems3[[#This Row],[Collection]]&amp;DataItems3[[#This Row],[Field]]&amp;DataItems3[[#This Row],[Options for supplying the Field]]&amp;DataItems3[[#This Row],[Fieldname]]&amp;DataItems3[[#This Row],[Parent]]</f>
        <v>Graduate OutcomesNumber of employees bandingmain activity [ZNOEMPBAND]ZNOEMPBAND</v>
      </c>
      <c r="Y499" s="4">
        <v>44127</v>
      </c>
      <c r="Z499" t="s">
        <v>85</v>
      </c>
      <c r="AA499" s="28" t="str">
        <f t="shared" si="77"/>
        <v>CASE WHEN ISNULL(g.ZRESPSTATUS, '02')='02' OR ISNULL(g.XACTIVITY, '99')='99' THEN 'Not in GO publication population' else IIF(sic3.ZNOEMPBAND='','X',isnull(sic3.ZNOEMPBAND,'X')) end</v>
      </c>
      <c r="AB499" s="28" t="str">
        <f t="shared" si="80"/>
        <v>CASE WHEN ISNULL(g.ZRESPSTATUS, '02')='02' OR ISNULL(g.XACTIVITY, '99')='99' THEN 'Not in GO publication population' else IIF(sic3.ZNOEMPBAND='','X',isnull(sic3.ZNOEMPBAND,'X')) end</v>
      </c>
      <c r="AC499" s="28" t="str">
        <f t="shared" si="79"/>
        <v/>
      </c>
      <c r="AD499" s="28" t="str">
        <f t="shared" si="78"/>
        <v/>
      </c>
      <c r="AE499" t="str">
        <f t="shared" si="73"/>
        <v>[Number of employees banding]</v>
      </c>
    </row>
    <row r="500" spans="1:31" ht="32" x14ac:dyDescent="0.2">
      <c r="A500">
        <v>100675</v>
      </c>
      <c r="B500" s="11" t="str">
        <f>DataItems3[[#This Row],[Field]]&amp;IF(DataItems3[[#This Row],[Options for supplying the Field]]="",""," "&amp;DataItems3[[#This Row],[Options for supplying the Field]])</f>
        <v>Number of employees banding self-employment [ZNOEMPBAND]</v>
      </c>
      <c r="C500">
        <v>100675</v>
      </c>
      <c r="D500" s="3" t="s">
        <v>151</v>
      </c>
      <c r="F500" s="3" t="s">
        <v>1807</v>
      </c>
      <c r="G500" s="13" t="s">
        <v>1815</v>
      </c>
      <c r="H500" s="3" t="s">
        <v>1809</v>
      </c>
      <c r="J500" s="3">
        <v>2</v>
      </c>
      <c r="K500" s="3">
        <v>4</v>
      </c>
      <c r="L500" s="3">
        <v>0</v>
      </c>
      <c r="M500" s="3">
        <v>0</v>
      </c>
      <c r="Q500" s="16" t="s">
        <v>1816</v>
      </c>
      <c r="S500" s="16" t="s">
        <v>1816</v>
      </c>
      <c r="T500" s="16"/>
      <c r="U500" s="3" t="s">
        <v>1817</v>
      </c>
      <c r="W500" s="57" t="s">
        <v>2909</v>
      </c>
      <c r="X500" t="str">
        <f>DataItems3[[#This Row],[Collection]]&amp;DataItems3[[#This Row],[Field]]&amp;DataItems3[[#This Row],[Options for supplying the Field]]&amp;DataItems3[[#This Row],[Fieldname]]&amp;DataItems3[[#This Row],[Parent]]</f>
        <v>Graduate OutcomesNumber of employees bandingself-employment [ZNOEMPBAND]ZNOEMPBAND</v>
      </c>
      <c r="Y500" s="4">
        <v>44127</v>
      </c>
      <c r="Z500" t="s">
        <v>85</v>
      </c>
      <c r="AA500" s="28" t="str">
        <f t="shared" si="77"/>
        <v>CASE WHEN ISNULL(g.ZRESPSTATUS, '02')='02' OR ISNULL(g.XACTIVITY, '99')='99' THEN 'Not in GO publication population' else IIF(sic2.ZNOEMPBAND='','X',isnull(sic2.ZNOEMPBAND,'X')) end</v>
      </c>
      <c r="AB500" s="28" t="str">
        <f t="shared" si="80"/>
        <v>CASE WHEN ISNULL(g.ZRESPSTATUS, '02')='02' OR ISNULL(g.XACTIVITY, '99')='99' THEN 'Not in GO publication population' else IIF(sic2.ZNOEMPBAND='','X',isnull(sic2.ZNOEMPBAND,'X')) end</v>
      </c>
      <c r="AC500" s="28" t="str">
        <f t="shared" si="79"/>
        <v/>
      </c>
      <c r="AD500" s="28" t="str">
        <f t="shared" si="78"/>
        <v/>
      </c>
      <c r="AE500" t="str">
        <f t="shared" si="73"/>
        <v>[Number of employees banding]</v>
      </c>
    </row>
    <row r="501" spans="1:31" ht="16" x14ac:dyDescent="0.2">
      <c r="A501">
        <v>100404</v>
      </c>
      <c r="B501" s="11" t="str">
        <f>DataItems3[[#This Row],[Field]]&amp;IF(DataItems3[[#This Row],[Options for supplying the Field]]="",""," "&amp;DataItems3[[#This Row],[Options for supplying the Field]])</f>
        <v>Other provider providing teaching 1</v>
      </c>
      <c r="C501">
        <v>100404</v>
      </c>
      <c r="D501" s="3" t="s">
        <v>86</v>
      </c>
      <c r="E501" s="3" t="s">
        <v>89</v>
      </c>
      <c r="F501" s="3" t="s">
        <v>1818</v>
      </c>
      <c r="G501" s="13"/>
      <c r="H501" s="14" t="s">
        <v>1819</v>
      </c>
      <c r="J501" s="3">
        <v>5</v>
      </c>
      <c r="K501" s="3">
        <v>5</v>
      </c>
      <c r="L501" s="3">
        <v>1</v>
      </c>
      <c r="M501" s="3">
        <v>0</v>
      </c>
      <c r="N501" s="3" t="s">
        <v>89</v>
      </c>
      <c r="Q501" s="16" t="s">
        <v>1820</v>
      </c>
      <c r="R501" s="14" t="s">
        <v>3000</v>
      </c>
      <c r="S501" s="16" t="s">
        <v>3118</v>
      </c>
      <c r="T501" s="14" t="s">
        <v>3000</v>
      </c>
      <c r="U501" s="3" t="s">
        <v>1821</v>
      </c>
      <c r="V501" s="3" t="s">
        <v>93</v>
      </c>
      <c r="W501" s="57" t="s">
        <v>114</v>
      </c>
      <c r="X501" t="str">
        <f>DataItems3[[#This Row],[Collection]]&amp;DataItems3[[#This Row],[Field]]&amp;DataItems3[[#This Row],[Options for supplying the Field]]&amp;DataItems3[[#This Row],[Fieldname]]&amp;DataItems3[[#This Row],[Parent]]</f>
        <v>StudentOther provider providing teaching 1F_ZTINST1</v>
      </c>
      <c r="Y501" s="15">
        <v>43434</v>
      </c>
      <c r="Z501" t="s">
        <v>95</v>
      </c>
      <c r="AA501" s="28" t="str">
        <f t="shared" si="77"/>
        <v xml:space="preserve">CASE WHEN d.F_ZTINST1 IN ('',' ') THEN '/' ELSE ISNULL(d.F_ZTINST1,'/') END </v>
      </c>
      <c r="AB501" s="28" t="str">
        <f t="shared" si="80"/>
        <v>isnull(tinst1.ukprn_legalname,'Not applicable')</v>
      </c>
      <c r="AC501" s="28"/>
      <c r="AD501" s="28"/>
      <c r="AE501" t="str">
        <f t="shared" si="73"/>
        <v>[Other provider providing teaching 1]</v>
      </c>
    </row>
    <row r="502" spans="1:31" ht="16" x14ac:dyDescent="0.2">
      <c r="A502">
        <v>100683</v>
      </c>
      <c r="B502" s="11" t="str">
        <f>DataItems3[[#This Row],[Field]]&amp;IF(DataItems3[[#This Row],[Options for supplying the Field]]="",""," "&amp;DataItems3[[#This Row],[Options for supplying the Field]])</f>
        <v>Other provider providing teaching 2</v>
      </c>
      <c r="C502">
        <v>100683</v>
      </c>
      <c r="D502" s="3" t="s">
        <v>86</v>
      </c>
      <c r="E502" s="3" t="s">
        <v>89</v>
      </c>
      <c r="F502" s="3" t="s">
        <v>1822</v>
      </c>
      <c r="G502" s="13"/>
      <c r="H502" s="14" t="s">
        <v>1823</v>
      </c>
      <c r="J502" s="3">
        <v>0</v>
      </c>
      <c r="K502" s="3">
        <v>0</v>
      </c>
      <c r="L502" s="3">
        <v>0</v>
      </c>
      <c r="M502" s="3">
        <v>0</v>
      </c>
      <c r="Q502" s="16" t="s">
        <v>1824</v>
      </c>
      <c r="R502" s="14" t="s">
        <v>3000</v>
      </c>
      <c r="S502" s="16" t="s">
        <v>1825</v>
      </c>
      <c r="T502" s="14" t="s">
        <v>3000</v>
      </c>
      <c r="U502" s="3" t="s">
        <v>1821</v>
      </c>
      <c r="W502" s="57" t="s">
        <v>114</v>
      </c>
      <c r="X502" t="str">
        <f>DataItems3[[#This Row],[Collection]]&amp;DataItems3[[#This Row],[Field]]&amp;DataItems3[[#This Row],[Options for supplying the Field]]&amp;DataItems3[[#This Row],[Fieldname]]&amp;DataItems3[[#This Row],[Parent]]</f>
        <v>StudentOther provider providing teaching 2F_ZTINST2</v>
      </c>
      <c r="Y502" s="4">
        <v>44161</v>
      </c>
      <c r="Z502" t="s">
        <v>99</v>
      </c>
      <c r="AA502" s="28" t="str">
        <f t="shared" si="77"/>
        <v>CASE WHEN d.F_ZTINST2 IN ('',' ') THEN '/' ELSE ISNULL(d.F_ZTINST2,'/') END</v>
      </c>
      <c r="AB502" s="28" t="str">
        <f t="shared" si="80"/>
        <v xml:space="preserve">isnull(tinst2.ukprn_legalname,'Not applicable') </v>
      </c>
      <c r="AC502" s="28"/>
      <c r="AD502" s="28"/>
      <c r="AE502" t="str">
        <f t="shared" si="73"/>
        <v>[Other provider providing teaching 2]</v>
      </c>
    </row>
    <row r="503" spans="1:31" ht="64" x14ac:dyDescent="0.2">
      <c r="A503">
        <v>100410</v>
      </c>
      <c r="B503" s="11" t="str">
        <f>DataItems3[[#This Row],[Field]]&amp;IF(DataItems3[[#This Row],[Options for supplying the Field]]="",""," "&amp;DataItems3[[#This Row],[Options for supplying the Field]])</f>
        <v>Other reasons for research degree (Awarded funded studentship) [OTHRRSCHDEG4] -opt in question</v>
      </c>
      <c r="C503">
        <v>100410</v>
      </c>
      <c r="D503" s="3" t="s">
        <v>151</v>
      </c>
      <c r="F503" s="3" t="s">
        <v>1826</v>
      </c>
      <c r="G503" s="13" t="s">
        <v>1832</v>
      </c>
      <c r="I503" s="3" t="s">
        <v>2991</v>
      </c>
      <c r="J503" s="3">
        <v>1</v>
      </c>
      <c r="K503" s="3">
        <v>1</v>
      </c>
      <c r="L503" s="3">
        <v>0</v>
      </c>
      <c r="M503" s="3">
        <v>0</v>
      </c>
      <c r="P503" s="3" t="s">
        <v>448</v>
      </c>
      <c r="R503" s="3" t="s">
        <v>93</v>
      </c>
      <c r="V503" s="3" t="s">
        <v>93</v>
      </c>
      <c r="W503" s="57" t="s">
        <v>2926</v>
      </c>
      <c r="X503" t="str">
        <f>DataItems3[[#This Row],[Collection]]&amp;DataItems3[[#This Row],[Field]]&amp;DataItems3[[#This Row],[Options for supplying the Field]]&amp;DataItems3[[#This Row],[Fieldname]]&amp;DataItems3[[#This Row],[Parent]]</f>
        <v>Graduate OutcomesOther reasons for research degree(Awarded funded studentship) [OTHRRSCHDEG4] -opt in questionProvider &gt; Graduate &gt; Opt in questions:</v>
      </c>
      <c r="Y503" s="15">
        <v>43550</v>
      </c>
      <c r="Z503" t="s">
        <v>159</v>
      </c>
      <c r="AA503" s="28" t="str">
        <f t="shared" si="77"/>
        <v/>
      </c>
      <c r="AB503" s="28" t="str">
        <f t="shared" si="80"/>
        <v/>
      </c>
      <c r="AC503" s="28" t="str">
        <f t="shared" ref="AC503:AC558" si="81">IF(R503="","",R503)</f>
        <v/>
      </c>
      <c r="AD503" s="28" t="str">
        <f t="shared" ref="AD503:AD510" si="82">IF(T503="","",IF(IFERROR(SEARCH("select",T503)&gt;0,0),IF(U503="",IF(MID(T503,SEARCH(H503,T503)-4,1)=" ",MID(T503,SEARCH(H503,T503)-2,LEN(O512)+2),MID(T503,SEARCH(H503,T503)-3,LEN(H503)+3)),U503&amp;"."&amp;H503),T503))</f>
        <v/>
      </c>
      <c r="AE503" t="str">
        <f t="shared" si="73"/>
        <v>[Other reasons for research degree]</v>
      </c>
    </row>
    <row r="504" spans="1:31" ht="80" x14ac:dyDescent="0.2">
      <c r="A504">
        <v>100411</v>
      </c>
      <c r="B504" s="11" t="str">
        <f>DataItems3[[#This Row],[Field]]&amp;IF(DataItems3[[#This Row],[Options for supplying the Field]]="",""," "&amp;DataItems3[[#This Row],[Options for supplying the Field]])</f>
        <v>Other reasons for research degree (Encouraged or required to do so by my employer) [OTHRRSCHDEG5] -opt in question</v>
      </c>
      <c r="C504">
        <v>100411</v>
      </c>
      <c r="D504" s="3" t="s">
        <v>151</v>
      </c>
      <c r="F504" s="3" t="s">
        <v>1826</v>
      </c>
      <c r="G504" s="13" t="s">
        <v>1833</v>
      </c>
      <c r="I504" s="3" t="s">
        <v>2991</v>
      </c>
      <c r="J504" s="3">
        <v>1</v>
      </c>
      <c r="K504" s="3">
        <v>1</v>
      </c>
      <c r="L504" s="3">
        <v>0</v>
      </c>
      <c r="M504" s="3">
        <v>0</v>
      </c>
      <c r="P504" s="3" t="s">
        <v>448</v>
      </c>
      <c r="R504" s="3" t="s">
        <v>93</v>
      </c>
      <c r="V504" s="3" t="s">
        <v>93</v>
      </c>
      <c r="W504" s="57" t="s">
        <v>2926</v>
      </c>
      <c r="X504" t="str">
        <f>DataItems3[[#This Row],[Collection]]&amp;DataItems3[[#This Row],[Field]]&amp;DataItems3[[#This Row],[Options for supplying the Field]]&amp;DataItems3[[#This Row],[Fieldname]]&amp;DataItems3[[#This Row],[Parent]]</f>
        <v>Graduate OutcomesOther reasons for research degree(Encouraged or required to do so by my employer) [OTHRRSCHDEG5] -opt in questionProvider &gt; Graduate &gt; Opt in questions:</v>
      </c>
      <c r="Y504" s="15">
        <v>43550</v>
      </c>
      <c r="Z504" t="s">
        <v>159</v>
      </c>
      <c r="AA504" s="28" t="str">
        <f t="shared" si="77"/>
        <v/>
      </c>
      <c r="AB504" s="28" t="str">
        <f t="shared" si="80"/>
        <v/>
      </c>
      <c r="AC504" s="28" t="str">
        <f t="shared" si="81"/>
        <v/>
      </c>
      <c r="AD504" s="28" t="str">
        <f t="shared" si="82"/>
        <v/>
      </c>
      <c r="AE504" t="str">
        <f t="shared" si="73"/>
        <v>[Other reasons for research degree]</v>
      </c>
    </row>
    <row r="505" spans="1:31" ht="80" x14ac:dyDescent="0.2">
      <c r="A505">
        <v>100406</v>
      </c>
      <c r="B505" s="11" t="str">
        <f>DataItems3[[#This Row],[Field]]&amp;IF(DataItems3[[#This Row],[Options for supplying the Field]]="",""," "&amp;DataItems3[[#This Row],[Options for supplying the Field]])</f>
        <v>Other reasons for research degree (Encouraged to do so by university (including lecturer, tutor)) [OTHRRSCHDEG10] -opt in question</v>
      </c>
      <c r="C505">
        <v>100406</v>
      </c>
      <c r="D505" s="3" t="s">
        <v>151</v>
      </c>
      <c r="F505" s="3" t="s">
        <v>1826</v>
      </c>
      <c r="G505" s="13" t="s">
        <v>1828</v>
      </c>
      <c r="I505" s="3" t="s">
        <v>2991</v>
      </c>
      <c r="J505" s="3">
        <v>1</v>
      </c>
      <c r="K505" s="3">
        <v>1</v>
      </c>
      <c r="L505" s="3">
        <v>0</v>
      </c>
      <c r="M505" s="3">
        <v>0</v>
      </c>
      <c r="P505" s="3" t="s">
        <v>448</v>
      </c>
      <c r="R505" s="3" t="s">
        <v>93</v>
      </c>
      <c r="V505" s="3" t="s">
        <v>93</v>
      </c>
      <c r="W505" s="57" t="s">
        <v>2926</v>
      </c>
      <c r="X505" t="str">
        <f>DataItems3[[#This Row],[Collection]]&amp;DataItems3[[#This Row],[Field]]&amp;DataItems3[[#This Row],[Options for supplying the Field]]&amp;DataItems3[[#This Row],[Fieldname]]&amp;DataItems3[[#This Row],[Parent]]</f>
        <v>Graduate OutcomesOther reasons for research degree(Encouraged to do so by university (including lecturer, tutor)) [OTHRRSCHDEG10] -opt in questionProvider &gt; Graduate &gt; Opt in questions:</v>
      </c>
      <c r="Y505" s="15">
        <v>43550</v>
      </c>
      <c r="Z505" t="s">
        <v>159</v>
      </c>
      <c r="AA505" s="28" t="str">
        <f t="shared" si="77"/>
        <v/>
      </c>
      <c r="AB505" s="28" t="str">
        <f t="shared" si="80"/>
        <v/>
      </c>
      <c r="AC505" s="28" t="str">
        <f t="shared" si="81"/>
        <v/>
      </c>
      <c r="AD505" s="28" t="str">
        <f t="shared" si="82"/>
        <v/>
      </c>
      <c r="AE505" t="str">
        <f t="shared" si="73"/>
        <v>[Other reasons for research degree]</v>
      </c>
    </row>
    <row r="506" spans="1:31" ht="80" x14ac:dyDescent="0.2">
      <c r="A506">
        <v>100414</v>
      </c>
      <c r="B506" s="11" t="str">
        <f>DataItems3[[#This Row],[Field]]&amp;IF(DataItems3[[#This Row],[Options for supplying the Field]]="",""," "&amp;DataItems3[[#This Row],[Options for supplying the Field]])</f>
        <v>Other reasons for research degree (Essential to get into area of employment I wanted) [OTHRRSCHDEG8] -opt in question</v>
      </c>
      <c r="C506">
        <v>100414</v>
      </c>
      <c r="D506" s="3" t="s">
        <v>151</v>
      </c>
      <c r="F506" s="3" t="s">
        <v>1826</v>
      </c>
      <c r="G506" s="13" t="s">
        <v>1836</v>
      </c>
      <c r="I506" s="3" t="s">
        <v>2991</v>
      </c>
      <c r="J506" s="3">
        <v>1</v>
      </c>
      <c r="K506" s="3">
        <v>1</v>
      </c>
      <c r="L506" s="3">
        <v>0</v>
      </c>
      <c r="M506" s="3">
        <v>0</v>
      </c>
      <c r="P506" s="3" t="s">
        <v>448</v>
      </c>
      <c r="R506" s="3" t="s">
        <v>93</v>
      </c>
      <c r="V506" s="3" t="s">
        <v>93</v>
      </c>
      <c r="W506" s="57" t="s">
        <v>2926</v>
      </c>
      <c r="X506" t="str">
        <f>DataItems3[[#This Row],[Collection]]&amp;DataItems3[[#This Row],[Field]]&amp;DataItems3[[#This Row],[Options for supplying the Field]]&amp;DataItems3[[#This Row],[Fieldname]]&amp;DataItems3[[#This Row],[Parent]]</f>
        <v>Graduate OutcomesOther reasons for research degree(Essential to get into area of employment I wanted) [OTHRRSCHDEG8] -opt in questionProvider &gt; Graduate &gt; Opt in questions:</v>
      </c>
      <c r="Y506" s="15">
        <v>43550</v>
      </c>
      <c r="Z506" t="s">
        <v>159</v>
      </c>
      <c r="AA506" s="28" t="str">
        <f t="shared" si="77"/>
        <v/>
      </c>
      <c r="AB506" s="28" t="str">
        <f>IF(S506="","",IF(IFERROR(SEARCH("select",S506)&gt;0,0),IF(U506="",IF(MID(S506,SEARCH(H506,S506)-4,1)=" ",MID(S506,SEARCH(H506,S506)-2,LEN(#REF!)+2),MID(S506,SEARCH(H506,S506)-3,LEN(H506)+3)),U506&amp;"."&amp;H506),S506))</f>
        <v/>
      </c>
      <c r="AC506" s="28" t="str">
        <f t="shared" si="81"/>
        <v/>
      </c>
      <c r="AD506" s="28" t="str">
        <f t="shared" si="82"/>
        <v/>
      </c>
      <c r="AE506" t="str">
        <f t="shared" si="73"/>
        <v>[Other reasons for research degree]</v>
      </c>
    </row>
    <row r="507" spans="1:31" ht="64" x14ac:dyDescent="0.2">
      <c r="A507">
        <v>100415</v>
      </c>
      <c r="B507" s="11" t="str">
        <f>DataItems3[[#This Row],[Field]]&amp;IF(DataItems3[[#This Row],[Options for supplying the Field]]="",""," "&amp;DataItems3[[#This Row],[Options for supplying the Field]])</f>
        <v>Other reasons for research degree (I wanted to change career) [OTHRRSCHDEG9] -opt in question</v>
      </c>
      <c r="C507">
        <v>100415</v>
      </c>
      <c r="D507" s="3" t="s">
        <v>151</v>
      </c>
      <c r="F507" s="3" t="s">
        <v>1826</v>
      </c>
      <c r="G507" s="13" t="s">
        <v>1837</v>
      </c>
      <c r="I507" s="3" t="s">
        <v>2991</v>
      </c>
      <c r="J507" s="3">
        <v>1</v>
      </c>
      <c r="K507" s="3">
        <v>1</v>
      </c>
      <c r="L507" s="3">
        <v>0</v>
      </c>
      <c r="M507" s="3">
        <v>0</v>
      </c>
      <c r="P507" s="3" t="s">
        <v>448</v>
      </c>
      <c r="R507" s="3" t="s">
        <v>93</v>
      </c>
      <c r="V507" s="3" t="s">
        <v>93</v>
      </c>
      <c r="W507" s="57" t="s">
        <v>2926</v>
      </c>
      <c r="X507" t="str">
        <f>DataItems3[[#This Row],[Collection]]&amp;DataItems3[[#This Row],[Field]]&amp;DataItems3[[#This Row],[Options for supplying the Field]]&amp;DataItems3[[#This Row],[Fieldname]]&amp;DataItems3[[#This Row],[Parent]]</f>
        <v>Graduate OutcomesOther reasons for research degree(I wanted to change career) [OTHRRSCHDEG9] -opt in questionProvider &gt; Graduate &gt; Opt in questions:</v>
      </c>
      <c r="Y507" s="15">
        <v>43550</v>
      </c>
      <c r="Z507" t="s">
        <v>159</v>
      </c>
      <c r="AA507" s="28" t="str">
        <f t="shared" si="77"/>
        <v/>
      </c>
      <c r="AB507" s="28" t="str">
        <f>IF(S507="","",IF(IFERROR(SEARCH("select",S507)&gt;0,0),IF(U507="",IF(MID(S507,SEARCH(H507,S507)-4,1)=" ",MID(S507,SEARCH(H507,S507)-2,LEN(#REF!)+2),MID(S507,SEARCH(H507,S507)-3,LEN(H507)+3)),U507&amp;"."&amp;H507),S507))</f>
        <v/>
      </c>
      <c r="AC507" s="28" t="str">
        <f t="shared" si="81"/>
        <v/>
      </c>
      <c r="AD507" s="28" t="str">
        <f t="shared" si="82"/>
        <v/>
      </c>
      <c r="AE507" t="str">
        <f t="shared" si="73"/>
        <v>[Other reasons for research degree]</v>
      </c>
    </row>
    <row r="508" spans="1:31" ht="48" x14ac:dyDescent="0.2">
      <c r="A508">
        <v>100408</v>
      </c>
      <c r="B508" s="11" t="str">
        <f>DataItems3[[#This Row],[Field]]&amp;IF(DataItems3[[#This Row],[Options for supplying the Field]]="",""," "&amp;DataItems3[[#This Row],[Options for supplying the Field]])</f>
        <v>Other reasons for research degree (Interested in research) [OTHRRSCHDEG2] -opt in question</v>
      </c>
      <c r="C508">
        <v>100408</v>
      </c>
      <c r="D508" s="3" t="s">
        <v>151</v>
      </c>
      <c r="F508" s="3" t="s">
        <v>1826</v>
      </c>
      <c r="G508" s="13" t="s">
        <v>1830</v>
      </c>
      <c r="I508" s="3" t="s">
        <v>2991</v>
      </c>
      <c r="J508" s="3">
        <v>1</v>
      </c>
      <c r="K508" s="3">
        <v>1</v>
      </c>
      <c r="L508" s="3">
        <v>0</v>
      </c>
      <c r="M508" s="3">
        <v>0</v>
      </c>
      <c r="P508" s="3" t="s">
        <v>448</v>
      </c>
      <c r="R508" s="3" t="s">
        <v>93</v>
      </c>
      <c r="V508" s="3" t="s">
        <v>93</v>
      </c>
      <c r="W508" s="57" t="s">
        <v>2926</v>
      </c>
      <c r="X508" t="str">
        <f>DataItems3[[#This Row],[Collection]]&amp;DataItems3[[#This Row],[Field]]&amp;DataItems3[[#This Row],[Options for supplying the Field]]&amp;DataItems3[[#This Row],[Fieldname]]&amp;DataItems3[[#This Row],[Parent]]</f>
        <v>Graduate OutcomesOther reasons for research degree(Interested in research) [OTHRRSCHDEG2] -opt in questionProvider &gt; Graduate &gt; Opt in questions:</v>
      </c>
      <c r="Y508" s="15">
        <v>43550</v>
      </c>
      <c r="Z508" t="s">
        <v>159</v>
      </c>
      <c r="AA508" s="28" t="str">
        <f t="shared" si="77"/>
        <v/>
      </c>
      <c r="AB508" s="28" t="str">
        <f>IF(S508="","",IF(IFERROR(SEARCH("select",S508)&gt;0,0),IF(U508="",IF(MID(S508,SEARCH(H508,S508)-4,1)=" ",MID(S508,SEARCH(H508,S508)-2,LEN(O517)+2),MID(S508,SEARCH(H508,S508)-3,LEN(H508)+3)),U508&amp;"."&amp;H508),S508))</f>
        <v/>
      </c>
      <c r="AC508" s="28" t="str">
        <f t="shared" si="81"/>
        <v/>
      </c>
      <c r="AD508" s="28" t="str">
        <f t="shared" si="82"/>
        <v/>
      </c>
      <c r="AE508" t="str">
        <f t="shared" si="73"/>
        <v>[Other reasons for research degree]</v>
      </c>
    </row>
    <row r="509" spans="1:31" ht="48" x14ac:dyDescent="0.2">
      <c r="A509">
        <v>100405</v>
      </c>
      <c r="B509" s="11" t="str">
        <f>DataItems3[[#This Row],[Field]]&amp;IF(DataItems3[[#This Row],[Options for supplying the Field]]="",""," "&amp;DataItems3[[#This Row],[Options for supplying the Field]])</f>
        <v>Other reasons for research degree (Interested in subject) [OTHRRSCHDEG1] -opt in question</v>
      </c>
      <c r="C509">
        <v>100405</v>
      </c>
      <c r="D509" s="3" t="s">
        <v>151</v>
      </c>
      <c r="F509" s="3" t="s">
        <v>1826</v>
      </c>
      <c r="G509" s="13" t="s">
        <v>1827</v>
      </c>
      <c r="I509" s="3" t="s">
        <v>2991</v>
      </c>
      <c r="J509" s="3">
        <v>1</v>
      </c>
      <c r="K509" s="3">
        <v>1</v>
      </c>
      <c r="L509" s="3">
        <v>0</v>
      </c>
      <c r="M509" s="3">
        <v>0</v>
      </c>
      <c r="P509" s="3" t="s">
        <v>448</v>
      </c>
      <c r="R509" s="3" t="s">
        <v>93</v>
      </c>
      <c r="V509" s="3" t="s">
        <v>93</v>
      </c>
      <c r="W509" s="57" t="s">
        <v>2926</v>
      </c>
      <c r="X509" t="str">
        <f>DataItems3[[#This Row],[Collection]]&amp;DataItems3[[#This Row],[Field]]&amp;DataItems3[[#This Row],[Options for supplying the Field]]&amp;DataItems3[[#This Row],[Fieldname]]&amp;DataItems3[[#This Row],[Parent]]</f>
        <v>Graduate OutcomesOther reasons for research degree(Interested in subject) [OTHRRSCHDEG1] -opt in questionProvider &gt; Graduate &gt; Opt in questions:</v>
      </c>
      <c r="Y509" s="15">
        <v>43550</v>
      </c>
      <c r="Z509" t="s">
        <v>159</v>
      </c>
      <c r="AA509" s="28" t="str">
        <f t="shared" si="77"/>
        <v/>
      </c>
      <c r="AB509" s="28" t="str">
        <f>IF(S509="","",IF(IFERROR(SEARCH("select",S509)&gt;0,0),IF(U509="",IF(MID(S509,SEARCH(H509,S509)-4,1)=" ",MID(S509,SEARCH(H509,S509)-2,LEN(O518)+2),MID(S509,SEARCH(H509,S509)-3,LEN(H509)+3)),U509&amp;"."&amp;H509),S509))</f>
        <v/>
      </c>
      <c r="AC509" s="28" t="str">
        <f t="shared" si="81"/>
        <v/>
      </c>
      <c r="AD509" s="28" t="str">
        <f t="shared" si="82"/>
        <v/>
      </c>
      <c r="AE509" t="str">
        <f t="shared" si="73"/>
        <v>[Other reasons for research degree]</v>
      </c>
    </row>
    <row r="510" spans="1:31" ht="64" x14ac:dyDescent="0.2">
      <c r="A510">
        <v>100413</v>
      </c>
      <c r="B510" s="11" t="str">
        <f>DataItems3[[#This Row],[Field]]&amp;IF(DataItems3[[#This Row],[Options for supplying the Field]]="",""," "&amp;DataItems3[[#This Row],[Options for supplying the Field]])</f>
        <v>Other reasons for research degree (It would improve my career prospects) [OTHRRSCHDEG7] -opt in question</v>
      </c>
      <c r="C510">
        <v>100413</v>
      </c>
      <c r="D510" s="3" t="s">
        <v>151</v>
      </c>
      <c r="F510" s="3" t="s">
        <v>1826</v>
      </c>
      <c r="G510" s="13" t="s">
        <v>1835</v>
      </c>
      <c r="I510" s="3" t="s">
        <v>2991</v>
      </c>
      <c r="J510" s="3">
        <v>1</v>
      </c>
      <c r="K510" s="3">
        <v>1</v>
      </c>
      <c r="L510" s="3">
        <v>0</v>
      </c>
      <c r="M510" s="3">
        <v>0</v>
      </c>
      <c r="P510" s="3" t="s">
        <v>448</v>
      </c>
      <c r="R510" s="3" t="s">
        <v>93</v>
      </c>
      <c r="V510" s="3" t="s">
        <v>93</v>
      </c>
      <c r="W510" s="57" t="s">
        <v>2926</v>
      </c>
      <c r="X510" t="str">
        <f>DataItems3[[#This Row],[Collection]]&amp;DataItems3[[#This Row],[Field]]&amp;DataItems3[[#This Row],[Options for supplying the Field]]&amp;DataItems3[[#This Row],[Fieldname]]&amp;DataItems3[[#This Row],[Parent]]</f>
        <v>Graduate OutcomesOther reasons for research degree(It would improve my career prospects) [OTHRRSCHDEG7] -opt in questionProvider &gt; Graduate &gt; Opt in questions:</v>
      </c>
      <c r="Y510" s="15">
        <v>43550</v>
      </c>
      <c r="Z510" t="s">
        <v>159</v>
      </c>
      <c r="AA510" s="28" t="str">
        <f t="shared" si="77"/>
        <v/>
      </c>
      <c r="AB510" s="28" t="str">
        <f>IF(S510="","",IF(IFERROR(SEARCH("select",S510)&gt;0,0),IF(U510="",IF(MID(S510,SEARCH(H510,S510)-4,1)=" ",MID(S510,SEARCH(H510,S510)-2,LEN(#REF!)+2),MID(S510,SEARCH(H510,S510)-3,LEN(H510)+3)),U510&amp;"."&amp;H510),S510))</f>
        <v/>
      </c>
      <c r="AC510" s="28" t="str">
        <f t="shared" si="81"/>
        <v/>
      </c>
      <c r="AD510" s="28" t="str">
        <f t="shared" si="82"/>
        <v/>
      </c>
      <c r="AE510" t="str">
        <f t="shared" ref="AE510:AE573" si="83">IF(F510="","","["&amp;SUBSTITUTE(SUBSTITUTE(SUBSTITUTE(F510,"[","{"),"]","}"),"⁽"&amp;CHAR(185)&amp;"⁾","")&amp;"]")</f>
        <v>[Other reasons for research degree]</v>
      </c>
    </row>
    <row r="511" spans="1:31" ht="48" x14ac:dyDescent="0.2">
      <c r="A511">
        <v>100407</v>
      </c>
      <c r="B511" s="11" t="str">
        <f>DataItems3[[#This Row],[Field]]&amp;IF(DataItems3[[#This Row],[Options for supplying the Field]]="",""," "&amp;DataItems3[[#This Row],[Options for supplying the Field]])</f>
        <v>Other reasons for research degree (Other) [OTHRRSCHDEG11] -opt in question</v>
      </c>
      <c r="C511">
        <v>100407</v>
      </c>
      <c r="D511" s="3" t="s">
        <v>151</v>
      </c>
      <c r="F511" s="3" t="s">
        <v>1826</v>
      </c>
      <c r="G511" s="13" t="s">
        <v>1829</v>
      </c>
      <c r="I511" s="3" t="s">
        <v>2991</v>
      </c>
      <c r="J511" s="3">
        <v>1</v>
      </c>
      <c r="K511" s="3">
        <v>1</v>
      </c>
      <c r="L511" s="3">
        <v>0</v>
      </c>
      <c r="M511" s="3">
        <v>0</v>
      </c>
      <c r="P511" s="3" t="s">
        <v>448</v>
      </c>
      <c r="R511" s="3" t="s">
        <v>93</v>
      </c>
      <c r="V511" s="3" t="s">
        <v>93</v>
      </c>
      <c r="W511" s="57" t="s">
        <v>2926</v>
      </c>
      <c r="X511" t="str">
        <f>DataItems3[[#This Row],[Collection]]&amp;DataItems3[[#This Row],[Field]]&amp;DataItems3[[#This Row],[Options for supplying the Field]]&amp;DataItems3[[#This Row],[Fieldname]]&amp;DataItems3[[#This Row],[Parent]]</f>
        <v>Graduate OutcomesOther reasons for research degree(Other) [OTHRRSCHDEG11] -opt in questionProvider &gt; Graduate &gt; Opt in questions:</v>
      </c>
      <c r="Y511" s="15">
        <v>43550</v>
      </c>
      <c r="Z511" t="s">
        <v>159</v>
      </c>
      <c r="AA511" s="28" t="str">
        <f t="shared" si="77"/>
        <v/>
      </c>
      <c r="AB511" s="28" t="str">
        <f>IF(S511="","",IF(IFERROR(SEARCH("select",S511)&gt;0,0),IF(U511="",IF(MID(S511,SEARCH(H511,S511)-4,1)=" ",MID(S511,SEARCH(H511,S511)-2,LEN(#REF!)+2),MID(S511,SEARCH(H511,S511)-3,LEN(H511)+3)),U511&amp;"."&amp;H511),S511))</f>
        <v/>
      </c>
      <c r="AC511" s="28" t="str">
        <f t="shared" si="81"/>
        <v/>
      </c>
      <c r="AD511" s="28" t="str">
        <f>IF(T511="","",IF(IFERROR(SEARCH("select",T511)&gt;0,0),IF(U511="",IF(MID(T511,SEARCH(H511,T511)-4,1)=" ",MID(T511,SEARCH(H511,T511)-2,LEN(#REF!)+2),MID(T511,SEARCH(H511,T511)-3,LEN(H511)+3)),U511&amp;"."&amp;H511),T511))</f>
        <v/>
      </c>
      <c r="AE511" t="str">
        <f t="shared" si="83"/>
        <v>[Other reasons for research degree]</v>
      </c>
    </row>
    <row r="512" spans="1:31" ht="64" x14ac:dyDescent="0.2">
      <c r="A512">
        <v>100412</v>
      </c>
      <c r="B512" s="11" t="str">
        <f>DataItems3[[#This Row],[Field]]&amp;IF(DataItems3[[#This Row],[Options for supplying the Field]]="",""," "&amp;DataItems3[[#This Row],[Options for supplying the Field]])</f>
        <v>Other reasons for research degree (Wanted an academic career) [OTHRRSCHDEG6] -opt in question</v>
      </c>
      <c r="C512">
        <v>100412</v>
      </c>
      <c r="D512" s="3" t="s">
        <v>151</v>
      </c>
      <c r="F512" s="3" t="s">
        <v>1826</v>
      </c>
      <c r="G512" s="13" t="s">
        <v>1834</v>
      </c>
      <c r="I512" s="3" t="s">
        <v>2991</v>
      </c>
      <c r="J512" s="3">
        <v>1</v>
      </c>
      <c r="K512" s="3">
        <v>1</v>
      </c>
      <c r="L512" s="3">
        <v>0</v>
      </c>
      <c r="M512" s="3">
        <v>0</v>
      </c>
      <c r="P512" s="3" t="s">
        <v>448</v>
      </c>
      <c r="R512" s="3" t="s">
        <v>93</v>
      </c>
      <c r="V512" s="3" t="s">
        <v>93</v>
      </c>
      <c r="W512" s="57" t="s">
        <v>2926</v>
      </c>
      <c r="X512" t="str">
        <f>DataItems3[[#This Row],[Collection]]&amp;DataItems3[[#This Row],[Field]]&amp;DataItems3[[#This Row],[Options for supplying the Field]]&amp;DataItems3[[#This Row],[Fieldname]]&amp;DataItems3[[#This Row],[Parent]]</f>
        <v>Graduate OutcomesOther reasons for research degree(Wanted an academic career) [OTHRRSCHDEG6] -opt in questionProvider &gt; Graduate &gt; Opt in questions:</v>
      </c>
      <c r="Y512" s="15">
        <v>43550</v>
      </c>
      <c r="Z512" t="s">
        <v>159</v>
      </c>
      <c r="AA512" s="28" t="str">
        <f t="shared" si="77"/>
        <v/>
      </c>
      <c r="AB512" s="28" t="str">
        <f>IF(S512="","",IF(IFERROR(SEARCH("select",S512)&gt;0,0),IF(U512="",IF(MID(S512,SEARCH(H512,S512)-4,1)=" ",MID(S512,SEARCH(H512,S512)-2,LEN(#REF!)+2),MID(S512,SEARCH(H512,S512)-3,LEN(H512)+3)),U512&amp;"."&amp;H512),S512))</f>
        <v/>
      </c>
      <c r="AC512" s="28" t="str">
        <f t="shared" si="81"/>
        <v/>
      </c>
      <c r="AD512" s="28" t="str">
        <f>IF(T512="","",IF(IFERROR(SEARCH("select",T512)&gt;0,0),IF(U512="",IF(MID(T512,SEARCH(H512,T512)-4,1)=" ",MID(T512,SEARCH(H512,T512)-2,LEN(#REF!)+2),MID(T512,SEARCH(H512,T512)-3,LEN(H512)+3)),U512&amp;"."&amp;H512),T512))</f>
        <v/>
      </c>
      <c r="AE512" t="str">
        <f t="shared" si="83"/>
        <v>[Other reasons for research degree]</v>
      </c>
    </row>
    <row r="513" spans="1:31" ht="96" x14ac:dyDescent="0.2">
      <c r="A513">
        <v>100409</v>
      </c>
      <c r="B513" s="11" t="str">
        <f>DataItems3[[#This Row],[Field]]&amp;IF(DataItems3[[#This Row],[Options for supplying the Field]]="",""," "&amp;DataItems3[[#This Row],[Options for supplying the Field]])</f>
        <v>Other reasons for research degree (Wanted to continue being a student/postpone job hunting) [OTHRRSCHDEG3] -opt in question</v>
      </c>
      <c r="C513">
        <v>100409</v>
      </c>
      <c r="D513" s="3" t="s">
        <v>151</v>
      </c>
      <c r="F513" s="3" t="s">
        <v>1826</v>
      </c>
      <c r="G513" s="13" t="s">
        <v>1831</v>
      </c>
      <c r="I513" s="3" t="s">
        <v>2991</v>
      </c>
      <c r="J513" s="3">
        <v>1</v>
      </c>
      <c r="K513" s="3">
        <v>1</v>
      </c>
      <c r="L513" s="3">
        <v>0</v>
      </c>
      <c r="M513" s="3">
        <v>0</v>
      </c>
      <c r="P513" s="3" t="s">
        <v>448</v>
      </c>
      <c r="R513" s="3" t="s">
        <v>93</v>
      </c>
      <c r="V513" s="3" t="s">
        <v>93</v>
      </c>
      <c r="W513" s="57" t="s">
        <v>2926</v>
      </c>
      <c r="X513" t="str">
        <f>DataItems3[[#This Row],[Collection]]&amp;DataItems3[[#This Row],[Field]]&amp;DataItems3[[#This Row],[Options for supplying the Field]]&amp;DataItems3[[#This Row],[Fieldname]]&amp;DataItems3[[#This Row],[Parent]]</f>
        <v>Graduate OutcomesOther reasons for research degree(Wanted to continue being a student/postpone job hunting) [OTHRRSCHDEG3] -opt in questionProvider &gt; Graduate &gt; Opt in questions:</v>
      </c>
      <c r="Y513" s="15">
        <v>43550</v>
      </c>
      <c r="Z513" t="s">
        <v>159</v>
      </c>
      <c r="AA513" s="28" t="str">
        <f t="shared" si="77"/>
        <v/>
      </c>
      <c r="AB513" s="28" t="str">
        <f>IF(S513="","",IF(IFERROR(SEARCH("select",S513)&gt;0,0),IF(U513="",IF(MID(S513,SEARCH(H513,S513)-4,1)=" ",MID(S513,SEARCH(H513,S513)-2,LEN(O520)+2),MID(S513,SEARCH(H513,S513)-3,LEN(H513)+3)),U513&amp;"."&amp;H513),S513))</f>
        <v/>
      </c>
      <c r="AC513" s="28" t="str">
        <f t="shared" si="81"/>
        <v/>
      </c>
      <c r="AD513" s="28" t="str">
        <f>IF(T513="","",IF(IFERROR(SEARCH("select",T513)&gt;0,0),IF(U513="",IF(MID(T513,SEARCH(H513,T513)-4,1)=" ",MID(T513,SEARCH(H513,T513)-2,LEN(O520)+2),MID(T513,SEARCH(H513,T513)-3,LEN(H513)+3)),U513&amp;"."&amp;H513),T513))</f>
        <v/>
      </c>
      <c r="AE513" t="str">
        <f t="shared" si="83"/>
        <v>[Other reasons for research degree]</v>
      </c>
    </row>
    <row r="514" spans="1:31" ht="16" x14ac:dyDescent="0.2">
      <c r="A514">
        <v>100633</v>
      </c>
      <c r="B514" s="19" t="str">
        <f>DataItems3[[#This Row],[Field]]&amp;IF(DataItems3[[#This Row],[Options for supplying the Field]]="",""," "&amp;DataItems3[[#This Row],[Options for supplying the Field]])</f>
        <v>Paid / volunteer marker [F_XMPAIDMARKER]</v>
      </c>
      <c r="C514">
        <v>100633</v>
      </c>
      <c r="D514" s="3" t="s">
        <v>151</v>
      </c>
      <c r="F514" s="3" t="s">
        <v>1838</v>
      </c>
      <c r="G514" s="13" t="str">
        <f>"["&amp;H514&amp;"]"</f>
        <v>[F_XMPAIDMARKER]</v>
      </c>
      <c r="H514" s="3" t="s">
        <v>1839</v>
      </c>
      <c r="J514" s="3">
        <v>1</v>
      </c>
      <c r="K514" s="3">
        <v>1</v>
      </c>
      <c r="L514" s="3">
        <v>0</v>
      </c>
      <c r="M514" s="3">
        <v>0</v>
      </c>
      <c r="P514" s="3" t="s">
        <v>952</v>
      </c>
      <c r="Q514" s="16" t="s">
        <v>1840</v>
      </c>
      <c r="R514" s="3" t="s">
        <v>93</v>
      </c>
      <c r="S514" s="16" t="s">
        <v>1841</v>
      </c>
      <c r="U514" s="3" t="s">
        <v>1842</v>
      </c>
      <c r="V514" s="3" t="s">
        <v>93</v>
      </c>
      <c r="W514" s="57" t="s">
        <v>2909</v>
      </c>
      <c r="X514" t="str">
        <f>DataItems3[[#This Row],[Collection]]&amp;DataItems3[[#This Row],[Field]]&amp;DataItems3[[#This Row],[Options for supplying the Field]]&amp;DataItems3[[#This Row],[Fieldname]]&amp;DataItems3[[#This Row],[Parent]]</f>
        <v>Graduate OutcomesPaid / volunteer marker[F_XMPAIDMARKER]F_XMPAIDMARKERProvider &gt; Official Stats Derived Field &gt; Work</v>
      </c>
      <c r="Y514" s="15">
        <v>44008</v>
      </c>
      <c r="Z514" t="s">
        <v>159</v>
      </c>
      <c r="AA514" s="28" t="str">
        <f t="shared" si="77"/>
        <v>CASE WHEN ISNULL(g.ZRESPSTATUS, '02')='02' OR ISNULL(g.XACTIVITY, '99')='99' THEN 'Not in GO publication population' else isnull(g.XMPAIDMARKER,'NA/UNK') end</v>
      </c>
      <c r="AB514" s="28" t="str">
        <f>IF(S514="","",IF(IFERROR(SEARCH("select",S514)&gt;0,0),IF(U514="",IF(MID(S514,SEARCH(H514,S514)-4,1)=" ",MID(S514,SEARCH(H514,S514)-2,LEN(#REF!)+2),MID(S514,SEARCH(H514,S514)-3,LEN(H514)+3)),U514&amp;"."&amp;H514),S514))</f>
        <v>CASE WHEN ISNULL(g.ZRESPSTATUS, '02')='02' OR ISNULL(g.XACTIVITY, '99')='99' THEN 'Not in GO publication population' else isnull(XMPAIDMARKER.label,'NA/UNK') end</v>
      </c>
      <c r="AC514" s="28" t="str">
        <f t="shared" si="81"/>
        <v/>
      </c>
      <c r="AD514" s="28" t="str">
        <f>IF(T514="","",IF(IFERROR(SEARCH("select",T514)&gt;0,0),IF(U514="",IF(MID(T514,SEARCH(H514,T514)-4,1)=" ",MID(T514,SEARCH(H514,T514)-2,LEN(#REF!)+2),MID(T514,SEARCH(H514,T514)-3,LEN(H514)+3)),U514&amp;"."&amp;H514),T514))</f>
        <v/>
      </c>
      <c r="AE514" t="str">
        <f t="shared" si="83"/>
        <v>[Paid / volunteer marker]</v>
      </c>
    </row>
    <row r="515" spans="1:31" ht="16" x14ac:dyDescent="0.2">
      <c r="A515">
        <v>100416</v>
      </c>
      <c r="B515" s="11" t="str">
        <f>DataItems3[[#This Row],[Field]]&amp;IF(DataItems3[[#This Row],[Options for supplying the Field]]="",""," "&amp;DataItems3[[#This Row],[Options for supplying the Field]])</f>
        <v>Parental education</v>
      </c>
      <c r="C515">
        <v>100416</v>
      </c>
      <c r="D515" s="3" t="s">
        <v>86</v>
      </c>
      <c r="E515" s="3" t="s">
        <v>106</v>
      </c>
      <c r="F515" s="3" t="s">
        <v>1843</v>
      </c>
      <c r="G515" s="13"/>
      <c r="H515" s="14" t="s">
        <v>1844</v>
      </c>
      <c r="J515" s="3">
        <v>1</v>
      </c>
      <c r="K515" s="3">
        <v>1</v>
      </c>
      <c r="L515" s="3">
        <v>1</v>
      </c>
      <c r="M515" s="3">
        <v>2</v>
      </c>
      <c r="N515" s="3" t="s">
        <v>89</v>
      </c>
      <c r="Q515" s="16" t="s">
        <v>3119</v>
      </c>
      <c r="R515" s="16" t="s">
        <v>3119</v>
      </c>
      <c r="S515" s="16" t="s">
        <v>3120</v>
      </c>
      <c r="T515" s="16" t="s">
        <v>3120</v>
      </c>
      <c r="U515" s="3" t="s">
        <v>1845</v>
      </c>
      <c r="V515" s="3" t="s">
        <v>93</v>
      </c>
      <c r="W515" s="57" t="s">
        <v>114</v>
      </c>
      <c r="X515" t="str">
        <f>DataItems3[[#This Row],[Collection]]&amp;DataItems3[[#This Row],[Field]]&amp;DataItems3[[#This Row],[Options for supplying the Field]]&amp;DataItems3[[#This Row],[Fieldname]]&amp;DataItems3[[#This Row],[Parent]]</f>
        <v>StudentParental educationF_PARED</v>
      </c>
      <c r="Y515" s="15">
        <v>43221</v>
      </c>
      <c r="Z515" t="s">
        <v>102</v>
      </c>
      <c r="AA515" s="28" t="str">
        <f t="shared" si="77"/>
        <v>CASE WHEN right(s.F_PARED,1) IN ('7', '-1', '9', '', ' ') THEN 'Unknown' ELSE ISNULL(CAST(right(s.F_PARED,1) AS VARCHAR), 'Unknown')END</v>
      </c>
      <c r="AB515" s="28" t="str">
        <f>IF(S515="","",IF(IFERROR(SEARCH("select",S515)&gt;0,0),IF(U515="",IF(MID(S515,SEARCH(H515,S515)-4,1)=" ",MID(S515,SEARCH(H515,S515)-2,LEN(#REF!)+2),MID(S515,SEARCH(H515,S515)-3,LEN(H515)+3)),U515&amp;"."&amp;H515),S515))</f>
        <v>CASE WHEN right(s.F_PARED,1) IN ('7', '-1', '9', '', ' ') THEN 'Unknown' ELSE ISNULL(pared.dw_CurrentLabel, 'Unknown')END</v>
      </c>
      <c r="AC515" s="28" t="str">
        <f t="shared" si="81"/>
        <v>CASE WHEN right(s.F_PARED,1) IN ('7', '-1', '9', '', ' ') THEN 'Unknown' ELSE ISNULL(CAST(right(s.F_PARED,1) AS VARCHAR), 'Unknown')END</v>
      </c>
      <c r="AD515" s="28" t="str">
        <f>IF(T515="","",IF(IFERROR(SEARCH("select",T515)&gt;0,0),IF(U515="",IF(MID(T515,SEARCH(H515,T515)-4,1)=" ",MID(T515,SEARCH(H515,T515)-2,LEN(O521)+2),MID(T515,SEARCH(H515,T515)-3,LEN(H515)+3)),U515&amp;"."&amp;H515),T515))</f>
        <v>CASE WHEN right(s.F_PARED,1) IN ('7', '-1', '9', '', ' ') THEN 'Unknown' ELSE ISNULL(pared.dw_CurrentLabel, 'Unknown')END</v>
      </c>
      <c r="AE515" t="str">
        <f t="shared" si="83"/>
        <v>[Parental education]</v>
      </c>
    </row>
    <row r="516" spans="1:31" ht="16" x14ac:dyDescent="0.2">
      <c r="A516">
        <v>100742</v>
      </c>
      <c r="B516" s="11" t="str">
        <f>DataItems3[[#This Row],[Field]]&amp;IF(DataItems3[[#This Row],[Options for supplying the Field]]="",""," "&amp;DataItems3[[#This Row],[Options for supplying the Field]])</f>
        <v>Parental leave 1</v>
      </c>
      <c r="C516">
        <v>100742</v>
      </c>
      <c r="D516" s="3" t="s">
        <v>100</v>
      </c>
      <c r="F516" s="3" t="s">
        <v>1846</v>
      </c>
      <c r="G516" s="13"/>
      <c r="H516" s="14" t="s">
        <v>1847</v>
      </c>
      <c r="J516" s="3">
        <v>3</v>
      </c>
      <c r="K516" s="3">
        <v>2</v>
      </c>
      <c r="L516" s="3">
        <v>2</v>
      </c>
      <c r="M516" s="3">
        <v>2</v>
      </c>
      <c r="N516" s="3" t="s">
        <v>89</v>
      </c>
      <c r="Q516" s="16" t="s">
        <v>1848</v>
      </c>
      <c r="S516" s="16" t="s">
        <v>1849</v>
      </c>
      <c r="T516" s="16"/>
      <c r="U516" s="3" t="s">
        <v>1850</v>
      </c>
      <c r="W516" s="57" t="s">
        <v>2907</v>
      </c>
      <c r="X516" t="str">
        <f>DataItems3[[#This Row],[Collection]]&amp;DataItems3[[#This Row],[Field]]&amp;DataItems3[[#This Row],[Options for supplying the Field]]&amp;DataItems3[[#This Row],[Fieldname]]&amp;DataItems3[[#This Row],[Parent]]</f>
        <v>StaffParental leave 1F_PARLEAVE</v>
      </c>
      <c r="Y516" s="4">
        <v>44168</v>
      </c>
      <c r="Z516" t="s">
        <v>135</v>
      </c>
      <c r="AA516" s="28" t="str">
        <f t="shared" si="77"/>
        <v>CASE WHEN cc.DW_FromDate &lt;= 20140801 THEN 'Not applicable (2014/15 and prior)' WHEN P.F_PARLEAVE = -1 THEN 'Unknown' ELSE (CAST(P.F_PARLEAVE AS VARCHAR)) END</v>
      </c>
      <c r="AB516" s="28" t="str">
        <f>IF(S516="","",IF(IFERROR(SEARCH("select",S516)&gt;0,0),IF(U516="",IF(MID(S516,SEARCH(H516,S516)-4,1)=" ",MID(S516,SEARCH(H516,S516)-2,LEN(#REF!)+2),MID(S516,SEARCH(H516,S516)-3,LEN(H516)+3)),U516&amp;"."&amp;H516),S516))</f>
        <v>CASE WHEN cc.DW_FromDate &lt;= 20140801 THEN 'Not applicable (2014/15 and prior)' WHEN P.F_PARLEAVE = -1 THEN 'Unknown' ELSE PARLEAVE.dw_currentlabel END</v>
      </c>
      <c r="AC516" s="28" t="str">
        <f t="shared" si="81"/>
        <v/>
      </c>
      <c r="AD516" s="28" t="str">
        <f>IF(T516="","",IF(IFERROR(SEARCH("select",T516)&gt;0,0),IF(U516="",IF(MID(T516,SEARCH(H516,T516)-4,1)=" ",MID(T516,SEARCH(H516,T516)-2,LEN(O522)+2),MID(T516,SEARCH(H516,T516)-3,LEN(H516)+3)),U516&amp;"."&amp;H516),T516))</f>
        <v/>
      </c>
      <c r="AE516" t="str">
        <f t="shared" si="83"/>
        <v>[Parental leave 1]</v>
      </c>
    </row>
    <row r="517" spans="1:31" ht="16" x14ac:dyDescent="0.2">
      <c r="A517">
        <v>100417</v>
      </c>
      <c r="B517" s="11" t="str">
        <f>DataItems3[[#This Row],[Field]]&amp;IF(DataItems3[[#This Row],[Options for supplying the Field]]="",""," "&amp;DataItems3[[#This Row],[Options for supplying the Field]])</f>
        <v>Parental leave 2 (2015/16 onwards)</v>
      </c>
      <c r="C517">
        <v>100417</v>
      </c>
      <c r="D517" s="3" t="s">
        <v>100</v>
      </c>
      <c r="F517" s="3" t="s">
        <v>1851</v>
      </c>
      <c r="G517" s="13" t="s">
        <v>1852</v>
      </c>
      <c r="H517" s="14" t="s">
        <v>1853</v>
      </c>
      <c r="J517" s="3">
        <v>3</v>
      </c>
      <c r="K517" s="3">
        <v>0</v>
      </c>
      <c r="L517" s="3">
        <v>2</v>
      </c>
      <c r="M517" s="3">
        <v>2</v>
      </c>
      <c r="N517" s="3" t="s">
        <v>89</v>
      </c>
      <c r="Q517" s="16" t="s">
        <v>1854</v>
      </c>
      <c r="S517" s="16" t="s">
        <v>1855</v>
      </c>
      <c r="T517" s="16"/>
      <c r="U517" s="3" t="s">
        <v>1856</v>
      </c>
      <c r="V517" s="3" t="s">
        <v>93</v>
      </c>
      <c r="W517" s="57" t="s">
        <v>2907</v>
      </c>
      <c r="X517" t="str">
        <f>DataItems3[[#This Row],[Collection]]&amp;DataItems3[[#This Row],[Field]]&amp;DataItems3[[#This Row],[Options for supplying the Field]]&amp;DataItems3[[#This Row],[Fieldname]]&amp;DataItems3[[#This Row],[Parent]]</f>
        <v>StaffParental leave 2(2015/16 onwards)F_PARLEAVE2</v>
      </c>
      <c r="Y517" s="15">
        <v>43482</v>
      </c>
      <c r="Z517" t="s">
        <v>225</v>
      </c>
      <c r="AA517" s="28" t="str">
        <f t="shared" si="77"/>
        <v>CASE WHEN cc.DW_FromDate &lt;= 20140801 THEN 'Not applicable (2014/15 and prior)' WHEN P.F_PARLEAVE2 = -1 THEN 'Unknown' ELSE (CAST(P.F_PARLEAVE2 AS VARCHAR)) END</v>
      </c>
      <c r="AB517" s="28" t="str">
        <f>IF(S517="","",IF(IFERROR(SEARCH("select",S517)&gt;0,0),IF(U517="",IF(MID(S517,SEARCH(H517,S517)-4,1)=" ",MID(S517,SEARCH(H517,S517)-2,LEN(O519)+2),MID(S517,SEARCH(H517,S517)-3,LEN(H517)+3)),U517&amp;"."&amp;H517),S517))</f>
        <v>CASE WHEN cc.DW_FromDate &lt;= 20140801 THEN 'Not applicable (2014/15 and prior)' WHEN P.F_PARLEAVE2 = -1 THEN 'Unknown' ELSE PARLEAVE2.dw_currentlabel END</v>
      </c>
      <c r="AC517" s="28" t="str">
        <f t="shared" si="81"/>
        <v/>
      </c>
      <c r="AD517" s="28" t="str">
        <f>IF(T517="","",IF(IFERROR(SEARCH("select",T517)&gt;0,0),IF(U517="",IF(MID(T517,SEARCH(H517,T517)-4,1)=" ",MID(T517,SEARCH(H517,T517)-2,LEN(O523)+2),MID(T517,SEARCH(H517,T517)-3,LEN(H517)+3)),U517&amp;"."&amp;H517),T517))</f>
        <v/>
      </c>
      <c r="AE517" t="str">
        <f t="shared" si="83"/>
        <v>[Parental leave 2]</v>
      </c>
    </row>
    <row r="518" spans="1:31" ht="16" x14ac:dyDescent="0.2">
      <c r="A518">
        <v>100805</v>
      </c>
      <c r="B518" s="11" t="str">
        <f>DataItems3[[#This Row],[Field]]&amp;IF(DataItems3[[#This Row],[Options for supplying the Field]]="",""," "&amp;DataItems3[[#This Row],[Options for supplying the Field]])</f>
        <v>Parental leave 3 (2016/17 onwards)</v>
      </c>
      <c r="C518">
        <v>100805</v>
      </c>
      <c r="D518" s="3" t="s">
        <v>100</v>
      </c>
      <c r="F518" s="3" t="s">
        <v>1857</v>
      </c>
      <c r="G518" s="13" t="s">
        <v>1858</v>
      </c>
      <c r="H518" s="14" t="s">
        <v>1859</v>
      </c>
      <c r="J518" s="3">
        <v>3</v>
      </c>
      <c r="K518" s="3">
        <v>0</v>
      </c>
      <c r="L518" s="3">
        <v>2</v>
      </c>
      <c r="M518" s="3">
        <v>2</v>
      </c>
      <c r="N518" s="3" t="s">
        <v>89</v>
      </c>
      <c r="Q518" s="16" t="s">
        <v>1860</v>
      </c>
      <c r="S518" s="16" t="s">
        <v>1861</v>
      </c>
      <c r="T518" s="16"/>
      <c r="U518" s="3" t="s">
        <v>1862</v>
      </c>
      <c r="W518" s="57" t="s">
        <v>2907</v>
      </c>
      <c r="X518" t="str">
        <f>DataItems3[[#This Row],[Collection]]&amp;DataItems3[[#This Row],[Field]]&amp;DataItems3[[#This Row],[Options for supplying the Field]]&amp;DataItems3[[#This Row],[Fieldname]]&amp;DataItems3[[#This Row],[Parent]]</f>
        <v>StaffParental leave 3(2016/17 onwards)F_PARLEAVE3</v>
      </c>
      <c r="Y518" s="4">
        <v>44329</v>
      </c>
      <c r="Z518" t="s">
        <v>135</v>
      </c>
      <c r="AA518" s="28" t="str">
        <f t="shared" si="77"/>
        <v>CASE WHEN cc.DW_FromDate &lt;= 20140801 THEN 'Not applicable (2014/15 and prior)' WHEN P.F_PARLEAVE3 = -1 THEN 'Unknown' ELSE (CAST(P.F_PARLEAVE3 AS VARCHAR)) END</v>
      </c>
      <c r="AB518" s="28" t="str">
        <f>IF(S518="","",IF(IFERROR(SEARCH("select",S518)&gt;0,0),IF(U518="",IF(MID(S518,SEARCH(H518,S518)-4,1)=" ",MID(S518,SEARCH(H518,S518)-2,LEN(#REF!)+2),MID(S518,SEARCH(H518,S518)-3,LEN(H518)+3)),U518&amp;"."&amp;H518),S518))</f>
        <v>CASE WHEN cc.DW_FromDate &lt;= 20140801 THEN 'Not applicable (2014/15 and prior)' WHEN P.F_PARLEAVE3 = -1 THEN 'Unknown' ELSE PARLEAVE3.dw_currentlabel END</v>
      </c>
      <c r="AC518" s="28" t="str">
        <f t="shared" si="81"/>
        <v/>
      </c>
      <c r="AD518" s="28" t="str">
        <f>IF(T518="","",IF(IFERROR(SEARCH("select",T518)&gt;0,0),IF(U518="",IF(MID(T518,SEARCH(H518,T518)-4,1)=" ",MID(T518,SEARCH(H518,T518)-2,LEN(O524)+2),MID(T518,SEARCH(H518,T518)-3,LEN(H518)+3)),U518&amp;"."&amp;H518),T518))</f>
        <v/>
      </c>
      <c r="AE518" t="str">
        <f t="shared" si="83"/>
        <v>[Parental leave 3]</v>
      </c>
    </row>
    <row r="519" spans="1:31" ht="16" x14ac:dyDescent="0.2">
      <c r="A519">
        <v>100425</v>
      </c>
      <c r="B519" s="11" t="str">
        <f>DataItems3[[#This Row],[Field]]&amp;IF(DataItems3[[#This Row],[Options for supplying the Field]]="",""," "&amp;DataItems3[[#This Row],[Options for supplying the Field]])</f>
        <v>PHD submission date (MM/YYYY)</v>
      </c>
      <c r="C519">
        <v>100425</v>
      </c>
      <c r="D519" s="3" t="s">
        <v>86</v>
      </c>
      <c r="F519" s="3" t="s">
        <v>1866</v>
      </c>
      <c r="G519" s="13" t="s">
        <v>1867</v>
      </c>
      <c r="H519" s="14" t="s">
        <v>3121</v>
      </c>
      <c r="J519" s="3">
        <v>2</v>
      </c>
      <c r="K519" s="3">
        <v>1</v>
      </c>
      <c r="L519" s="3">
        <v>1</v>
      </c>
      <c r="M519" s="3">
        <v>0</v>
      </c>
      <c r="Q519" s="16" t="s">
        <v>1868</v>
      </c>
      <c r="R519" s="3" t="s">
        <v>91</v>
      </c>
      <c r="S519" s="16" t="s">
        <v>1868</v>
      </c>
      <c r="U519" s="3" t="s">
        <v>1794</v>
      </c>
      <c r="V519" s="3" t="s">
        <v>93</v>
      </c>
      <c r="W519" s="57" t="s">
        <v>981</v>
      </c>
      <c r="X519" t="str">
        <f>DataItems3[[#This Row],[Collection]]&amp;DataItems3[[#This Row],[Field]]&amp;DataItems3[[#This Row],[Options for supplying the Field]]&amp;DataItems3[[#This Row],[Fieldname]]&amp;DataItems3[[#This Row],[Parent]]</f>
        <v>StudentPHD submission date(MM/YYYY)F_PHDSUB</v>
      </c>
      <c r="Y519" s="15">
        <v>43684</v>
      </c>
      <c r="Z519" t="s">
        <v>95</v>
      </c>
      <c r="AA519" s="28" t="str">
        <f t="shared" si="77"/>
        <v>ISNULL(SUBSTRING(CONVERT(VARCHAR(11),i.F_PHDSUB,101),1,3)+SUBSTRING(CONVERT(VARCHAR(11),i.F_PHDSUB,101),7,10), '12/9999')</v>
      </c>
      <c r="AB519" s="28" t="str">
        <f>IF(S519="","",IF(IFERROR(SEARCH("select",S519)&gt;0,0),IF(U519="",IF(MID(S519,SEARCH(H519,S519)-4,1)=" ",MID(S519,SEARCH(H519,S519)-2,LEN(O524)+2),MID(S519,SEARCH(H519,S519)-3,LEN(H519)+3)),U519&amp;"."&amp;H519),S519))</f>
        <v>ISNULL(SUBSTRING(CONVERT(VARCHAR(11),i.F_PHDSUB,101),1,3)+SUBSTRING(CONVERT(VARCHAR(11),i.F_PHDSUB,101),7,10), '12/9999')</v>
      </c>
      <c r="AC519" s="28" t="str">
        <f t="shared" si="81"/>
        <v xml:space="preserve"> </v>
      </c>
      <c r="AD519" s="28" t="str">
        <f>IF(T519="","",IF(IFERROR(SEARCH("select",T519)&gt;0,0),IF(U519="",IF(MID(T519,SEARCH(H519,T519)-4,1)=" ",MID(T519,SEARCH(H519,T519)-2,LEN(O525)+2),MID(T519,SEARCH(H519,T519)-3,LEN(H519)+3)),U519&amp;"."&amp;H519),T519))</f>
        <v/>
      </c>
      <c r="AE519" t="str">
        <f t="shared" si="83"/>
        <v>[PHD submission date]</v>
      </c>
    </row>
    <row r="520" spans="1:31" ht="16" x14ac:dyDescent="0.2">
      <c r="A520">
        <v>100768</v>
      </c>
      <c r="B520" s="19" t="str">
        <f>DataItems3[[#This Row],[Field]]&amp;IF(DataItems3[[#This Row],[Options for supplying the Field]]="",""," "&amp;DataItems3[[#This Row],[Options for supplying the Field]])</f>
        <v>PIs non-continuation status</v>
      </c>
      <c r="C520">
        <v>100768</v>
      </c>
      <c r="D520" s="3" t="s">
        <v>86</v>
      </c>
      <c r="F520" s="3" t="s">
        <v>1870</v>
      </c>
      <c r="G520" s="13"/>
      <c r="H520" t="s">
        <v>1871</v>
      </c>
      <c r="J520" s="3">
        <v>3</v>
      </c>
      <c r="K520" s="3">
        <v>3</v>
      </c>
      <c r="L520" s="3">
        <v>0</v>
      </c>
      <c r="M520" s="3">
        <v>2</v>
      </c>
      <c r="Q520" s="16" t="s">
        <v>3122</v>
      </c>
      <c r="S520" s="16" t="s">
        <v>3122</v>
      </c>
      <c r="U520" s="3" t="s">
        <v>1869</v>
      </c>
      <c r="W520" s="57" t="s">
        <v>764</v>
      </c>
      <c r="X520" t="str">
        <f>DataItems3[[#This Row],[Collection]]&amp;DataItems3[[#This Row],[Field]]&amp;DataItems3[[#This Row],[Options for supplying the Field]]&amp;DataItems3[[#This Row],[Fieldname]]&amp;DataItems3[[#This Row],[Parent]]</f>
        <v>StudentPIs non-continuation statusF_CONTINUATION_MARKER</v>
      </c>
      <c r="Y520" s="4">
        <v>44250</v>
      </c>
      <c r="Z520" t="s">
        <v>135</v>
      </c>
      <c r="AA520" s="28" t="str">
        <f t="shared" si="77"/>
        <v>case when pi.f_zcont_stat_T3='1' then 'Continue or qualify at same HEP' when pi.f_zcont_stat_T3='2' then 'At other UK HEP' when pi.f_zcont_stat_T3='3' then 'Not in HE' else 'Not in PI population' end</v>
      </c>
      <c r="AB520" s="28" t="str">
        <f>IF(S520="","",IF(IFERROR(SEARCH("select",S520)&gt;0,0),IF(U520="",IF(MID(S520,SEARCH(H520,S520)-4,1)=" ",MID(S520,SEARCH(H520,S520)-2,LEN(O527)+2),MID(S520,SEARCH(H520,S520)-3,LEN(H520)+3)),U520&amp;"."&amp;H520),S520))</f>
        <v>case when pi.f_zcont_stat_T3='1' then 'Continue or qualify at same HEP' when pi.f_zcont_stat_T3='2' then 'At other UK HEP' when pi.f_zcont_stat_T3='3' then 'Not in HE' else 'Not in PI population' end</v>
      </c>
      <c r="AC520" s="28" t="str">
        <f t="shared" si="81"/>
        <v/>
      </c>
      <c r="AD520" s="28" t="str">
        <f>IF(T520="","",IF(IFERROR(SEARCH("select",T520)&gt;0,0),IF(U520="",IF(MID(T520,SEARCH(H520,T520)-4,1)=" ",MID(T520,SEARCH(H520,T520)-2,LEN(O528)+2),MID(T520,SEARCH(H520,T520)-3,LEN(H520)+3)),U520&amp;"."&amp;H520),T520))</f>
        <v/>
      </c>
      <c r="AE520" t="str">
        <f t="shared" si="83"/>
        <v>[PIs non-continuation status]</v>
      </c>
    </row>
    <row r="521" spans="1:31" ht="16" x14ac:dyDescent="0.2">
      <c r="A521">
        <v>100427</v>
      </c>
      <c r="B521" s="11" t="str">
        <f>DataItems3[[#This Row],[Field]]&amp;IF(DataItems3[[#This Row],[Options for supplying the Field]]="",""," "&amp;DataItems3[[#This Row],[Options for supplying the Field]])</f>
        <v>Population marker (DLHE)</v>
      </c>
      <c r="C521">
        <v>100427</v>
      </c>
      <c r="D521" s="3" t="s">
        <v>146</v>
      </c>
      <c r="F521" s="3" t="s">
        <v>1872</v>
      </c>
      <c r="G521" s="13" t="s">
        <v>1873</v>
      </c>
      <c r="H521" s="14" t="s">
        <v>93</v>
      </c>
      <c r="J521" s="3">
        <v>1</v>
      </c>
      <c r="K521" s="3">
        <v>1</v>
      </c>
      <c r="L521" s="3">
        <v>0</v>
      </c>
      <c r="M521" s="3">
        <v>0</v>
      </c>
      <c r="N521" s="3" t="s">
        <v>1874</v>
      </c>
      <c r="Q521" s="16" t="s">
        <v>93</v>
      </c>
      <c r="R521" s="3" t="s">
        <v>93</v>
      </c>
      <c r="S521" s="16" t="s">
        <v>93</v>
      </c>
      <c r="U521" s="3" t="s">
        <v>93</v>
      </c>
      <c r="V521" s="3" t="s">
        <v>93</v>
      </c>
      <c r="W521" s="57" t="s">
        <v>2926</v>
      </c>
      <c r="X521" t="str">
        <f>DataItems3[[#This Row],[Collection]]&amp;DataItems3[[#This Row],[Field]]&amp;DataItems3[[#This Row],[Options for supplying the Field]]&amp;DataItems3[[#This Row],[Fieldname]]&amp;DataItems3[[#This Row],[Parent]]</f>
        <v>DLHEPopulation marker(DLHE)</v>
      </c>
      <c r="Y521" s="15"/>
      <c r="AA521" s="28" t="str">
        <f t="shared" si="77"/>
        <v/>
      </c>
      <c r="AB521" s="28" t="str">
        <f t="shared" ref="AB521:AB548" si="84">IF(S521="","",IF(IFERROR(SEARCH("select",S521)&gt;0,0),IF(U521="",IF(MID(S521,SEARCH(H521,S521)-4,1)=" ",MID(S521,SEARCH(H521,S521)-2,LEN(O530)+2),MID(S521,SEARCH(H521,S521)-3,LEN(H521)+3)),U521&amp;"."&amp;H521),S521))</f>
        <v/>
      </c>
      <c r="AC521" s="28" t="str">
        <f t="shared" si="81"/>
        <v/>
      </c>
      <c r="AD521" s="28" t="str">
        <f t="shared" ref="AD521:AD549" si="85">IF(T521="","",IF(IFERROR(SEARCH("select",T521)&gt;0,0),IF(U521="",IF(MID(T521,SEARCH(H521,T521)-4,1)=" ",MID(T521,SEARCH(H521,T521)-2,LEN(O530)+2),MID(T521,SEARCH(H521,T521)-3,LEN(H521)+3)),U521&amp;"."&amp;H521),T521))</f>
        <v/>
      </c>
      <c r="AE521" t="str">
        <f t="shared" si="83"/>
        <v>[Population marker]</v>
      </c>
    </row>
    <row r="522" spans="1:31" ht="32" x14ac:dyDescent="0.2">
      <c r="A522">
        <v>100840</v>
      </c>
      <c r="B522" s="11" t="str">
        <f>DataItems3[[#This Row],[Field]]&amp;IF(DataItems3[[#This Row],[Options for supplying the Field]]="",""," "&amp;DataItems3[[#This Row],[Options for supplying the Field]])</f>
        <v>Population marker (Graduate Outcomes target population)</v>
      </c>
      <c r="C522">
        <v>100840</v>
      </c>
      <c r="D522" s="3" t="s">
        <v>151</v>
      </c>
      <c r="F522" s="3" t="s">
        <v>1872</v>
      </c>
      <c r="G522" s="13" t="s">
        <v>1875</v>
      </c>
      <c r="H522" s="3" t="s">
        <v>1876</v>
      </c>
      <c r="J522" s="3">
        <v>1</v>
      </c>
      <c r="K522" s="3">
        <v>1</v>
      </c>
      <c r="L522" s="3">
        <v>0</v>
      </c>
      <c r="M522" s="3">
        <v>0</v>
      </c>
      <c r="Q522" s="16" t="s">
        <v>1877</v>
      </c>
      <c r="S522" s="16" t="s">
        <v>1877</v>
      </c>
      <c r="T522" s="16"/>
      <c r="W522" s="57" t="s">
        <v>2656</v>
      </c>
      <c r="X522" t="str">
        <f>DataItems3[[#This Row],[Collection]]&amp;DataItems3[[#This Row],[Field]]&amp;DataItems3[[#This Row],[Options for supplying the Field]]&amp;DataItems3[[#This Row],[Fieldname]]&amp;DataItems3[[#This Row],[Parent]]</f>
        <v>Graduate OutcomesPopulation marker(Graduate Outcomes target population)F_XGOTARG</v>
      </c>
      <c r="Y522" s="4">
        <v>44522</v>
      </c>
      <c r="Z522" t="s">
        <v>135</v>
      </c>
      <c r="AA522" s="28" t="str">
        <f t="shared" si="77"/>
        <v>CASE WHEN g.dk_instance is null THEN 'Not in GO target population' else 'In GO target population' end</v>
      </c>
      <c r="AB522" s="28" t="str">
        <f t="shared" si="84"/>
        <v>CASE WHEN g.dk_instance is null THEN 'Not in GO target population' else 'In GO target population' end</v>
      </c>
      <c r="AC522" s="28" t="str">
        <f t="shared" si="81"/>
        <v/>
      </c>
      <c r="AD522" s="28" t="str">
        <f t="shared" si="85"/>
        <v/>
      </c>
      <c r="AE522" t="str">
        <f t="shared" si="83"/>
        <v>[Population marker]</v>
      </c>
    </row>
    <row r="523" spans="1:31" ht="48" x14ac:dyDescent="0.2">
      <c r="A523">
        <v>100841</v>
      </c>
      <c r="B523" s="11" t="str">
        <f>DataItems3[[#This Row],[Field]]&amp;IF(DataItems3[[#This Row],[Options for supplying the Field]]="",""," "&amp;DataItems3[[#This Row],[Options for supplying the Field]])</f>
        <v>Population marker (1 December - IVES shown in population separately)</v>
      </c>
      <c r="C523">
        <v>100841</v>
      </c>
      <c r="D523" s="3" t="s">
        <v>86</v>
      </c>
      <c r="F523" s="3" t="s">
        <v>1872</v>
      </c>
      <c r="G523" s="13" t="s">
        <v>1878</v>
      </c>
      <c r="H523" s="14" t="s">
        <v>1879</v>
      </c>
      <c r="J523" s="3">
        <v>5</v>
      </c>
      <c r="K523" s="3">
        <v>1</v>
      </c>
      <c r="L523" s="3">
        <v>0</v>
      </c>
      <c r="M523" s="3">
        <v>0</v>
      </c>
      <c r="Q523" s="16" t="s">
        <v>3123</v>
      </c>
      <c r="S523" s="16" t="s">
        <v>3124</v>
      </c>
      <c r="T523" s="16"/>
      <c r="W523" s="57" t="s">
        <v>482</v>
      </c>
      <c r="X523" t="str">
        <f>DataItems3[[#This Row],[Collection]]&amp;DataItems3[[#This Row],[Field]]&amp;DataItems3[[#This Row],[Options for supplying the Field]]&amp;DataItems3[[#This Row],[Fieldname]]&amp;DataItems3[[#This Row],[Parent]]</f>
        <v>StudentPopulation marker(1 December - IVES shown in population separately)F_XPDEC01</v>
      </c>
      <c r="Y523" s="4">
        <v>44617</v>
      </c>
      <c r="Z523" t="s">
        <v>99</v>
      </c>
      <c r="AA523" s="28" t="str">
        <f t="shared" si="77"/>
        <v>CASE WHEN (s.F_TTCID IN ('0', '1', '2', '5', '8', '9', 'D', 'G', 'H', 'J', 'K', 'L', 'M', 'N', 'P', 'Q') OR s.F_TTCID='')  AND (s.F_LOCSDY IN ('6', '9', 'A', 'B', 'C', 'D', 'E', 'F', 'G', 'H', 'J', 'K', 'M', 'N', 'P', 'Q', 'R', 'X', 'T', 'U', 'Z') OR s.F_LOCSDY='-1')  AND (s.F_MODE IN ('01', '02', '12', '13', '14', '23', '24', '25', '31', '32', '33', '34', '35', '36', '37', '38', '39',/* '43', '44','51',*/ '52','53', '65', '66', '67', '68', '69', '73', '74', '99') OR s.F_MODE IS NULL)  AND (s.F_ENDDATE&gt;='01-DEC-' + SUBSTRING(CAST(s.DW_FromDate AS VARCHAR), 3, 2)OR s.F_ENDDATE IS NULL) AND (s.F_COMDATE&lt;='01-DEC-' + SUBSTRING(CAST(s.DW_FromDate AS VARCHAR), 3, 2)OR s.F_COMDATE IS NULL )  AND SUBSTRING(s.F_COURSEAIM, 1, 1) IN ('D', 'E', 'L', 'M', 'H', 'I', 'J', 'C') THEN  IIF(s.F_EXCHANGE IN ('4', 'G','O'), 'IVES', '1')   ELSE '0' END</v>
      </c>
      <c r="AB523" s="28" t="str">
        <f t="shared" si="84"/>
        <v>CASE WHEN (s.F_TTCID IN ('0', '1', '2', '5', '8', '9', 'D', 'G', 'H', 'J', 'K', 'L', 'M', 'N', 'P', 'Q') OR s.F_TTCID='')  AND (s.F_LOCSDY IN ('6', '9', 'A', 'B', 'C', 'D', 'E', 'F', 'G', 'H', 'J', 'K', 'M', 'N', 'P', 'Q', 'R', 'X', 'T', 'U', 'Z') OR s.F_LOCSDY='-1')  AND (s.F_MODE IN ('01', '02', '12', '13', '14', '23', '24', '25', '31', '32', '33', '34', '35', '36', '37', '38', '39',/* '43', '44','51',*/ '52','53', '65', '66', '67', '68', '69', '73', '74', '99') OR s.F_MODE IS NULL)  AND (s.F_ENDDATE&gt;='01-DEC-' + SUBSTRING(CAST(s.DW_FromDate AS VARCHAR), 3, 2)OR s.F_ENDDATE IS NULL) AND (s.F_COMDATE&lt;='01-DEC-' + SUBSTRING(CAST(s.DW_FromDate AS VARCHAR), 3, 2)OR s.F_COMDATE IS NULL )  AND SUBSTRING(s.F_COURSEAIM, 1, 1) IN ('D', 'E', 'L', 'M', 'H', 'I', 'J', 'C') THEN  IIF(s.F_EXCHANGE IN ('4', 'G','O'), 'The instance is counted within the 1 December IVES HE population', 'The instance is counted within the 1 December HE population')   ELSE 'The instance is NOT counted within the 1 December HE population' END</v>
      </c>
      <c r="AC523" s="28" t="str">
        <f t="shared" si="81"/>
        <v/>
      </c>
      <c r="AD523" s="28" t="str">
        <f t="shared" si="85"/>
        <v/>
      </c>
      <c r="AE523" t="str">
        <f t="shared" si="83"/>
        <v>[Population marker]</v>
      </c>
    </row>
    <row r="524" spans="1:31" ht="16" x14ac:dyDescent="0.2">
      <c r="A524">
        <v>100798</v>
      </c>
      <c r="B524" s="11" t="str">
        <f>DataItems3[[#This Row],[Field]]&amp;IF(DataItems3[[#This Row],[Options for supplying the Field]]="",""," "&amp;DataItems3[[#This Row],[Options for supplying the Field]])</f>
        <v>Population marker (1 December)</v>
      </c>
      <c r="C524">
        <v>100798</v>
      </c>
      <c r="D524" s="3" t="s">
        <v>86</v>
      </c>
      <c r="F524" s="3" t="s">
        <v>1872</v>
      </c>
      <c r="G524" s="13" t="s">
        <v>1880</v>
      </c>
      <c r="H524" s="14" t="s">
        <v>1879</v>
      </c>
      <c r="J524" s="3">
        <v>4</v>
      </c>
      <c r="K524" s="3">
        <v>1</v>
      </c>
      <c r="L524" s="3">
        <v>0</v>
      </c>
      <c r="M524" s="3">
        <v>0</v>
      </c>
      <c r="Q524" s="16" t="s">
        <v>1881</v>
      </c>
      <c r="S524" s="16" t="s">
        <v>1882</v>
      </c>
      <c r="T524" s="16"/>
      <c r="W524" s="57" t="s">
        <v>109</v>
      </c>
      <c r="X524" t="str">
        <f>DataItems3[[#This Row],[Collection]]&amp;DataItems3[[#This Row],[Field]]&amp;DataItems3[[#This Row],[Options for supplying the Field]]&amp;DataItems3[[#This Row],[Fieldname]]&amp;DataItems3[[#This Row],[Parent]]</f>
        <v>StudentPopulation marker(1 December)F_XPDEC01</v>
      </c>
      <c r="Y524" s="4">
        <v>44284</v>
      </c>
      <c r="Z524" t="s">
        <v>135</v>
      </c>
      <c r="AA524" s="28" t="str">
        <f t="shared" si="77"/>
        <v>CASE WHEN (s.F_TTCID IN ('0', '1', '2', '5',/* '8',*/ '9', 'D', 'G', 'H'/*, 'J', 'K'*/, 'L', 'M', 'N', 'P', 'Q') OR s.F_TTCID='') AND (s.F_LOCSDY IN ('6', '9',/* 'A', 'B',*/ 'C', 'D', 'E', /*'F', 'G', */'H', 'J', 'K'/*, 'M', 'N', 'P', 'Q', 'R', 'X'*/, 'T', 'U', 'Z') OR s.F_LOCSDY='-1')  AND (s.F_MODE IN ('01', '02', '12', '13', '14', '23', '24', '25', '31',/*'32',*/ '33', '34', '35', '36', '37', '38', '39'/*, '43', '44', '51', '52', '53'*/, '65',/* '66', '67',*/ '68', '69', '73', '74'/*, '99'*/) OR s.F_MODE IS NULL) AND (s.F_ENDDATE&gt;='01-DEC-' + SUBSTRING(CAST(s.DW_FromDate AS VARCHAR), 3, 2)OR s.F_ENDDATE IS NULL) AND (s.F_COMDATE&lt;='01-DEC-' + SUBSTRING(CAST(s.DW_FromDate AS VARCHAR), 3, 2)OR s.F_COMDATE IS NULL)  AND SUBSTRING(s.F_COURSEAIM, 1, 1) IN ('D', 'E', 'L', 'M', 'H', 'I', 'J', 'C') THEN 1  ELSE 0 END</v>
      </c>
      <c r="AB524" s="28" t="str">
        <f t="shared" si="84"/>
        <v>CASE WHEN (s.F_TTCID IN ('0', '1', '2', '5',/* '8',*/ '9', 'D', 'G', 'H'/*, 'J', 'K'*/, 'L', 'M', 'N', 'P', 'Q') OR s.F_TTCID='') AND (s.F_LOCSDY IN ('6', '9',/* 'A', 'B',*/ 'C', 'D', 'E', /*'F', 'G', */'H', 'J', 'K'/*, 'M', 'N', 'P', 'Q', 'R', 'X'*/, 'T', 'U', 'Z') OR s.F_LOCSDY='-1')  AND (s.F_MODE IN ('01', '02', '12', '13', '14', '23', '24', '25', '31',/*'32',*/ '33', '34', '35', '36', '37', '38', '39'/*, '43', '44', '51', '52', '53'*/, '65',/* '66', '67',*/ '68', '69', '73', '74'/*, '99'*/) OR s.F_MODE IS NULL) AND (s.F_ENDDATE&gt;='01-DEC-' + SUBSTRING(CAST(s.DW_FromDate AS VARCHAR), 3, 2)OR s.F_ENDDATE IS NULL) AND (s.F_COMDATE&lt;='01-DEC-' + SUBSTRING(CAST(s.DW_FromDate AS VARCHAR), 3, 2)OR s.F_COMDATE IS NULL)  AND SUBSTRING(s.F_COURSEAIM, 1, 1) IN ('D', 'E', 'L', 'M', 'H', 'I', 'J', 'C') THEN "The instance is counted within the 1 December HE population"  ELSE "The instance is NOT counted within the 1 December population" END</v>
      </c>
      <c r="AC524" s="28" t="str">
        <f t="shared" si="81"/>
        <v/>
      </c>
      <c r="AD524" s="28" t="str">
        <f t="shared" si="85"/>
        <v/>
      </c>
      <c r="AE524" t="str">
        <f t="shared" si="83"/>
        <v>[Population marker]</v>
      </c>
    </row>
    <row r="525" spans="1:31" ht="16" x14ac:dyDescent="0.2">
      <c r="A525">
        <v>100428</v>
      </c>
      <c r="B525" s="11" t="str">
        <f>DataItems3[[#This Row],[Field]]&amp;IF(DataItems3[[#This Row],[Options for supplying the Field]]="",""," "&amp;DataItems3[[#This Row],[Options for supplying the Field]])</f>
        <v>Population marker (Graduate Outcomes)</v>
      </c>
      <c r="C525">
        <v>100428</v>
      </c>
      <c r="D525" s="3" t="s">
        <v>151</v>
      </c>
      <c r="F525" s="3" t="s">
        <v>1872</v>
      </c>
      <c r="G525" s="13" t="s">
        <v>1883</v>
      </c>
      <c r="H525" s="3" t="s">
        <v>1884</v>
      </c>
      <c r="J525" s="3">
        <v>1</v>
      </c>
      <c r="K525" s="3">
        <v>1</v>
      </c>
      <c r="L525" s="3">
        <v>0</v>
      </c>
      <c r="M525" s="3">
        <v>0</v>
      </c>
      <c r="Q525" s="16" t="s">
        <v>1885</v>
      </c>
      <c r="R525" s="3" t="s">
        <v>93</v>
      </c>
      <c r="S525" s="16" t="s">
        <v>1885</v>
      </c>
      <c r="U525" s="3" t="s">
        <v>93</v>
      </c>
      <c r="V525" s="3" t="s">
        <v>93</v>
      </c>
      <c r="W525" s="57" t="s">
        <v>2909</v>
      </c>
      <c r="X525" t="str">
        <f>DataItems3[[#This Row],[Collection]]&amp;DataItems3[[#This Row],[Field]]&amp;DataItems3[[#This Row],[Options for supplying the Field]]&amp;DataItems3[[#This Row],[Fieldname]]&amp;DataItems3[[#This Row],[Parent]]</f>
        <v>Graduate OutcomesPopulation marker(Graduate Outcomes)F_XPGO01</v>
      </c>
      <c r="Y525" s="4">
        <v>44014</v>
      </c>
      <c r="Z525" t="s">
        <v>139</v>
      </c>
      <c r="AA525" s="28" t="str">
        <f t="shared" si="77"/>
        <v>CASE WHEN ISNULL(g.ZRESPSTATUS, '02')='02' OR ISNULL(g.XACTIVITY, '99')='99' THEN 'Not in GO publication population' else 'In GO population' end</v>
      </c>
      <c r="AB525" s="28" t="str">
        <f t="shared" si="84"/>
        <v>CASE WHEN ISNULL(g.ZRESPSTATUS, '02')='02' OR ISNULL(g.XACTIVITY, '99')='99' THEN 'Not in GO publication population' else 'In GO population' end</v>
      </c>
      <c r="AC525" s="28" t="str">
        <f t="shared" si="81"/>
        <v/>
      </c>
      <c r="AD525" s="28" t="str">
        <f t="shared" si="85"/>
        <v/>
      </c>
      <c r="AE525" t="str">
        <f t="shared" si="83"/>
        <v>[Population marker]</v>
      </c>
    </row>
    <row r="526" spans="1:31" ht="48" x14ac:dyDescent="0.2">
      <c r="A526">
        <v>100843</v>
      </c>
      <c r="B526" s="11" t="str">
        <f>DataItems3[[#This Row],[Field]]&amp;IF(DataItems3[[#This Row],[Options for supplying the Field]]="",""," "&amp;DataItems3[[#This Row],[Options for supplying the Field]])</f>
        <v>Population marker (Qualifiers - IVES shown in population separately)</v>
      </c>
      <c r="C526">
        <v>100843</v>
      </c>
      <c r="D526" s="3" t="s">
        <v>86</v>
      </c>
      <c r="F526" s="3" t="s">
        <v>1872</v>
      </c>
      <c r="G526" s="13" t="s">
        <v>1886</v>
      </c>
      <c r="H526" s="14" t="s">
        <v>1887</v>
      </c>
      <c r="J526" s="3">
        <v>2</v>
      </c>
      <c r="K526" s="3">
        <v>1</v>
      </c>
      <c r="L526" s="3">
        <v>0</v>
      </c>
      <c r="M526" s="3">
        <v>0</v>
      </c>
      <c r="Q526" s="25" t="s">
        <v>3125</v>
      </c>
      <c r="S526" s="16" t="s">
        <v>3126</v>
      </c>
      <c r="U526" s="3" t="s">
        <v>92</v>
      </c>
      <c r="W526" s="57" t="s">
        <v>482</v>
      </c>
      <c r="X526" t="str">
        <f>DataItems3[[#This Row],[Collection]]&amp;DataItems3[[#This Row],[Field]]&amp;DataItems3[[#This Row],[Options for supplying the Field]]&amp;DataItems3[[#This Row],[Fieldname]]&amp;DataItems3[[#This Row],[Parent]]</f>
        <v>StudentPopulation marker(Qualifiers - IVES shown in population separately)F_XPQUAL01</v>
      </c>
      <c r="Y526" s="4">
        <v>44617</v>
      </c>
      <c r="Z526" t="s">
        <v>99</v>
      </c>
      <c r="AA526" s="28" t="str">
        <f t="shared" si="77"/>
        <v>CASE WHEN d.XPQUAL_INCIVES = '1' AND s.F_EXCHANGE IN ('G','4','O') THEN 'IVES' ELSE CAST(d.XPQUAL_INCIVES AS VARCHAR(1)) end</v>
      </c>
      <c r="AB526" s="28" t="str">
        <f t="shared" si="84"/>
        <v>CASE WHEN d.XPQUAL_INCIVES = '1' AND s.F_EXCHANGE IN ('G','4','O') THEN 'The instance is counted within the qualifications IVES obtained population' WHEN d.XPQUAL_INCIVES = '1'  then 'The instance is counted within the qualifications obtained population' else 'The instance is NOT counted within the qualifications obtained population' end</v>
      </c>
      <c r="AC526" s="28" t="str">
        <f t="shared" si="81"/>
        <v/>
      </c>
      <c r="AD526" s="28" t="str">
        <f t="shared" si="85"/>
        <v/>
      </c>
      <c r="AE526" t="str">
        <f t="shared" si="83"/>
        <v>[Population marker]</v>
      </c>
    </row>
    <row r="527" spans="1:31" ht="16" x14ac:dyDescent="0.2">
      <c r="A527">
        <v>100429</v>
      </c>
      <c r="B527" s="11" t="str">
        <f>DataItems3[[#This Row],[Field]]&amp;IF(DataItems3[[#This Row],[Options for supplying the Field]]="",""," "&amp;DataItems3[[#This Row],[Options for supplying the Field]])</f>
        <v>Population marker (Qualifiers)</v>
      </c>
      <c r="C527">
        <v>100429</v>
      </c>
      <c r="D527" s="3" t="s">
        <v>86</v>
      </c>
      <c r="E527" s="3" t="s">
        <v>106</v>
      </c>
      <c r="F527" s="3" t="s">
        <v>1872</v>
      </c>
      <c r="G527" s="13" t="s">
        <v>1888</v>
      </c>
      <c r="H527" s="14" t="s">
        <v>1887</v>
      </c>
      <c r="J527" s="3">
        <v>1</v>
      </c>
      <c r="K527" s="3">
        <v>1</v>
      </c>
      <c r="L527" s="3">
        <v>0</v>
      </c>
      <c r="M527" s="3">
        <v>0</v>
      </c>
      <c r="N527" s="3" t="s">
        <v>89</v>
      </c>
      <c r="P527" s="3" t="s">
        <v>280</v>
      </c>
      <c r="Q527" s="16" t="s">
        <v>1889</v>
      </c>
      <c r="R527" s="16" t="s">
        <v>1889</v>
      </c>
      <c r="S527" s="16" t="s">
        <v>1890</v>
      </c>
      <c r="T527" s="16" t="s">
        <v>1890</v>
      </c>
      <c r="U527" s="3" t="s">
        <v>93</v>
      </c>
      <c r="V527" s="3" t="s">
        <v>93</v>
      </c>
      <c r="W527" s="57" t="s">
        <v>109</v>
      </c>
      <c r="X527" t="str">
        <f>DataItems3[[#This Row],[Collection]]&amp;DataItems3[[#This Row],[Field]]&amp;DataItems3[[#This Row],[Options for supplying the Field]]&amp;DataItems3[[#This Row],[Fieldname]]&amp;DataItems3[[#This Row],[Parent]]</f>
        <v>StudentPopulation marker(Qualifiers)F_XPQUAL01Qualifiers</v>
      </c>
      <c r="Y527" s="15">
        <v>43434</v>
      </c>
      <c r="Z527" t="s">
        <v>95</v>
      </c>
      <c r="AA527" s="28" t="str">
        <f t="shared" si="77"/>
        <v>CAST(s.F_XPQUAL01 AS VARCHAR(1))</v>
      </c>
      <c r="AB527" s="28" t="str">
        <f t="shared" si="84"/>
        <v xml:space="preserve"> s.f_xpqual01</v>
      </c>
      <c r="AC527" s="28" t="str">
        <f t="shared" si="81"/>
        <v>CAST(s.F_XPQUAL01 AS VARCHAR(1))</v>
      </c>
      <c r="AD527" s="28" t="str">
        <f t="shared" si="85"/>
        <v xml:space="preserve"> s.f_xpqual01</v>
      </c>
      <c r="AE527" t="str">
        <f t="shared" si="83"/>
        <v>[Population marker]</v>
      </c>
    </row>
    <row r="528" spans="1:31" ht="32" x14ac:dyDescent="0.2">
      <c r="A528">
        <v>100844</v>
      </c>
      <c r="B528" s="11" t="str">
        <f>DataItems3[[#This Row],[Field]]&amp;IF(DataItems3[[#This Row],[Options for supplying the Field]]="",""," "&amp;DataItems3[[#This Row],[Options for supplying the Field]])</f>
        <v>Population marker (Session - IVES shown in population separately)</v>
      </c>
      <c r="C528">
        <v>100844</v>
      </c>
      <c r="D528" s="3" t="s">
        <v>86</v>
      </c>
      <c r="F528" s="3" t="s">
        <v>1872</v>
      </c>
      <c r="G528" s="13" t="s">
        <v>1891</v>
      </c>
      <c r="H528" s="14" t="s">
        <v>1892</v>
      </c>
      <c r="J528" s="3">
        <v>2</v>
      </c>
      <c r="K528" s="3">
        <v>1</v>
      </c>
      <c r="L528" s="3">
        <v>0</v>
      </c>
      <c r="M528" s="3">
        <v>0</v>
      </c>
      <c r="Q528" s="25" t="s">
        <v>3127</v>
      </c>
      <c r="S528" s="25" t="s">
        <v>3128</v>
      </c>
      <c r="T528" s="25"/>
      <c r="U528" s="3" t="s">
        <v>92</v>
      </c>
      <c r="W528" s="57" t="s">
        <v>482</v>
      </c>
      <c r="X528" t="str">
        <f>DataItems3[[#This Row],[Collection]]&amp;DataItems3[[#This Row],[Field]]&amp;DataItems3[[#This Row],[Options for supplying the Field]]&amp;DataItems3[[#This Row],[Fieldname]]&amp;DataItems3[[#This Row],[Parent]]</f>
        <v>StudentPopulation marker(Session - IVES shown in population separately)F_XPSES01</v>
      </c>
      <c r="Y528" s="4">
        <v>44617</v>
      </c>
      <c r="Z528" t="s">
        <v>99</v>
      </c>
      <c r="AA528" s="28" t="str">
        <f t="shared" si="77"/>
        <v>CASE WHEN d.NEWXPSES_INCIVES = '1' AND s.F_EXCHANGE IN ('G','4','O') THEN 'IVES' ELSE CAST(d.NEWXPSES_INCIVES AS VARCHAR(1)) end</v>
      </c>
      <c r="AB528" s="28" t="str">
        <f t="shared" si="84"/>
        <v>CASE WHEN d.NEWXPSES_INCIVES = '1' AND s.F_EXCHANGE IN ('G','4','O') THEN 'The instance is counted within the HE session IVES population' when  d.NEWXPSES_INCIVES = '1' then 'The instance is counted within the HE session population' ELSE 'The instance is NOT counted within the session population' end</v>
      </c>
      <c r="AC528" s="28" t="str">
        <f t="shared" si="81"/>
        <v/>
      </c>
      <c r="AD528" s="28" t="str">
        <f t="shared" si="85"/>
        <v/>
      </c>
      <c r="AE528" t="str">
        <f t="shared" si="83"/>
        <v>[Population marker]</v>
      </c>
    </row>
    <row r="529" spans="1:31" ht="16" x14ac:dyDescent="0.2">
      <c r="A529">
        <v>100430</v>
      </c>
      <c r="B529" s="11" t="str">
        <f>DataItems3[[#This Row],[Field]]&amp;IF(DataItems3[[#This Row],[Options for supplying the Field]]="",""," "&amp;DataItems3[[#This Row],[Options for supplying the Field]])</f>
        <v>Population marker (Session population)</v>
      </c>
      <c r="C529">
        <v>100430</v>
      </c>
      <c r="D529" s="3" t="s">
        <v>86</v>
      </c>
      <c r="F529" s="3" t="s">
        <v>1872</v>
      </c>
      <c r="G529" s="13" t="s">
        <v>1893</v>
      </c>
      <c r="H529" s="14" t="s">
        <v>1892</v>
      </c>
      <c r="J529" s="3">
        <v>1</v>
      </c>
      <c r="K529" s="3">
        <v>1</v>
      </c>
      <c r="L529" s="3">
        <v>0</v>
      </c>
      <c r="M529" s="3">
        <v>0</v>
      </c>
      <c r="N529" s="3" t="s">
        <v>1894</v>
      </c>
      <c r="Q529" s="16" t="s">
        <v>1895</v>
      </c>
      <c r="R529" s="3" t="s">
        <v>91</v>
      </c>
      <c r="S529" s="16" t="s">
        <v>1896</v>
      </c>
      <c r="U529" s="3" t="s">
        <v>93</v>
      </c>
      <c r="V529" s="3" t="s">
        <v>93</v>
      </c>
      <c r="W529" s="57" t="s">
        <v>109</v>
      </c>
      <c r="X529" t="str">
        <f>DataItems3[[#This Row],[Collection]]&amp;DataItems3[[#This Row],[Field]]&amp;DataItems3[[#This Row],[Options for supplying the Field]]&amp;DataItems3[[#This Row],[Fieldname]]&amp;DataItems3[[#This Row],[Parent]]</f>
        <v>StudentPopulation marker(Session population)F_XPSES01</v>
      </c>
      <c r="Y529" s="15">
        <v>43441</v>
      </c>
      <c r="Z529" t="s">
        <v>588</v>
      </c>
      <c r="AA529" s="28" t="str">
        <f t="shared" si="77"/>
        <v>CAST(s.F_XPSES01 AS VARCHAR(1))</v>
      </c>
      <c r="AB529" s="28" t="str">
        <f t="shared" si="84"/>
        <v xml:space="preserve"> s.F_XPSES01</v>
      </c>
      <c r="AC529" s="28" t="str">
        <f t="shared" si="81"/>
        <v xml:space="preserve"> </v>
      </c>
      <c r="AD529" s="28" t="str">
        <f t="shared" si="85"/>
        <v/>
      </c>
      <c r="AE529" t="str">
        <f t="shared" si="83"/>
        <v>[Population marker]</v>
      </c>
    </row>
    <row r="530" spans="1:31" ht="32" x14ac:dyDescent="0.2">
      <c r="A530">
        <v>100842</v>
      </c>
      <c r="B530" s="11" t="str">
        <f>DataItems3[[#This Row],[Field]]&amp;IF(DataItems3[[#This Row],[Options for supplying the Field]]="",""," "&amp;DataItems3[[#This Row],[Options for supplying the Field]])</f>
        <v>Population marker (Student - IVES shown in population separately)</v>
      </c>
      <c r="C530">
        <v>100842</v>
      </c>
      <c r="D530" s="3" t="s">
        <v>86</v>
      </c>
      <c r="F530" s="3" t="s">
        <v>1872</v>
      </c>
      <c r="G530" s="13" t="s">
        <v>1897</v>
      </c>
      <c r="H530" s="14" t="s">
        <v>1898</v>
      </c>
      <c r="J530" s="3">
        <v>2</v>
      </c>
      <c r="K530" s="3">
        <v>1</v>
      </c>
      <c r="L530" s="3">
        <v>0</v>
      </c>
      <c r="M530" s="3">
        <v>0</v>
      </c>
      <c r="Q530" s="25" t="s">
        <v>3129</v>
      </c>
      <c r="S530" s="25" t="s">
        <v>3130</v>
      </c>
      <c r="T530" s="25"/>
      <c r="U530" s="3" t="s">
        <v>92</v>
      </c>
      <c r="W530" s="57" t="s">
        <v>482</v>
      </c>
      <c r="X530" t="str">
        <f>DataItems3[[#This Row],[Collection]]&amp;DataItems3[[#This Row],[Field]]&amp;DataItems3[[#This Row],[Options for supplying the Field]]&amp;DataItems3[[#This Row],[Fieldname]]&amp;DataItems3[[#This Row],[Parent]]</f>
        <v>StudentPopulation marker(Student - IVES shown in population separately)F_XPSR01</v>
      </c>
      <c r="Y530" s="4">
        <v>44617</v>
      </c>
      <c r="Z530" t="s">
        <v>99</v>
      </c>
      <c r="AA530" s="28" t="str">
        <f t="shared" si="77"/>
        <v>CASE WHEN d.NEWXPSR_INCIVES = '1' AND s.F_EXCHANGE IN ('G','4','O') THEN 'IVES' ELSE CAST(d.NEWXPSR_INCIVES AS VARCHAR(1)) end</v>
      </c>
      <c r="AB530" s="28" t="str">
        <f t="shared" si="84"/>
        <v>CASE WHEN d.NEWXPSR_INCIVES = '1' AND s.F_EXCHANGE IN ('G','4','O') THEN 'The record is  counted within the HE standard registration IVES population' WHEN d.NEWXPSR_INCIVES = '1' then 'The record is  counted within the HE standard registration population'  ELSE 'The record is NOT counted within the standard registration population' end</v>
      </c>
      <c r="AC530" s="28" t="str">
        <f t="shared" si="81"/>
        <v/>
      </c>
      <c r="AD530" s="28" t="str">
        <f t="shared" si="85"/>
        <v/>
      </c>
      <c r="AE530" t="str">
        <f t="shared" si="83"/>
        <v>[Population marker]</v>
      </c>
    </row>
    <row r="531" spans="1:31" ht="16" x14ac:dyDescent="0.2">
      <c r="A531">
        <v>100432</v>
      </c>
      <c r="B531" s="11" t="str">
        <f>DataItems3[[#This Row],[Field]]&amp;IF(DataItems3[[#This Row],[Options for supplying the Field]]="",""," "&amp;DataItems3[[#This Row],[Options for supplying the Field]])</f>
        <v>Population marker (Student)</v>
      </c>
      <c r="C531">
        <v>100432</v>
      </c>
      <c r="D531" s="3" t="s">
        <v>86</v>
      </c>
      <c r="E531" s="3" t="s">
        <v>106</v>
      </c>
      <c r="F531" s="3" t="s">
        <v>1872</v>
      </c>
      <c r="G531" s="13" t="s">
        <v>1899</v>
      </c>
      <c r="H531" s="14" t="s">
        <v>1898</v>
      </c>
      <c r="J531" s="3">
        <v>1</v>
      </c>
      <c r="K531" s="3">
        <v>1</v>
      </c>
      <c r="L531" s="3">
        <v>0</v>
      </c>
      <c r="M531" s="3">
        <v>0</v>
      </c>
      <c r="N531" s="3" t="s">
        <v>89</v>
      </c>
      <c r="Q531" s="16" t="s">
        <v>1900</v>
      </c>
      <c r="R531" s="16" t="s">
        <v>1900</v>
      </c>
      <c r="S531" s="16" t="s">
        <v>1901</v>
      </c>
      <c r="T531" s="16" t="s">
        <v>1901</v>
      </c>
      <c r="U531" s="3" t="s">
        <v>93</v>
      </c>
      <c r="V531" s="3" t="s">
        <v>93</v>
      </c>
      <c r="W531" s="57" t="s">
        <v>109</v>
      </c>
      <c r="X531" t="str">
        <f>DataItems3[[#This Row],[Collection]]&amp;DataItems3[[#This Row],[Field]]&amp;DataItems3[[#This Row],[Options for supplying the Field]]&amp;DataItems3[[#This Row],[Fieldname]]&amp;DataItems3[[#This Row],[Parent]]</f>
        <v>StudentPopulation marker(Student)F_XPSR01</v>
      </c>
      <c r="Y531" s="15">
        <v>42919</v>
      </c>
      <c r="Z531" t="s">
        <v>139</v>
      </c>
      <c r="AA531" s="28" t="str">
        <f t="shared" si="77"/>
        <v>CAST(s.F_XPSR01 AS VARCHAR(1))</v>
      </c>
      <c r="AB531" s="28" t="str">
        <f t="shared" si="84"/>
        <v xml:space="preserve"> s.f_xpsr01</v>
      </c>
      <c r="AC531" s="28" t="str">
        <f t="shared" si="81"/>
        <v>CAST(s.F_XPSR01 AS VARCHAR(1))</v>
      </c>
      <c r="AD531" s="28" t="str">
        <f t="shared" si="85"/>
        <v xml:space="preserve"> s.f_xpsr01</v>
      </c>
      <c r="AE531" t="str">
        <f t="shared" si="83"/>
        <v>[Population marker]</v>
      </c>
    </row>
    <row r="532" spans="1:31" ht="16" x14ac:dyDescent="0.2">
      <c r="A532">
        <v>100789</v>
      </c>
      <c r="B532" s="11" t="str">
        <f>DataItems3[[#This Row],[Field]]&amp;IF(DataItems3[[#This Row],[Options for supplying the Field]]="",""," "&amp;DataItems3[[#This Row],[Options for supplying the Field]])</f>
        <v>Population marker (Student including IVES)</v>
      </c>
      <c r="C532">
        <v>100789</v>
      </c>
      <c r="D532" s="3" t="s">
        <v>86</v>
      </c>
      <c r="F532" s="3" t="s">
        <v>1872</v>
      </c>
      <c r="G532" s="13" t="s">
        <v>1902</v>
      </c>
      <c r="H532" s="14" t="s">
        <v>1903</v>
      </c>
      <c r="J532" s="3">
        <v>1</v>
      </c>
      <c r="K532" s="3">
        <v>1</v>
      </c>
      <c r="L532" s="3">
        <v>0</v>
      </c>
      <c r="M532" s="3">
        <v>0</v>
      </c>
      <c r="N532" s="3" t="s">
        <v>89</v>
      </c>
      <c r="Q532" s="28" t="s">
        <v>1904</v>
      </c>
      <c r="S532" s="28" t="s">
        <v>1905</v>
      </c>
      <c r="T532"/>
      <c r="U532" s="3" t="s">
        <v>92</v>
      </c>
      <c r="W532" s="57" t="s">
        <v>482</v>
      </c>
      <c r="X532" t="str">
        <f>DataItems3[[#This Row],[Collection]]&amp;DataItems3[[#This Row],[Field]]&amp;DataItems3[[#This Row],[Options for supplying the Field]]&amp;DataItems3[[#This Row],[Fieldname]]&amp;DataItems3[[#This Row],[Parent]]</f>
        <v>StudentPopulation marker(Student including IVES)NEWXPSR_INCIVES</v>
      </c>
      <c r="Y532" s="4">
        <v>44265</v>
      </c>
      <c r="Z532" t="s">
        <v>1126</v>
      </c>
      <c r="AA532" s="28" t="str">
        <f t="shared" si="77"/>
        <v>d.NEWXPSR_INCIVES</v>
      </c>
      <c r="AB532" s="28" t="str">
        <f t="shared" si="84"/>
        <v>CASE WHEN d.NEWXPSR_INCIVES ='1' then 'The record is counted within the standard HE registration population (including IVES)' 	ELSE 'The record is NOT counted within the standard HE registration population (including IVES)' end</v>
      </c>
      <c r="AC532" s="28" t="str">
        <f t="shared" si="81"/>
        <v/>
      </c>
      <c r="AD532" s="28" t="str">
        <f t="shared" si="85"/>
        <v/>
      </c>
      <c r="AE532" t="str">
        <f t="shared" si="83"/>
        <v>[Population marker]</v>
      </c>
    </row>
    <row r="533" spans="1:31" ht="16" x14ac:dyDescent="0.2">
      <c r="A533">
        <v>100433</v>
      </c>
      <c r="B533" s="11" t="str">
        <f>DataItems3[[#This Row],[Field]]&amp;IF(DataItems3[[#This Row],[Options for supplying the Field]]="",""," "&amp;DataItems3[[#This Row],[Options for supplying the Field]])</f>
        <v>Previous course intensity since graduation 1 [PREVINTENSITY1]</v>
      </c>
      <c r="C533">
        <v>100433</v>
      </c>
      <c r="D533" s="3" t="s">
        <v>151</v>
      </c>
      <c r="F533" s="3" t="s">
        <v>1906</v>
      </c>
      <c r="G533" s="13" t="s">
        <v>1907</v>
      </c>
      <c r="H533" s="3" t="s">
        <v>1908</v>
      </c>
      <c r="J533" s="3">
        <v>1</v>
      </c>
      <c r="K533" s="3">
        <v>1</v>
      </c>
      <c r="L533" s="3">
        <v>0</v>
      </c>
      <c r="M533" s="3">
        <v>0</v>
      </c>
      <c r="P533" s="3" t="s">
        <v>1197</v>
      </c>
      <c r="Q533" s="16" t="s">
        <v>1909</v>
      </c>
      <c r="R533" s="3" t="s">
        <v>93</v>
      </c>
      <c r="S533" s="16" t="s">
        <v>1910</v>
      </c>
      <c r="U533" s="3" t="s">
        <v>1911</v>
      </c>
      <c r="V533" s="3" t="s">
        <v>93</v>
      </c>
      <c r="W533" s="57" t="s">
        <v>2909</v>
      </c>
      <c r="X533" t="str">
        <f>DataItems3[[#This Row],[Collection]]&amp;DataItems3[[#This Row],[Field]]&amp;DataItems3[[#This Row],[Options for supplying the Field]]&amp;DataItems3[[#This Row],[Fieldname]]&amp;DataItems3[[#This Row],[Parent]]</f>
        <v>Graduate OutcomesPrevious course intensity since graduation 1[PREVINTENSITY1]PREVINTENSITY1Provider &gt; Graduate &gt; Previous Study:</v>
      </c>
      <c r="Y533" s="15">
        <v>44008</v>
      </c>
      <c r="Z533" t="s">
        <v>159</v>
      </c>
      <c r="AA533" s="28" t="str">
        <f t="shared" si="77"/>
        <v>CASE WHEN ISNULL(g.ZRESPSTATUS, '02')='02' OR ISNULL(g.XACTIVITY, '99')='99' THEN 'Not in GO publication population' else IIF(isnull(g.PREVINTENSITY1,'')='','N/A',g.PREVINTENSITY1) end</v>
      </c>
      <c r="AB533" s="28" t="str">
        <f t="shared" si="84"/>
        <v>CASE WHEN ISNULL(g.ZRESPSTATUS, '02')='02' OR ISNULL(g.XACTIVITY, '99')='99' THEN 'Not in GO publication population' else IIF(isnull(g.PREVINTENSITY1,'')='','N/A',PREVINTENSITY1.label) end</v>
      </c>
      <c r="AC533" s="28" t="str">
        <f t="shared" si="81"/>
        <v/>
      </c>
      <c r="AD533" s="28" t="str">
        <f t="shared" si="85"/>
        <v/>
      </c>
      <c r="AE533" t="str">
        <f t="shared" si="83"/>
        <v>[Previous course intensity since graduation 1]</v>
      </c>
    </row>
    <row r="534" spans="1:31" ht="16" x14ac:dyDescent="0.2">
      <c r="A534">
        <v>100615</v>
      </c>
      <c r="B534" s="19" t="str">
        <f>DataItems3[[#This Row],[Field]]&amp;IF(DataItems3[[#This Row],[Options for supplying the Field]]="",""," "&amp;DataItems3[[#This Row],[Options for supplying the Field]])</f>
        <v>Previous course intensity since graduation 2 [PREVINTENSITY2]</v>
      </c>
      <c r="C534">
        <v>100615</v>
      </c>
      <c r="D534" s="3" t="s">
        <v>151</v>
      </c>
      <c r="F534" s="3" t="s">
        <v>1912</v>
      </c>
      <c r="G534" s="13" t="s">
        <v>1913</v>
      </c>
      <c r="H534" s="3" t="s">
        <v>1914</v>
      </c>
      <c r="J534" s="3">
        <v>1</v>
      </c>
      <c r="K534" s="3">
        <v>1</v>
      </c>
      <c r="L534" s="3">
        <v>0</v>
      </c>
      <c r="M534" s="3">
        <v>0</v>
      </c>
      <c r="P534" s="3" t="s">
        <v>1197</v>
      </c>
      <c r="Q534" s="16" t="s">
        <v>1915</v>
      </c>
      <c r="R534" s="3" t="s">
        <v>93</v>
      </c>
      <c r="S534" s="16" t="s">
        <v>1916</v>
      </c>
      <c r="U534" s="3" t="s">
        <v>1917</v>
      </c>
      <c r="V534" s="3" t="s">
        <v>93</v>
      </c>
      <c r="W534" s="57" t="s">
        <v>2909</v>
      </c>
      <c r="X534" t="str">
        <f>DataItems3[[#This Row],[Collection]]&amp;DataItems3[[#This Row],[Field]]&amp;DataItems3[[#This Row],[Options for supplying the Field]]&amp;DataItems3[[#This Row],[Fieldname]]&amp;DataItems3[[#This Row],[Parent]]</f>
        <v>Graduate OutcomesPrevious course intensity since graduation 2[PREVINTENSITY2]PREVINTENSITY2Provider &gt; Graduate &gt; Previous Study:</v>
      </c>
      <c r="Y534" s="15">
        <v>44008</v>
      </c>
      <c r="Z534" t="s">
        <v>159</v>
      </c>
      <c r="AA534" s="28" t="str">
        <f t="shared" si="77"/>
        <v>CASE WHEN ISNULL(g.ZRESPSTATUS, '02')='02' OR ISNULL(g.XACTIVITY, '99')='99' THEN 'Not in GO publication population' else IIF(isnull(g.PREVINTENSITY2,'')='','N/A',g.PREVINTENSITY2) end</v>
      </c>
      <c r="AB534" s="28" t="str">
        <f t="shared" si="84"/>
        <v>CASE WHEN ISNULL(g.ZRESPSTATUS, '02')='02' OR ISNULL(g.XACTIVITY, '99')='99' THEN 'Not in GO publication population' else IIF(isnull(g.PREVINTENSITY2,'')='','N/A',PREVINTENSITY2.label) end</v>
      </c>
      <c r="AC534" s="28" t="str">
        <f t="shared" si="81"/>
        <v/>
      </c>
      <c r="AD534" s="28" t="str">
        <f t="shared" si="85"/>
        <v/>
      </c>
      <c r="AE534" t="str">
        <f t="shared" si="83"/>
        <v>[Previous course intensity since graduation 2]</v>
      </c>
    </row>
    <row r="535" spans="1:31" ht="16" x14ac:dyDescent="0.2">
      <c r="A535">
        <v>100616</v>
      </c>
      <c r="B535" s="19" t="str">
        <f>DataItems3[[#This Row],[Field]]&amp;IF(DataItems3[[#This Row],[Options for supplying the Field]]="",""," "&amp;DataItems3[[#This Row],[Options for supplying the Field]])</f>
        <v>Previous course intensity since graduation 3 [PREVINTENSITY3]</v>
      </c>
      <c r="C535">
        <v>100616</v>
      </c>
      <c r="D535" s="3" t="s">
        <v>151</v>
      </c>
      <c r="F535" s="3" t="s">
        <v>1918</v>
      </c>
      <c r="G535" s="13" t="s">
        <v>1919</v>
      </c>
      <c r="H535" s="3" t="s">
        <v>1920</v>
      </c>
      <c r="J535" s="3">
        <v>1</v>
      </c>
      <c r="K535" s="3">
        <v>1</v>
      </c>
      <c r="L535" s="3">
        <v>0</v>
      </c>
      <c r="M535" s="3">
        <v>0</v>
      </c>
      <c r="P535" s="3" t="s">
        <v>1197</v>
      </c>
      <c r="Q535" s="16" t="s">
        <v>1921</v>
      </c>
      <c r="R535" s="3" t="s">
        <v>93</v>
      </c>
      <c r="S535" s="16" t="s">
        <v>1922</v>
      </c>
      <c r="U535" s="3" t="s">
        <v>1923</v>
      </c>
      <c r="V535" s="3" t="s">
        <v>93</v>
      </c>
      <c r="W535" s="57" t="s">
        <v>2909</v>
      </c>
      <c r="X535" t="str">
        <f>DataItems3[[#This Row],[Collection]]&amp;DataItems3[[#This Row],[Field]]&amp;DataItems3[[#This Row],[Options for supplying the Field]]&amp;DataItems3[[#This Row],[Fieldname]]&amp;DataItems3[[#This Row],[Parent]]</f>
        <v>Graduate OutcomesPrevious course intensity since graduation 3[PREVINTENSITY3]PREVINTENSITY3Provider &gt; Graduate &gt; Previous Study:</v>
      </c>
      <c r="Y535" s="15">
        <v>44008</v>
      </c>
      <c r="Z535" t="s">
        <v>159</v>
      </c>
      <c r="AA535" s="28" t="str">
        <f t="shared" si="77"/>
        <v>CASE WHEN ISNULL(g.ZRESPSTATUS, '02')='02' OR ISNULL(g.XACTIVITY, '99')='99' THEN 'Not in GO publication population' else IIF(isnull(g.PREVINTENSITY3,'')='','N/A',g.PREVINTENSITY3) end</v>
      </c>
      <c r="AB535" s="28" t="str">
        <f t="shared" si="84"/>
        <v>CASE WHEN ISNULL(g.ZRESPSTATUS, '02')='02' OR ISNULL(g.XACTIVITY, '99')='99' THEN 'Not in GO publication population' else IIF(isnull(g.PREVINTENSITY3,'')='','N/A',PREVINTENSITY3.label) end</v>
      </c>
      <c r="AC535" s="28" t="str">
        <f t="shared" si="81"/>
        <v/>
      </c>
      <c r="AD535" s="28" t="str">
        <f t="shared" si="85"/>
        <v/>
      </c>
      <c r="AE535" t="str">
        <f t="shared" si="83"/>
        <v>[Previous course intensity since graduation 3]</v>
      </c>
    </row>
    <row r="536" spans="1:31" ht="16" x14ac:dyDescent="0.2">
      <c r="A536">
        <v>100434</v>
      </c>
      <c r="B536" s="11" t="str">
        <f>DataItems3[[#This Row],[Field]]&amp;IF(DataItems3[[#This Row],[Options for supplying the Field]]="",""," "&amp;DataItems3[[#This Row],[Options for supplying the Field]])</f>
        <v>Previous employment (Staff) (Full)</v>
      </c>
      <c r="C536">
        <v>100434</v>
      </c>
      <c r="D536" s="3" t="s">
        <v>100</v>
      </c>
      <c r="F536" s="3" t="s">
        <v>1924</v>
      </c>
      <c r="G536" s="13" t="s">
        <v>277</v>
      </c>
      <c r="H536" s="14" t="s">
        <v>1925</v>
      </c>
      <c r="J536" s="3">
        <v>3</v>
      </c>
      <c r="K536" s="3">
        <v>3</v>
      </c>
      <c r="L536" s="3">
        <v>2</v>
      </c>
      <c r="M536" s="3">
        <v>0</v>
      </c>
      <c r="N536" s="3" t="s">
        <v>89</v>
      </c>
      <c r="Q536" s="16" t="s">
        <v>1926</v>
      </c>
      <c r="R536" s="3" t="s">
        <v>93</v>
      </c>
      <c r="S536" s="16" t="s">
        <v>1927</v>
      </c>
      <c r="U536" s="3" t="s">
        <v>1928</v>
      </c>
      <c r="V536" s="3" t="s">
        <v>93</v>
      </c>
      <c r="W536" s="57" t="s">
        <v>150</v>
      </c>
      <c r="X536" t="str">
        <f>DataItems3[[#This Row],[Collection]]&amp;DataItems3[[#This Row],[Field]]&amp;DataItems3[[#This Row],[Options for supplying the Field]]&amp;DataItems3[[#This Row],[Fieldname]]&amp;DataItems3[[#This Row],[Parent]]</f>
        <v>StaffPrevious employment (Staff)(Full)F_PREVEMP</v>
      </c>
      <c r="Y536" s="15">
        <v>43482</v>
      </c>
      <c r="Z536" t="s">
        <v>225</v>
      </c>
      <c r="AA536" s="28" t="str">
        <f t="shared" si="77"/>
        <v>CASE WHEN P.F_PREVEMP IN ('',' ','99','XX') THEN 'na' ELSE ISNULL(P.F_PREVEMP,'na') END</v>
      </c>
      <c r="AB536" s="28" t="str">
        <f t="shared" si="84"/>
        <v>CASE WHEN ISNULL(P.F_PREVEMP, '99') IN ('',' ','99','XX') THEN 'Not applicable' ELSE PREVEMP.dw_currentlabel END</v>
      </c>
      <c r="AC536" s="28" t="str">
        <f t="shared" si="81"/>
        <v/>
      </c>
      <c r="AD536" s="28" t="str">
        <f t="shared" si="85"/>
        <v/>
      </c>
      <c r="AE536" t="str">
        <f t="shared" si="83"/>
        <v>[Previous employment (Staff)]</v>
      </c>
    </row>
    <row r="537" spans="1:31" ht="16" x14ac:dyDescent="0.2">
      <c r="A537">
        <v>100435</v>
      </c>
      <c r="B537" s="11" t="str">
        <f>DataItems3[[#This Row],[Field]]&amp;IF(DataItems3[[#This Row],[Options for supplying the Field]]="",""," "&amp;DataItems3[[#This Row],[Options for supplying the Field]])</f>
        <v>Previous employment of starters on academic contracts (Grouped)</v>
      </c>
      <c r="C537">
        <v>100435</v>
      </c>
      <c r="D537" s="3" t="s">
        <v>100</v>
      </c>
      <c r="F537" s="3" t="s">
        <v>1929</v>
      </c>
      <c r="G537" s="13" t="s">
        <v>1208</v>
      </c>
      <c r="H537" s="14" t="s">
        <v>1930</v>
      </c>
      <c r="J537" s="3">
        <v>3</v>
      </c>
      <c r="K537" s="3">
        <v>2</v>
      </c>
      <c r="L537" s="3">
        <v>0</v>
      </c>
      <c r="M537" s="3">
        <v>0</v>
      </c>
      <c r="N537" s="3" t="s">
        <v>89</v>
      </c>
      <c r="Q537" s="16" t="s">
        <v>1931</v>
      </c>
      <c r="R537" s="3" t="s">
        <v>93</v>
      </c>
      <c r="S537" s="16" t="s">
        <v>1931</v>
      </c>
      <c r="U537" s="3" t="s">
        <v>120</v>
      </c>
      <c r="V537" s="3" t="s">
        <v>93</v>
      </c>
      <c r="W537" s="57" t="s">
        <v>150</v>
      </c>
      <c r="X537" t="str">
        <f>DataItems3[[#This Row],[Collection]]&amp;DataItems3[[#This Row],[Field]]&amp;DataItems3[[#This Row],[Options for supplying the Field]]&amp;DataItems3[[#This Row],[Fieldname]]&amp;DataItems3[[#This Row],[Parent]]</f>
        <v xml:space="preserve">StaffPrevious employment of starters on academic contracts(Grouped)f_zprevgp01 </v>
      </c>
      <c r="Y537" s="15">
        <v>43441</v>
      </c>
      <c r="Z537" t="s">
        <v>95</v>
      </c>
      <c r="AA537" s="28" t="str">
        <f t="shared" si="77"/>
        <v>CASE WHEN C.F_XACMRK01 ='2' THEN '$$' ELSE sd.f_zprevgp01 END</v>
      </c>
      <c r="AB537" s="28" t="str">
        <f t="shared" si="84"/>
        <v>CASE WHEN C.F_XACMRK01 ='2' THEN '$$' ELSE sd.f_zprevgp01 END</v>
      </c>
      <c r="AC537" s="28" t="str">
        <f t="shared" si="81"/>
        <v/>
      </c>
      <c r="AD537" s="28" t="str">
        <f t="shared" si="85"/>
        <v/>
      </c>
      <c r="AE537" t="str">
        <f t="shared" si="83"/>
        <v>[Previous employment of starters on academic contracts]</v>
      </c>
    </row>
    <row r="538" spans="1:31" ht="16" x14ac:dyDescent="0.2">
      <c r="A538">
        <v>100436</v>
      </c>
      <c r="B538" s="11" t="str">
        <f>DataItems3[[#This Row],[Field]]&amp;IF(DataItems3[[#This Row],[Options for supplying the Field]]="",""," "&amp;DataItems3[[#This Row],[Options for supplying the Field]])</f>
        <v>Previous HE provider</v>
      </c>
      <c r="C538">
        <v>100436</v>
      </c>
      <c r="D538" s="3" t="s">
        <v>100</v>
      </c>
      <c r="F538" s="3" t="s">
        <v>1932</v>
      </c>
      <c r="G538" s="13"/>
      <c r="H538" s="14" t="s">
        <v>1933</v>
      </c>
      <c r="J538" s="3">
        <v>3</v>
      </c>
      <c r="K538" s="3">
        <v>3</v>
      </c>
      <c r="L538" s="3">
        <v>2</v>
      </c>
      <c r="M538" s="3">
        <v>0</v>
      </c>
      <c r="N538" s="3" t="s">
        <v>89</v>
      </c>
      <c r="Q538" s="16" t="s">
        <v>1934</v>
      </c>
      <c r="R538" s="3" t="s">
        <v>93</v>
      </c>
      <c r="S538" s="16" t="s">
        <v>1935</v>
      </c>
      <c r="U538" s="3" t="s">
        <v>1936</v>
      </c>
      <c r="V538" s="3" t="s">
        <v>93</v>
      </c>
      <c r="W538" s="57" t="s">
        <v>482</v>
      </c>
      <c r="X538" t="str">
        <f>DataItems3[[#This Row],[Collection]]&amp;DataItems3[[#This Row],[Field]]&amp;DataItems3[[#This Row],[Options for supplying the Field]]&amp;DataItems3[[#This Row],[Fieldname]]&amp;DataItems3[[#This Row],[Parent]]</f>
        <v>StaffPrevious HE providerF_PREVHEI</v>
      </c>
      <c r="Y538" s="15">
        <v>43395</v>
      </c>
      <c r="Z538" t="s">
        <v>102</v>
      </c>
      <c r="AA538" s="28" t="str">
        <f t="shared" si="77"/>
        <v>CASE WHEN P.F_PREVHEI IN ('',' ','9999','XXXX') THEN '9999' ELSE ISNULL(P.F_PREVHEI,'9999') END</v>
      </c>
      <c r="AB538" s="28" t="str">
        <f t="shared" si="84"/>
        <v>CASE WHEN ISNULL(P.F_PREVHEI, '9999') IN ('',' ','9999','XXXX') THEN 'Not applicable' ELSE PREVHEI.dw_currentlabel END</v>
      </c>
      <c r="AC538" s="28" t="str">
        <f t="shared" si="81"/>
        <v/>
      </c>
      <c r="AD538" s="28" t="str">
        <f t="shared" si="85"/>
        <v/>
      </c>
      <c r="AE538" t="str">
        <f t="shared" si="83"/>
        <v>[Previous HE provider]</v>
      </c>
    </row>
    <row r="539" spans="1:31" ht="16" x14ac:dyDescent="0.2">
      <c r="A539">
        <v>100437</v>
      </c>
      <c r="B539" s="11" t="str">
        <f>DataItems3[[#This Row],[Field]]&amp;IF(DataItems3[[#This Row],[Options for supplying the Field]]="",""," "&amp;DataItems3[[#This Row],[Options for supplying the Field]])</f>
        <v>Previous number of courses since graduation [PREVCOURSENUM]</v>
      </c>
      <c r="C539">
        <v>100437</v>
      </c>
      <c r="D539" s="3" t="s">
        <v>151</v>
      </c>
      <c r="F539" s="3" t="s">
        <v>1937</v>
      </c>
      <c r="G539" s="13" t="s">
        <v>1938</v>
      </c>
      <c r="H539" s="3" t="s">
        <v>1939</v>
      </c>
      <c r="J539" s="3">
        <v>1</v>
      </c>
      <c r="K539" s="3">
        <v>2</v>
      </c>
      <c r="L539" s="3">
        <v>0</v>
      </c>
      <c r="M539" s="3">
        <v>0</v>
      </c>
      <c r="P539" s="3" t="s">
        <v>1197</v>
      </c>
      <c r="Q539" s="16" t="s">
        <v>1940</v>
      </c>
      <c r="R539" s="3" t="s">
        <v>93</v>
      </c>
      <c r="S539" s="16" t="s">
        <v>1940</v>
      </c>
      <c r="U539" s="3" t="s">
        <v>93</v>
      </c>
      <c r="V539" s="3" t="s">
        <v>93</v>
      </c>
      <c r="W539" s="57" t="s">
        <v>2909</v>
      </c>
      <c r="X539" t="str">
        <f>DataItems3[[#This Row],[Collection]]&amp;DataItems3[[#This Row],[Field]]&amp;DataItems3[[#This Row],[Options for supplying the Field]]&amp;DataItems3[[#This Row],[Fieldname]]&amp;DataItems3[[#This Row],[Parent]]</f>
        <v>Graduate OutcomesPrevious number of courses since graduation[PREVCOURSENUM]PREVCOURSENUMProvider &gt; Graduate &gt; Previous Study:</v>
      </c>
      <c r="Y539" s="15">
        <v>43550</v>
      </c>
      <c r="Z539" t="s">
        <v>159</v>
      </c>
      <c r="AA539" s="28" t="str">
        <f t="shared" si="77"/>
        <v>CASE WHEN ISNULL(g.ZRESPSTATUS, '02')='02' OR ISNULL(g.XACTIVITY, '99')='99' THEN 'Not in GO publication population' else IIF(isnull(g.PREVCOURSENUM,'')='','N/A',g.PREVCOURSENUM) end</v>
      </c>
      <c r="AB539" s="28" t="str">
        <f t="shared" si="84"/>
        <v>CASE WHEN ISNULL(g.ZRESPSTATUS, '02')='02' OR ISNULL(g.XACTIVITY, '99')='99' THEN 'Not in GO publication population' else IIF(isnull(g.PREVCOURSENUM,'')='','N/A',g.PREVCOURSENUM) end</v>
      </c>
      <c r="AC539" s="28" t="str">
        <f t="shared" si="81"/>
        <v/>
      </c>
      <c r="AD539" s="28" t="str">
        <f t="shared" si="85"/>
        <v/>
      </c>
      <c r="AE539" t="str">
        <f t="shared" si="83"/>
        <v>[Previous number of courses since graduation]</v>
      </c>
    </row>
    <row r="540" spans="1:31" ht="16" x14ac:dyDescent="0.2">
      <c r="A540">
        <v>100438</v>
      </c>
      <c r="B540" s="11" t="str">
        <f>DataItems3[[#This Row],[Field]]&amp;IF(DataItems3[[#This Row],[Options for supplying the Field]]="",""," "&amp;DataItems3[[#This Row],[Options for supplying the Field]])</f>
        <v>Previous number of jobs since graduation [PREVJOBNUM]</v>
      </c>
      <c r="C540">
        <v>100438</v>
      </c>
      <c r="D540" s="3" t="s">
        <v>151</v>
      </c>
      <c r="F540" s="3" t="s">
        <v>1941</v>
      </c>
      <c r="G540" s="13" t="s">
        <v>1942</v>
      </c>
      <c r="H540" s="3" t="s">
        <v>1943</v>
      </c>
      <c r="J540" s="3">
        <v>1</v>
      </c>
      <c r="K540" s="3">
        <v>2</v>
      </c>
      <c r="L540" s="3">
        <v>0</v>
      </c>
      <c r="M540" s="3">
        <v>0</v>
      </c>
      <c r="P540" s="3" t="s">
        <v>1078</v>
      </c>
      <c r="Q540" s="16" t="s">
        <v>3131</v>
      </c>
      <c r="R540" s="3" t="s">
        <v>93</v>
      </c>
      <c r="S540" s="16" t="s">
        <v>3131</v>
      </c>
      <c r="U540" s="3" t="s">
        <v>93</v>
      </c>
      <c r="V540" s="3" t="s">
        <v>93</v>
      </c>
      <c r="W540" s="57" t="s">
        <v>2909</v>
      </c>
      <c r="X540" t="str">
        <f>DataItems3[[#This Row],[Collection]]&amp;DataItems3[[#This Row],[Field]]&amp;DataItems3[[#This Row],[Options for supplying the Field]]&amp;DataItems3[[#This Row],[Fieldname]]&amp;DataItems3[[#This Row],[Parent]]</f>
        <v>Graduate OutcomesPrevious number of jobs since graduation[PREVJOBNUM]PREVJOBNUMProvider &gt; Graduate &gt; Previous Activity:</v>
      </c>
      <c r="Y540" s="15">
        <v>43550</v>
      </c>
      <c r="Z540" t="s">
        <v>159</v>
      </c>
      <c r="AA540" s="28" t="str">
        <f t="shared" si="77"/>
        <v>CASE WHEN ISNULL(g.ZRESPSTATUS, '02')='02' OR ISNULL(g.XACTIVITY, '99')='99' THEN 'Not in GO publication population' WHEN g.dw_fromdate=20200801 THEN 'Not applicable 2020/21 onwards' WHEN ISNULL(NULLIF(g.FTPREVEMP, ''), 'UN') = '01'  AND g.FIRSTJOB = '01' THEN 'NA'  WHEN ISNULL(NULLIF(g.FTPREVEMP, ''), 'UN') = '02'  AND g.FIRSTJOB = '02' THEN 'NA' WHEN ISNULL(NULLIF(g.PREVJOBNUM, ''), 'UN') = '0' THEN 'NA'  WHEN isNULL(NULLIF(g.FTPREVEMP, ''), 'UN') = '02' THEN 'NA'    WHEN g.FIRSTJOB = '01' THEN 'NA'    WHEN (   g.FTPREVEMP = '01'          OR g.FIRSTJOB = '02')      AND ISNULL(NULLIF(g.PREVJOBNUM, ''), 'UN') = 'UN' THEN 'NA'     WHEN (   g.FTPREVEMP = '01'        OR g.FIRSTJOB = '02')          AND ISNULL(NULLIF(g.PREVJOBNUM, ''), 'UN')         BETWEEN 21 AND 999 THEN 'NA'     WHEN (   g.FTPREVEMP = '01'              OR g.FIRSTJOB = '02')          AND ISNULL(NULLIF(g.PREVJOBNUM, ''), 'UN')          BETWEEN 1 AND 5 THEN ISNULL(NULLIF(g.PREVJOBNUM, ''), 'UN')     WHEN (   g.FTPREVEMP = '01'      OR g.FIRSTJOB = '02')       AND ISNULL(NULLIF(g.PREVJOBNUM, ''), 'UN')          BETWEEN 6 AND 20 THEN 'More than 5 previous jobs'     ELSE 'NA'     END</v>
      </c>
      <c r="AB540" s="28" t="str">
        <f t="shared" si="84"/>
        <v>CASE WHEN ISNULL(g.ZRESPSTATUS, '02')='02' OR ISNULL(g.XACTIVITY, '99')='99' THEN 'Not in GO publication population' WHEN g.dw_fromdate=20200801 THEN 'Not applicable 2020/21 onwards' WHEN ISNULL(NULLIF(g.FTPREVEMP, ''), 'UN') = '01'  AND g.FIRSTJOB = '01' THEN 'NA'  WHEN ISNULL(NULLIF(g.FTPREVEMP, ''), 'UN') = '02'  AND g.FIRSTJOB = '02' THEN 'NA' WHEN ISNULL(NULLIF(g.PREVJOBNUM, ''), 'UN') = '0' THEN 'NA'  WHEN isNULL(NULLIF(g.FTPREVEMP, ''), 'UN') = '02' THEN 'NA'    WHEN g.FIRSTJOB = '01' THEN 'NA'    WHEN (   g.FTPREVEMP = '01'          OR g.FIRSTJOB = '02')      AND ISNULL(NULLIF(g.PREVJOBNUM, ''), 'UN') = 'UN' THEN 'NA'     WHEN (   g.FTPREVEMP = '01'        OR g.FIRSTJOB = '02')          AND ISNULL(NULLIF(g.PREVJOBNUM, ''), 'UN')         BETWEEN 21 AND 999 THEN 'NA'     WHEN (   g.FTPREVEMP = '01'              OR g.FIRSTJOB = '02')          AND ISNULL(NULLIF(g.PREVJOBNUM, ''), 'UN')          BETWEEN 1 AND 5 THEN ISNULL(NULLIF(g.PREVJOBNUM, ''), 'UN')     WHEN (   g.FTPREVEMP = '01'      OR g.FIRSTJOB = '02')       AND ISNULL(NULLIF(g.PREVJOBNUM, ''), 'UN')          BETWEEN 6 AND 20 THEN 'More than 5 previous jobs'     ELSE 'NA'     END</v>
      </c>
      <c r="AC540" s="28" t="str">
        <f t="shared" si="81"/>
        <v/>
      </c>
      <c r="AD540" s="28" t="str">
        <f t="shared" si="85"/>
        <v/>
      </c>
      <c r="AE540" t="str">
        <f t="shared" si="83"/>
        <v>[Previous number of jobs since graduation]</v>
      </c>
    </row>
    <row r="541" spans="1:31" ht="16" x14ac:dyDescent="0.2">
      <c r="A541">
        <v>100224</v>
      </c>
      <c r="B541" s="11" t="str">
        <f>DataItems3[[#This Row],[Field]]&amp;IF(DataItems3[[#This Row],[Options for supplying the Field]]="",""," "&amp;DataItems3[[#This Row],[Options for supplying the Field]])</f>
        <v>Previous study since graduating [FURSTU]</v>
      </c>
      <c r="C541">
        <v>100224</v>
      </c>
      <c r="D541" s="3" t="s">
        <v>151</v>
      </c>
      <c r="F541" s="3" t="s">
        <v>1944</v>
      </c>
      <c r="G541" s="13" t="s">
        <v>1945</v>
      </c>
      <c r="H541" s="3" t="s">
        <v>1946</v>
      </c>
      <c r="J541" s="3">
        <v>1</v>
      </c>
      <c r="K541" s="3">
        <v>1</v>
      </c>
      <c r="L541" s="3">
        <v>0</v>
      </c>
      <c r="M541" s="3">
        <v>0</v>
      </c>
      <c r="P541" s="3" t="s">
        <v>1197</v>
      </c>
      <c r="Q541" s="16" t="s">
        <v>1947</v>
      </c>
      <c r="R541" s="3" t="s">
        <v>93</v>
      </c>
      <c r="S541" s="16" t="s">
        <v>1948</v>
      </c>
      <c r="U541" s="3" t="s">
        <v>1949</v>
      </c>
      <c r="V541" s="3" t="s">
        <v>93</v>
      </c>
      <c r="W541" s="57" t="s">
        <v>2909</v>
      </c>
      <c r="X541" t="str">
        <f>DataItems3[[#This Row],[Collection]]&amp;DataItems3[[#This Row],[Field]]&amp;DataItems3[[#This Row],[Options for supplying the Field]]&amp;DataItems3[[#This Row],[Fieldname]]&amp;DataItems3[[#This Row],[Parent]]</f>
        <v>Graduate OutcomesPrevious study since graduating[FURSTU]FURSTUProvider &gt; Graduate &gt; Previous Study:</v>
      </c>
      <c r="Y541" s="15">
        <v>43550</v>
      </c>
      <c r="Z541" t="s">
        <v>159</v>
      </c>
      <c r="AA541" s="28" t="str">
        <f t="shared" si="77"/>
        <v>CASE WHEN ISNULL(g.ZRESPSTATUS, '02')='02' OR ISNULL(g.XACTIVITY, '99')='99' THEN 'Not in GO publication population' else IIF(isnull(g.FURSTU,'')='','N/A',g.FURSTU) end</v>
      </c>
      <c r="AB541" s="28" t="str">
        <f t="shared" si="84"/>
        <v>CASE WHEN ISNULL(g.ZRESPSTATUS, '02')='02' OR ISNULL(g.XACTIVITY, '99')='99' THEN 'Not in GO publication population' else IIF(isnull(g.FURSTU,'')='','N/A',FURSTU.label) end</v>
      </c>
      <c r="AC541" s="28" t="str">
        <f t="shared" si="81"/>
        <v/>
      </c>
      <c r="AD541" s="28" t="str">
        <f t="shared" si="85"/>
        <v/>
      </c>
      <c r="AE541" t="str">
        <f t="shared" si="83"/>
        <v>[Previous study since graduating]</v>
      </c>
    </row>
    <row r="542" spans="1:31" ht="112" x14ac:dyDescent="0.2">
      <c r="A542">
        <v>100656</v>
      </c>
      <c r="B542" s="19" t="str">
        <f>DataItems3[[#This Row],[Field]]&amp;IF(DataItems3[[#This Row],[Options for supplying the Field]]="",""," "&amp;DataItems3[[#This Row],[Options for supplying the Field]])</f>
        <v>Previous study since graduation (Significant study full-time/ Significant study part-time/ Significant study intensity unknown/ Other study/ Not in population) [YINTSTUDY]</v>
      </c>
      <c r="C542">
        <v>100656</v>
      </c>
      <c r="D542" s="3" t="s">
        <v>151</v>
      </c>
      <c r="F542" s="3" t="s">
        <v>1950</v>
      </c>
      <c r="G542" s="13" t="s">
        <v>1951</v>
      </c>
      <c r="H542" s="3" t="s">
        <v>1952</v>
      </c>
      <c r="J542" s="3">
        <v>10</v>
      </c>
      <c r="K542" s="3">
        <v>2</v>
      </c>
      <c r="L542" s="3">
        <v>0</v>
      </c>
      <c r="M542" s="3">
        <v>0</v>
      </c>
      <c r="P542" s="3" t="s">
        <v>1197</v>
      </c>
      <c r="Q542" s="16" t="s">
        <v>3132</v>
      </c>
      <c r="R542" s="3" t="s">
        <v>93</v>
      </c>
      <c r="S542" s="16" t="s">
        <v>3132</v>
      </c>
      <c r="U542" s="3" t="s">
        <v>93</v>
      </c>
      <c r="W542" s="57" t="s">
        <v>1953</v>
      </c>
      <c r="X542" t="str">
        <f>DataItems3[[#This Row],[Collection]]&amp;DataItems3[[#This Row],[Field]]&amp;DataItems3[[#This Row],[Options for supplying the Field]]&amp;DataItems3[[#This Row],[Fieldname]]&amp;DataItems3[[#This Row],[Parent]]</f>
        <v>Graduate OutcomesPrevious study since graduation(Significant study full-time/ Significant study part-time/ Significant study intensity unknown/ Other study/ Not in population) [YINTSTUDY]YINTSTUDYProvider &gt; Graduate &gt; Previous Study:</v>
      </c>
      <c r="Y542" s="4">
        <v>44020</v>
      </c>
      <c r="Z542" t="s">
        <v>1200</v>
      </c>
      <c r="AA542" s="28" t="str">
        <f t="shared" si="77"/>
        <v>CASE WHEN ISNULL(g.ZRESPSTATUS, '02')='02' OR ISNULL(g.XACTIVITY, '99')='99' THEN 'Not in GO publication population'  WHEN g.FURSTU != '01' THEN 'Not aiming for a formal qualification' WHEN g.FURSTU = '01' AND (g.PREVINTENSITY1 = '01' AND g.PREVTYPEQUAL1 in ('01','02','03','04','05','06','09','10')) THEN 'Significant study full-time' WHEN g.FURSTU = '01' AND (g.PREVINTENSITY2 = '01' AND g.PREVTYPEQUAL2 in ('01','02','03','04','05','06','09','10')) THEN 'Significant study full-time' WHEN g.FURSTU = '01' AND (g.PREVINTENSITY3 = '01' AND g.PREVTYPEQUAL3 in ('01','02','03','04','05','06','09','10')) THEN 'Significant study full-time' WHEN g.FURSTU = '01' AND (g.PREVINTENSITY1 = '02' AND g.PREVTYPEQUAL1 in ('01','02','03','04','05','06','09','10')) THEN 'Significant study part-time' WHEN g.FURSTU = '01' AND (g.PREVINTENSITY2 = '02' AND g.PREVTYPEQUAL2 in ('01','02','03','04','05','06','09','10')) THEN 'Significant study part-time' WHEN g.FURSTU = '01' AND (g.PREVINTENSITY3 = '02' AND g.PREVTYPEQUAL3 in ('01','02','03','04','05','06','09','10')) THEN 'Significant study part-time' WHEN (g.PREVTYPEQUAL1 in ('01','02','03','04','05','06','09','10') OR g.PREVTYPEQUAL2 IN ('01','02','03','04','05','06','09','10') OR g.PREVTYPEQUAL3 IN ('01','02','03','04','05','06','09','10')) THEN 'Significant study intensity unknown' ELSE 'Other study' END</v>
      </c>
      <c r="AB542" s="28" t="str">
        <f t="shared" si="84"/>
        <v>CASE WHEN ISNULL(g.ZRESPSTATUS, '02')='02' OR ISNULL(g.XACTIVITY, '99')='99' THEN 'Not in GO publication population'  WHEN g.FURSTU != '01' THEN 'Not aiming for a formal qualification' WHEN g.FURSTU = '01' AND (g.PREVINTENSITY1 = '01' AND g.PREVTYPEQUAL1 in ('01','02','03','04','05','06','09','10')) THEN 'Significant study full-time' WHEN g.FURSTU = '01' AND (g.PREVINTENSITY2 = '01' AND g.PREVTYPEQUAL2 in ('01','02','03','04','05','06','09','10')) THEN 'Significant study full-time' WHEN g.FURSTU = '01' AND (g.PREVINTENSITY3 = '01' AND g.PREVTYPEQUAL3 in ('01','02','03','04','05','06','09','10')) THEN 'Significant study full-time' WHEN g.FURSTU = '01' AND (g.PREVINTENSITY1 = '02' AND g.PREVTYPEQUAL1 in ('01','02','03','04','05','06','09','10')) THEN 'Significant study part-time' WHEN g.FURSTU = '01' AND (g.PREVINTENSITY2 = '02' AND g.PREVTYPEQUAL2 in ('01','02','03','04','05','06','09','10')) THEN 'Significant study part-time' WHEN g.FURSTU = '01' AND (g.PREVINTENSITY3 = '02' AND g.PREVTYPEQUAL3 in ('01','02','03','04','05','06','09','10')) THEN 'Significant study part-time' WHEN (g.PREVTYPEQUAL1 in ('01','02','03','04','05','06','09','10') OR g.PREVTYPEQUAL2 IN ('01','02','03','04','05','06','09','10') OR g.PREVTYPEQUAL3 IN ('01','02','03','04','05','06','09','10')) THEN 'Significant study intensity unknown' ELSE 'Other study' END</v>
      </c>
      <c r="AC542" s="28" t="str">
        <f t="shared" si="81"/>
        <v/>
      </c>
      <c r="AD542" s="28" t="str">
        <f t="shared" si="85"/>
        <v/>
      </c>
      <c r="AE542" t="str">
        <f t="shared" si="83"/>
        <v>[Previous study since graduation]</v>
      </c>
    </row>
    <row r="543" spans="1:31" ht="16" x14ac:dyDescent="0.2">
      <c r="A543">
        <v>100439</v>
      </c>
      <c r="B543" s="11" t="str">
        <f>DataItems3[[#This Row],[Field]]&amp;IF(DataItems3[[#This Row],[Options for supplying the Field]]="",""," "&amp;DataItems3[[#This Row],[Options for supplying the Field]])</f>
        <v>Previous type of qualification since graduation 1 [PREVTYPEQUAL1]</v>
      </c>
      <c r="C543">
        <v>100439</v>
      </c>
      <c r="D543" s="3" t="s">
        <v>151</v>
      </c>
      <c r="F543" s="3" t="s">
        <v>1954</v>
      </c>
      <c r="G543" s="13" t="s">
        <v>1955</v>
      </c>
      <c r="H543" s="3" t="s">
        <v>1956</v>
      </c>
      <c r="J543" s="3">
        <v>1</v>
      </c>
      <c r="K543" s="3">
        <v>1</v>
      </c>
      <c r="L543" s="3">
        <v>0</v>
      </c>
      <c r="M543" s="3">
        <v>0</v>
      </c>
      <c r="P543" s="3" t="s">
        <v>1197</v>
      </c>
      <c r="Q543" s="16" t="s">
        <v>1957</v>
      </c>
      <c r="R543" s="3" t="s">
        <v>93</v>
      </c>
      <c r="S543" s="16" t="s">
        <v>1958</v>
      </c>
      <c r="U543" s="3" t="s">
        <v>1959</v>
      </c>
      <c r="V543" s="3" t="s">
        <v>93</v>
      </c>
      <c r="W543" s="57" t="s">
        <v>2909</v>
      </c>
      <c r="X543" t="str">
        <f>DataItems3[[#This Row],[Collection]]&amp;DataItems3[[#This Row],[Field]]&amp;DataItems3[[#This Row],[Options for supplying the Field]]&amp;DataItems3[[#This Row],[Fieldname]]&amp;DataItems3[[#This Row],[Parent]]</f>
        <v>Graduate OutcomesPrevious type of qualification since graduation 1[PREVTYPEQUAL1]PREVTYPEQUAL1Provider &gt; Graduate &gt; Previous Study:</v>
      </c>
      <c r="Y543" s="15">
        <v>44008</v>
      </c>
      <c r="Z543" t="s">
        <v>159</v>
      </c>
      <c r="AA543" s="28" t="str">
        <f t="shared" si="77"/>
        <v>CASE WHEN ISNULL(g.ZRESPSTATUS, '02')='02' OR ISNULL(g.XACTIVITY, '99')='99' THEN 'Not in GO publication population' else IIF(isnull(g.PREVTYPEQUAL1,'')='','N/A',g.PREVTYPEQUAL1) end</v>
      </c>
      <c r="AB543" s="28" t="str">
        <f t="shared" si="84"/>
        <v>CASE WHEN ISNULL(g.ZRESPSTATUS, '02')='02' OR ISNULL(g.XACTIVITY, '99')='99' THEN 'Not in GO publication population' else IIF(isnull(g.PREVTYPEQUAL1,'')='','N/A',PREVTYPEQUAL1.label) end</v>
      </c>
      <c r="AC543" s="28" t="str">
        <f t="shared" si="81"/>
        <v/>
      </c>
      <c r="AD543" s="28" t="str">
        <f t="shared" si="85"/>
        <v/>
      </c>
      <c r="AE543" t="str">
        <f t="shared" si="83"/>
        <v>[Previous type of qualification since graduation 1]</v>
      </c>
    </row>
    <row r="544" spans="1:31" ht="16" x14ac:dyDescent="0.2">
      <c r="A544">
        <v>100617</v>
      </c>
      <c r="B544" s="19" t="str">
        <f>DataItems3[[#This Row],[Field]]&amp;IF(DataItems3[[#This Row],[Options for supplying the Field]]="",""," "&amp;DataItems3[[#This Row],[Options for supplying the Field]])</f>
        <v>Previous type of qualification since graduation 2 [PREVTYPEQUAL2]</v>
      </c>
      <c r="C544">
        <v>100617</v>
      </c>
      <c r="D544" s="3" t="s">
        <v>151</v>
      </c>
      <c r="F544" s="3" t="s">
        <v>1960</v>
      </c>
      <c r="G544" s="13" t="s">
        <v>1961</v>
      </c>
      <c r="H544" s="3" t="s">
        <v>1962</v>
      </c>
      <c r="J544" s="3">
        <v>1</v>
      </c>
      <c r="K544" s="3">
        <v>1</v>
      </c>
      <c r="L544" s="3">
        <v>0</v>
      </c>
      <c r="M544" s="3">
        <v>0</v>
      </c>
      <c r="P544" s="3" t="s">
        <v>1197</v>
      </c>
      <c r="Q544" s="16" t="s">
        <v>1963</v>
      </c>
      <c r="R544" s="3" t="s">
        <v>93</v>
      </c>
      <c r="S544" s="16" t="s">
        <v>1964</v>
      </c>
      <c r="U544" s="3" t="s">
        <v>1965</v>
      </c>
      <c r="V544" s="3" t="s">
        <v>93</v>
      </c>
      <c r="W544" s="57" t="s">
        <v>2909</v>
      </c>
      <c r="X544" t="str">
        <f>DataItems3[[#This Row],[Collection]]&amp;DataItems3[[#This Row],[Field]]&amp;DataItems3[[#This Row],[Options for supplying the Field]]&amp;DataItems3[[#This Row],[Fieldname]]&amp;DataItems3[[#This Row],[Parent]]</f>
        <v>Graduate OutcomesPrevious type of qualification since graduation 2[PREVTYPEQUAL2]PREVTYPEQUAL2Provider &gt; Graduate &gt; Previous Study:</v>
      </c>
      <c r="Y544" s="15">
        <v>44008</v>
      </c>
      <c r="Z544" t="s">
        <v>159</v>
      </c>
      <c r="AA544" s="28" t="str">
        <f t="shared" si="77"/>
        <v>CASE WHEN ISNULL(g.ZRESPSTATUS, '02')='02' OR ISNULL(g.XACTIVITY, '99')='99' THEN 'Not in GO publication population' else IIF(isnull(g.PREVTYPEQUAL2,'')='','N/A',g.PREVTYPEQUAL2) end</v>
      </c>
      <c r="AB544" s="28" t="str">
        <f t="shared" si="84"/>
        <v>CASE WHEN ISNULL(g.ZRESPSTATUS, '02')='02' OR ISNULL(g.XACTIVITY, '99')='99' THEN 'Not in GO publication population' else IIF(isnull(g.PREVTYPEQUAL2,'')='','N/A',PREVTYPEQUAL2.label) end</v>
      </c>
      <c r="AC544" s="28" t="str">
        <f t="shared" si="81"/>
        <v/>
      </c>
      <c r="AD544" s="28" t="str">
        <f t="shared" si="85"/>
        <v/>
      </c>
      <c r="AE544" t="str">
        <f t="shared" si="83"/>
        <v>[Previous type of qualification since graduation 2]</v>
      </c>
    </row>
    <row r="545" spans="1:31" ht="16" x14ac:dyDescent="0.2">
      <c r="A545">
        <v>100618</v>
      </c>
      <c r="B545" s="19" t="str">
        <f>DataItems3[[#This Row],[Field]]&amp;IF(DataItems3[[#This Row],[Options for supplying the Field]]="",""," "&amp;DataItems3[[#This Row],[Options for supplying the Field]])</f>
        <v>Previous type of qualification since graduation 3 [PREVTYPEQUAL3]</v>
      </c>
      <c r="C545">
        <v>100618</v>
      </c>
      <c r="D545" s="3" t="s">
        <v>151</v>
      </c>
      <c r="F545" s="3" t="s">
        <v>1966</v>
      </c>
      <c r="G545" s="13" t="s">
        <v>1967</v>
      </c>
      <c r="H545" s="3" t="s">
        <v>1968</v>
      </c>
      <c r="J545" s="3">
        <v>1</v>
      </c>
      <c r="K545" s="3">
        <v>1</v>
      </c>
      <c r="L545" s="3">
        <v>0</v>
      </c>
      <c r="M545" s="3">
        <v>0</v>
      </c>
      <c r="P545" s="3" t="s">
        <v>1197</v>
      </c>
      <c r="Q545" s="16" t="s">
        <v>1969</v>
      </c>
      <c r="R545" s="3" t="s">
        <v>93</v>
      </c>
      <c r="S545" s="16" t="s">
        <v>1970</v>
      </c>
      <c r="U545" s="3" t="s">
        <v>1971</v>
      </c>
      <c r="V545" s="3" t="s">
        <v>93</v>
      </c>
      <c r="W545" s="57" t="s">
        <v>2909</v>
      </c>
      <c r="X545" t="str">
        <f>DataItems3[[#This Row],[Collection]]&amp;DataItems3[[#This Row],[Field]]&amp;DataItems3[[#This Row],[Options for supplying the Field]]&amp;DataItems3[[#This Row],[Fieldname]]&amp;DataItems3[[#This Row],[Parent]]</f>
        <v>Graduate OutcomesPrevious type of qualification since graduation 3[PREVTYPEQUAL3]PREVTYPEQUAL3Provider &gt; Graduate &gt; Previous Study:</v>
      </c>
      <c r="Y545" s="15">
        <v>44008</v>
      </c>
      <c r="Z545" t="s">
        <v>159</v>
      </c>
      <c r="AA545" s="28" t="str">
        <f t="shared" si="77"/>
        <v>CASE WHEN ISNULL(g.ZRESPSTATUS, '02')='02' OR ISNULL(g.XACTIVITY, '99')='99' THEN 'Not in GO publication population' else IIF(isnull(g.PREVTYPEQUAL3,'')='','N/A',g.PREVTYPEQUAL3) end</v>
      </c>
      <c r="AB545" s="28" t="str">
        <f t="shared" si="84"/>
        <v>CASE WHEN ISNULL(g.ZRESPSTATUS, '02')='02' OR ISNULL(g.XACTIVITY, '99')='99' THEN 'Not in GO publication population' else IIF(isnull(g.PREVTYPEQUAL3,'')='','N/A',PREVTYPEQUAL3.label) end</v>
      </c>
      <c r="AC545" s="28" t="str">
        <f t="shared" si="81"/>
        <v/>
      </c>
      <c r="AD545" s="28" t="str">
        <f t="shared" si="85"/>
        <v/>
      </c>
      <c r="AE545" t="str">
        <f t="shared" si="83"/>
        <v>[Previous type of qualification since graduation 3]</v>
      </c>
    </row>
    <row r="546" spans="1:31" ht="16" x14ac:dyDescent="0.2">
      <c r="A546">
        <v>100441</v>
      </c>
      <c r="B546" s="11" t="str">
        <f>DataItems3[[#This Row],[Field]]&amp;IF(DataItems3[[#This Row],[Options for supplying the Field]]="",""," "&amp;DataItems3[[#This Row],[Options for supplying the Field]])</f>
        <v>Previous university or college name other since graduation 1 [PREVUCNAME_OTHER1]</v>
      </c>
      <c r="C546">
        <v>100441</v>
      </c>
      <c r="D546" s="3" t="s">
        <v>151</v>
      </c>
      <c r="F546" s="3" t="s">
        <v>1972</v>
      </c>
      <c r="G546" s="13" t="s">
        <v>1973</v>
      </c>
      <c r="H546" s="3" t="s">
        <v>1974</v>
      </c>
      <c r="I546" s="3" t="s">
        <v>378</v>
      </c>
      <c r="J546" s="3">
        <v>1</v>
      </c>
      <c r="K546" s="3">
        <v>1</v>
      </c>
      <c r="L546" s="3">
        <v>4</v>
      </c>
      <c r="M546" s="3">
        <v>0</v>
      </c>
      <c r="P546" s="3" t="s">
        <v>1197</v>
      </c>
      <c r="Q546" s="16" t="s">
        <v>3133</v>
      </c>
      <c r="R546" s="3" t="s">
        <v>93</v>
      </c>
      <c r="S546" s="16" t="s">
        <v>3134</v>
      </c>
      <c r="U546" s="3" t="s">
        <v>93</v>
      </c>
      <c r="V546" s="3" t="s">
        <v>93</v>
      </c>
      <c r="W546" s="57" t="s">
        <v>1975</v>
      </c>
      <c r="X546" t="str">
        <f>DataItems3[[#This Row],[Collection]]&amp;DataItems3[[#This Row],[Field]]&amp;DataItems3[[#This Row],[Options for supplying the Field]]&amp;DataItems3[[#This Row],[Fieldname]]&amp;DataItems3[[#This Row],[Parent]]</f>
        <v>Graduate OutcomesPrevious university or college name other since graduation 1[PREVUCNAME_OTHER1]PREVUCNAME_OTHER1Provider &gt; Graduate &gt; Previous Study:</v>
      </c>
      <c r="Y546" s="15">
        <v>44008</v>
      </c>
      <c r="Z546" t="s">
        <v>159</v>
      </c>
      <c r="AA546" s="28" t="str">
        <f t="shared" ref="AA546:AA609" si="86">IF(Q546="","",Q546)</f>
        <v>CASE WHEN ISNULL(g.ZRESPSTATUS, '02') = '02' OR ISNULL(g.XACTIVITY, '99') = '99' THEN 'Not in GO publication population'  WHEN g.dw_fromdate=20200801 THEN 'Not applicable 2020/21 onwards' WHEN ISNULL(g.PREVUCNAME_OTHER1, 'UNK') IN ('UNK', '', ' ') THEN 'Unknown/ not applicable' ELSE g.PREVUCNAME_OTHER1 END</v>
      </c>
      <c r="AB546" s="28" t="str">
        <f t="shared" si="84"/>
        <v>CASE WHEN ISNULL(g.ZRESPSTATUS, '02') = '02' OR ISNULL(g.XACTIVITY, '99') = '99' THEN 'Not in GO publication population'  WHEN g.dw_fromdate=20200801 THEN 'Not applicable 2020/21 onwards'  WHEN ISNULL(g.PREVUCNAME_OTHER1, 'UNK') IN ('UNK', '', ' ') THEN 'Unknown/ not applicable' ELSE g.PREVUCNAME_OTHER1 END</v>
      </c>
      <c r="AC546" s="28" t="str">
        <f t="shared" si="81"/>
        <v/>
      </c>
      <c r="AD546" s="28" t="str">
        <f t="shared" si="85"/>
        <v/>
      </c>
      <c r="AE546" t="str">
        <f t="shared" si="83"/>
        <v>[Previous university or college name other since graduation 1]</v>
      </c>
    </row>
    <row r="547" spans="1:31" ht="16" x14ac:dyDescent="0.2">
      <c r="A547">
        <v>100621</v>
      </c>
      <c r="B547" s="19" t="str">
        <f>DataItems3[[#This Row],[Field]]&amp;IF(DataItems3[[#This Row],[Options for supplying the Field]]="",""," "&amp;DataItems3[[#This Row],[Options for supplying the Field]])</f>
        <v>Previous university or college name other since graduation 2 [PREVUCNAME_OTHER2]</v>
      </c>
      <c r="C547">
        <v>100621</v>
      </c>
      <c r="D547" s="3" t="s">
        <v>151</v>
      </c>
      <c r="F547" s="3" t="s">
        <v>1976</v>
      </c>
      <c r="G547" s="13" t="s">
        <v>1977</v>
      </c>
      <c r="H547" s="3" t="s">
        <v>1978</v>
      </c>
      <c r="J547" s="3">
        <v>1</v>
      </c>
      <c r="K547" s="3">
        <v>1</v>
      </c>
      <c r="L547" s="3">
        <v>4</v>
      </c>
      <c r="M547" s="3">
        <v>0</v>
      </c>
      <c r="P547" s="3" t="s">
        <v>1197</v>
      </c>
      <c r="Q547" s="16" t="s">
        <v>3135</v>
      </c>
      <c r="R547" s="3" t="s">
        <v>93</v>
      </c>
      <c r="S547" s="16" t="s">
        <v>3135</v>
      </c>
      <c r="U547" s="3" t="s">
        <v>93</v>
      </c>
      <c r="V547" s="3" t="s">
        <v>93</v>
      </c>
      <c r="W547" s="57" t="s">
        <v>1975</v>
      </c>
      <c r="X547" t="str">
        <f>DataItems3[[#This Row],[Collection]]&amp;DataItems3[[#This Row],[Field]]&amp;DataItems3[[#This Row],[Options for supplying the Field]]&amp;DataItems3[[#This Row],[Fieldname]]&amp;DataItems3[[#This Row],[Parent]]</f>
        <v>Graduate OutcomesPrevious university or college name other since graduation 2[PREVUCNAME_OTHER2]PREVUCNAME_OTHER2Provider &gt; Graduate &gt; Previous Study:</v>
      </c>
      <c r="Y547" s="15">
        <v>44008</v>
      </c>
      <c r="Z547" t="s">
        <v>159</v>
      </c>
      <c r="AA547" s="28" t="str">
        <f t="shared" si="86"/>
        <v>CASE WHEN ISNULL(g.ZRESPSTATUS, '02') = '02' OR ISNULL(g.XACTIVITY, '99') = '99' THEN 'Not in GO publication population'  WHEN g.dw_fromdate=20200801 THEN 'Not applicable 2020/21 onwards'  WHEN ISNULL(g.PREVUCNAME_OTHER2, 'UNK') IN ('UNK', '', ' ') THEN 'Unknown/ not applicable' ELSE g.PREVUCNAME_OTHER2 END</v>
      </c>
      <c r="AB547" s="28" t="str">
        <f t="shared" si="84"/>
        <v>CASE WHEN ISNULL(g.ZRESPSTATUS, '02') = '02' OR ISNULL(g.XACTIVITY, '99') = '99' THEN 'Not in GO publication population'  WHEN g.dw_fromdate=20200801 THEN 'Not applicable 2020/21 onwards'  WHEN ISNULL(g.PREVUCNAME_OTHER2, 'UNK') IN ('UNK', '', ' ') THEN 'Unknown/ not applicable' ELSE g.PREVUCNAME_OTHER2 END</v>
      </c>
      <c r="AC547" s="28" t="str">
        <f t="shared" si="81"/>
        <v/>
      </c>
      <c r="AD547" s="28" t="str">
        <f t="shared" si="85"/>
        <v/>
      </c>
      <c r="AE547" t="str">
        <f t="shared" si="83"/>
        <v>[Previous university or college name other since graduation 2]</v>
      </c>
    </row>
    <row r="548" spans="1:31" ht="16" x14ac:dyDescent="0.2">
      <c r="A548">
        <v>100622</v>
      </c>
      <c r="B548" s="19" t="str">
        <f>DataItems3[[#This Row],[Field]]&amp;IF(DataItems3[[#This Row],[Options for supplying the Field]]="",""," "&amp;DataItems3[[#This Row],[Options for supplying the Field]])</f>
        <v>Previous university or college name other since graduation 3 [PREVUCNAME_OTHER3]</v>
      </c>
      <c r="C548">
        <v>100622</v>
      </c>
      <c r="D548" s="3" t="s">
        <v>151</v>
      </c>
      <c r="F548" s="3" t="s">
        <v>1979</v>
      </c>
      <c r="G548" s="13" t="s">
        <v>1980</v>
      </c>
      <c r="H548" s="3" t="s">
        <v>1981</v>
      </c>
      <c r="J548" s="3">
        <v>1</v>
      </c>
      <c r="K548" s="3">
        <v>1</v>
      </c>
      <c r="L548" s="3">
        <v>4</v>
      </c>
      <c r="M548" s="3">
        <v>0</v>
      </c>
      <c r="P548" s="3" t="s">
        <v>1197</v>
      </c>
      <c r="Q548" s="16" t="s">
        <v>3136</v>
      </c>
      <c r="R548" s="3" t="s">
        <v>93</v>
      </c>
      <c r="S548" s="16" t="s">
        <v>3136</v>
      </c>
      <c r="U548" s="3" t="s">
        <v>93</v>
      </c>
      <c r="V548" s="3" t="s">
        <v>93</v>
      </c>
      <c r="W548" s="57" t="s">
        <v>1975</v>
      </c>
      <c r="X548" t="str">
        <f>DataItems3[[#This Row],[Collection]]&amp;DataItems3[[#This Row],[Field]]&amp;DataItems3[[#This Row],[Options for supplying the Field]]&amp;DataItems3[[#This Row],[Fieldname]]&amp;DataItems3[[#This Row],[Parent]]</f>
        <v>Graduate OutcomesPrevious university or college name other since graduation 3[PREVUCNAME_OTHER3]PREVUCNAME_OTHER3Provider &gt; Graduate &gt; Previous Study:</v>
      </c>
      <c r="Y548" s="15">
        <v>44008</v>
      </c>
      <c r="Z548" t="s">
        <v>159</v>
      </c>
      <c r="AA548" s="28" t="str">
        <f t="shared" si="86"/>
        <v>CASE WHEN ISNULL(g.ZRESPSTATUS, '02') = '02' OR ISNULL(g.XACTIVITY, '99') = '99' THEN 'Not in GO publication population'  WHEN g.dw_fromdate=20200801 THEN 'Not applicable 2020/21 onwards'  WHEN ISNULL(g.PREVUCNAME_OTHER3, 'UNK') IN ('UNK', '', ' ') THEN 'Unknown/ not applicable' ELSE g.PREVUCNAME_OTHER3 END</v>
      </c>
      <c r="AB548" s="28" t="str">
        <f t="shared" si="84"/>
        <v>CASE WHEN ISNULL(g.ZRESPSTATUS, '02') = '02' OR ISNULL(g.XACTIVITY, '99') = '99' THEN 'Not in GO publication population'  WHEN g.dw_fromdate=20200801 THEN 'Not applicable 2020/21 onwards'  WHEN ISNULL(g.PREVUCNAME_OTHER3, 'UNK') IN ('UNK', '', ' ') THEN 'Unknown/ not applicable' ELSE g.PREVUCNAME_OTHER3 END</v>
      </c>
      <c r="AC548" s="28" t="str">
        <f t="shared" si="81"/>
        <v/>
      </c>
      <c r="AD548" s="28" t="str">
        <f t="shared" si="85"/>
        <v/>
      </c>
      <c r="AE548" t="str">
        <f t="shared" si="83"/>
        <v>[Previous university or college name other since graduation 3]</v>
      </c>
    </row>
    <row r="549" spans="1:31" ht="16" x14ac:dyDescent="0.2">
      <c r="A549">
        <v>100440</v>
      </c>
      <c r="B549" s="11" t="str">
        <f>DataItems3[[#This Row],[Field]]&amp;IF(DataItems3[[#This Row],[Options for supplying the Field]]="",""," "&amp;DataItems3[[#This Row],[Options for supplying the Field]])</f>
        <v>Previous university or college name since graduation 1 [PREVUCNAME1]</v>
      </c>
      <c r="C549">
        <v>100440</v>
      </c>
      <c r="D549" s="3" t="s">
        <v>151</v>
      </c>
      <c r="F549" s="3" t="s">
        <v>1982</v>
      </c>
      <c r="G549" s="13" t="s">
        <v>1983</v>
      </c>
      <c r="H549" s="3" t="s">
        <v>1984</v>
      </c>
      <c r="J549" s="3">
        <v>1</v>
      </c>
      <c r="K549" s="3">
        <v>1</v>
      </c>
      <c r="L549" s="3">
        <v>4</v>
      </c>
      <c r="M549" s="3">
        <v>0</v>
      </c>
      <c r="P549" s="3" t="s">
        <v>1197</v>
      </c>
      <c r="Q549" s="16" t="s">
        <v>1985</v>
      </c>
      <c r="R549" s="3" t="s">
        <v>93</v>
      </c>
      <c r="S549" s="16" t="s">
        <v>1986</v>
      </c>
      <c r="U549" s="3" t="s">
        <v>1987</v>
      </c>
      <c r="V549" s="3" t="s">
        <v>93</v>
      </c>
      <c r="W549" s="57" t="s">
        <v>2909</v>
      </c>
      <c r="X549" t="str">
        <f>DataItems3[[#This Row],[Collection]]&amp;DataItems3[[#This Row],[Field]]&amp;DataItems3[[#This Row],[Options for supplying the Field]]&amp;DataItems3[[#This Row],[Fieldname]]&amp;DataItems3[[#This Row],[Parent]]</f>
        <v>Graduate OutcomesPrevious university or college name since graduation 1[PREVUCNAME1]PREVUCNAME1Provider &gt; Graduate &gt; Previous Study:</v>
      </c>
      <c r="Y549" s="15">
        <v>44008</v>
      </c>
      <c r="Z549" t="s">
        <v>159</v>
      </c>
      <c r="AA549" s="28" t="str">
        <f t="shared" si="86"/>
        <v>CASE WHEN ISNULL(g.ZRESPSTATUS, '02')='02' OR ISNULL(g.XACTIVITY, '99')='99' THEN 'Not in GO publication population' else IIF(isnull(g.PREVUCNAME1,'')='','N/A',g.PREVUCNAME1) end</v>
      </c>
      <c r="AB549" s="28" t="str">
        <f>IF(S549="","",IF(IFERROR(SEARCH("select",S549)&gt;0,0),IF(U549="",IF(MID(S549,SEARCH(H549,S549)-4,1)=" ",MID(S549,SEARCH(H549,S549)-2,LEN(#REF!)+2),MID(S549,SEARCH(H549,S549)-3,LEN(H549)+3)),U549&amp;"."&amp;H549),S549))</f>
        <v>CASE WHEN ISNULL(g.ZRESPSTATUS, '02')='02' OR ISNULL(g.XACTIVITY, '99')='99' THEN 'Not in GO publication population' else IIF(isnull(g.PREVUCNAME1,'')='','N/A',prev1.ukprn_legalname) end</v>
      </c>
      <c r="AC549" s="28" t="str">
        <f t="shared" si="81"/>
        <v/>
      </c>
      <c r="AD549" s="28" t="str">
        <f t="shared" si="85"/>
        <v/>
      </c>
      <c r="AE549" t="str">
        <f t="shared" si="83"/>
        <v>[Previous university or college name since graduation 1]</v>
      </c>
    </row>
    <row r="550" spans="1:31" ht="16" x14ac:dyDescent="0.2">
      <c r="A550">
        <v>100619</v>
      </c>
      <c r="B550" s="19" t="str">
        <f>DataItems3[[#This Row],[Field]]&amp;IF(DataItems3[[#This Row],[Options for supplying the Field]]="",""," "&amp;DataItems3[[#This Row],[Options for supplying the Field]])</f>
        <v>Previous university or college name since graduation 2 [PREVUCNAME2]</v>
      </c>
      <c r="C550">
        <v>100619</v>
      </c>
      <c r="D550" s="3" t="s">
        <v>151</v>
      </c>
      <c r="F550" s="3" t="s">
        <v>1988</v>
      </c>
      <c r="G550" s="13" t="s">
        <v>1989</v>
      </c>
      <c r="H550" s="3" t="s">
        <v>1990</v>
      </c>
      <c r="J550" s="3">
        <v>1</v>
      </c>
      <c r="K550" s="3">
        <v>1</v>
      </c>
      <c r="L550" s="3">
        <v>4</v>
      </c>
      <c r="M550" s="3">
        <v>0</v>
      </c>
      <c r="P550" s="3" t="s">
        <v>1197</v>
      </c>
      <c r="Q550" s="16" t="s">
        <v>1991</v>
      </c>
      <c r="R550" s="3" t="s">
        <v>93</v>
      </c>
      <c r="S550" s="16" t="s">
        <v>1992</v>
      </c>
      <c r="U550" s="3" t="s">
        <v>1993</v>
      </c>
      <c r="V550" s="3" t="s">
        <v>93</v>
      </c>
      <c r="W550" s="57" t="s">
        <v>2909</v>
      </c>
      <c r="X550" t="str">
        <f>DataItems3[[#This Row],[Collection]]&amp;DataItems3[[#This Row],[Field]]&amp;DataItems3[[#This Row],[Options for supplying the Field]]&amp;DataItems3[[#This Row],[Fieldname]]&amp;DataItems3[[#This Row],[Parent]]</f>
        <v>Graduate OutcomesPrevious university or college name since graduation 2[PREVUCNAME2]PREVUCNAME2Provider &gt; Graduate &gt; Previous Study:</v>
      </c>
      <c r="Y550" s="15">
        <v>44008</v>
      </c>
      <c r="Z550" t="s">
        <v>159</v>
      </c>
      <c r="AA550" s="28" t="str">
        <f t="shared" si="86"/>
        <v>CASE WHEN ISNULL(g.ZRESPSTATUS, '02')='02' OR ISNULL(g.XACTIVITY, '99')='99' THEN 'Not in GO publication population' else IIF(isnull(g.PREVUCNAME2,'')='','N/A',g.PREVUCNAME2) end</v>
      </c>
      <c r="AB550" s="28" t="str">
        <f>IF(S550="","",IF(IFERROR(SEARCH("select",S550)&gt;0,0),IF(U550="",IF(MID(S550,SEARCH(H550,S550)-4,1)=" ",MID(S550,SEARCH(H550,S550)-2,LEN(#REF!)+2),MID(S550,SEARCH(H550,S550)-3,LEN(H550)+3)),U550&amp;"."&amp;H550),S550))</f>
        <v>CASE WHEN ISNULL(g.ZRESPSTATUS, '02')='02' OR ISNULL(g.XACTIVITY, '99')='99' THEN 'Not in GO publication population' else IIF(isnull(g.PREVUCNAME2,'')='','N/A',prev2.ukprn_legalname) end</v>
      </c>
      <c r="AC550" s="28" t="str">
        <f t="shared" si="81"/>
        <v/>
      </c>
      <c r="AD550" s="28" t="str">
        <f>IF(T550="","",IF(IFERROR(SEARCH("select",T550)&gt;0,0),IF(U550="",IF(MID(T550,SEARCH(H550,T550)-4,1)=" ",MID(T550,SEARCH(H550,T550)-2,LEN(#REF!)+2),MID(T550,SEARCH(H550,T550)-3,LEN(H550)+3)),U550&amp;"."&amp;H550),T550))</f>
        <v/>
      </c>
      <c r="AE550" t="str">
        <f t="shared" si="83"/>
        <v>[Previous university or college name since graduation 2]</v>
      </c>
    </row>
    <row r="551" spans="1:31" ht="16" x14ac:dyDescent="0.2">
      <c r="A551">
        <v>100620</v>
      </c>
      <c r="B551" s="19" t="str">
        <f>DataItems3[[#This Row],[Field]]&amp;IF(DataItems3[[#This Row],[Options for supplying the Field]]="",""," "&amp;DataItems3[[#This Row],[Options for supplying the Field]])</f>
        <v>Previous university or college name since graduation 3 [PREVUCNAME3]</v>
      </c>
      <c r="C551">
        <v>100620</v>
      </c>
      <c r="D551" s="3" t="s">
        <v>151</v>
      </c>
      <c r="F551" s="3" t="s">
        <v>1994</v>
      </c>
      <c r="G551" s="13" t="s">
        <v>1995</v>
      </c>
      <c r="H551" s="3" t="s">
        <v>1996</v>
      </c>
      <c r="J551" s="3">
        <v>1</v>
      </c>
      <c r="K551" s="3">
        <v>1</v>
      </c>
      <c r="L551" s="3">
        <v>4</v>
      </c>
      <c r="M551" s="3">
        <v>0</v>
      </c>
      <c r="P551" s="3" t="s">
        <v>1197</v>
      </c>
      <c r="Q551" s="16" t="s">
        <v>1997</v>
      </c>
      <c r="R551" s="3" t="s">
        <v>93</v>
      </c>
      <c r="S551" s="16" t="s">
        <v>1998</v>
      </c>
      <c r="U551" s="3" t="s">
        <v>1999</v>
      </c>
      <c r="V551" s="3" t="s">
        <v>93</v>
      </c>
      <c r="W551" s="57" t="s">
        <v>2909</v>
      </c>
      <c r="X551" t="str">
        <f>DataItems3[[#This Row],[Collection]]&amp;DataItems3[[#This Row],[Field]]&amp;DataItems3[[#This Row],[Options for supplying the Field]]&amp;DataItems3[[#This Row],[Fieldname]]&amp;DataItems3[[#This Row],[Parent]]</f>
        <v>Graduate OutcomesPrevious university or college name since graduation 3[PREVUCNAME3]PREVUCNAME3Provider &gt; Graduate &gt; Previous Study:</v>
      </c>
      <c r="Y551" s="15">
        <v>44008</v>
      </c>
      <c r="Z551" t="s">
        <v>159</v>
      </c>
      <c r="AA551" s="28" t="str">
        <f t="shared" si="86"/>
        <v>CASE WHEN ISNULL(g.ZRESPSTATUS, '02')='02' OR ISNULL(g.XACTIVITY, '99')='99' THEN 'Not in GO publication population' else IIF(isnull(g.PREVUCNAME3,'')='','N/A',g.PREVUCNAME3) end</v>
      </c>
      <c r="AB551" s="28" t="str">
        <f>IF(S551="","",IF(IFERROR(SEARCH("select",S551)&gt;0,0),IF(U551="",IF(MID(S551,SEARCH(H551,S551)-4,1)=" ",MID(S551,SEARCH(H551,S551)-2,LEN(#REF!)+2),MID(S551,SEARCH(H551,S551)-3,LEN(H551)+3)),U551&amp;"."&amp;H551),S551))</f>
        <v>CASE WHEN ISNULL(g.ZRESPSTATUS, '02')='02' OR ISNULL(g.XACTIVITY, '99')='99' THEN 'Not in GO publication population' else IIF(isnull(g.PREVUCNAME3,'')='','N/A',prev3.ukprn_legalname) end</v>
      </c>
      <c r="AC551" s="28" t="str">
        <f t="shared" si="81"/>
        <v/>
      </c>
      <c r="AD551" s="28" t="str">
        <f>IF(T551="","",IF(IFERROR(SEARCH("select",T551)&gt;0,0),IF(U551="",IF(MID(T551,SEARCH(H551,T551)-4,1)=" ",MID(T551,SEARCH(H551,T551)-2,LEN(#REF!)+2),MID(T551,SEARCH(H551,T551)-3,LEN(H551)+3)),U551&amp;"."&amp;H551),T551))</f>
        <v/>
      </c>
      <c r="AE551" t="str">
        <f t="shared" si="83"/>
        <v>[Previous university or college name since graduation 3]</v>
      </c>
    </row>
    <row r="552" spans="1:31" ht="16" x14ac:dyDescent="0.2">
      <c r="A552">
        <v>100442</v>
      </c>
      <c r="B552" s="11" t="str">
        <f>DataItems3[[#This Row],[Field]]&amp;IF(DataItems3[[#This Row],[Options for supplying the Field]]="",""," "&amp;DataItems3[[#This Row],[Options for supplying the Field]])</f>
        <v>Previously employed</v>
      </c>
      <c r="C552">
        <v>100442</v>
      </c>
      <c r="D552" s="3" t="s">
        <v>146</v>
      </c>
      <c r="F552" s="3" t="s">
        <v>2000</v>
      </c>
      <c r="G552" s="13"/>
      <c r="H552" s="14" t="s">
        <v>93</v>
      </c>
      <c r="J552" s="3">
        <v>1</v>
      </c>
      <c r="K552" s="3">
        <v>1</v>
      </c>
      <c r="L552" s="3">
        <v>0</v>
      </c>
      <c r="M552" s="3">
        <v>0</v>
      </c>
      <c r="N552" s="3" t="s">
        <v>89</v>
      </c>
      <c r="Q552" s="16" t="s">
        <v>93</v>
      </c>
      <c r="R552" s="3" t="s">
        <v>93</v>
      </c>
      <c r="S552" s="16" t="s">
        <v>93</v>
      </c>
      <c r="U552" s="3" t="s">
        <v>93</v>
      </c>
      <c r="V552" s="3" t="s">
        <v>93</v>
      </c>
      <c r="W552" s="57" t="s">
        <v>2926</v>
      </c>
      <c r="X552" t="str">
        <f>DataItems3[[#This Row],[Collection]]&amp;DataItems3[[#This Row],[Field]]&amp;DataItems3[[#This Row],[Options for supplying the Field]]&amp;DataItems3[[#This Row],[Fieldname]]&amp;DataItems3[[#This Row],[Parent]]</f>
        <v>DLHEPreviously employed</v>
      </c>
      <c r="Y552" s="15">
        <v>43416</v>
      </c>
      <c r="Z552" t="s">
        <v>95</v>
      </c>
      <c r="AA552" s="28" t="str">
        <f t="shared" si="86"/>
        <v/>
      </c>
      <c r="AB552" s="28" t="str">
        <f>IF(S552="","",IF(IFERROR(SEARCH("select",S552)&gt;0,0),IF(U552="",IF(MID(S552,SEARCH(H552,S552)-4,1)=" ",MID(S552,SEARCH(H552,S552)-2,LEN(#REF!)+2),MID(S552,SEARCH(H552,S552)-3,LEN(H552)+3)),U552&amp;"."&amp;H552),S552))</f>
        <v/>
      </c>
      <c r="AC552" s="28" t="str">
        <f t="shared" si="81"/>
        <v/>
      </c>
      <c r="AD552" s="28" t="str">
        <f>IF(T552="","",IF(IFERROR(SEARCH("select",T552)&gt;0,0),IF(U552="",IF(MID(T552,SEARCH(H552,T552)-4,1)=" ",MID(T552,SEARCH(H552,T552)-2,LEN(#REF!)+2),MID(T552,SEARCH(H552,T552)-3,LEN(H552)+3)),U552&amp;"."&amp;H552),T552))</f>
        <v/>
      </c>
      <c r="AE552" t="str">
        <f t="shared" si="83"/>
        <v>[Previously employed]</v>
      </c>
    </row>
    <row r="553" spans="1:31" ht="48" x14ac:dyDescent="0.2">
      <c r="A553">
        <v>100443</v>
      </c>
      <c r="B553" s="11" t="str">
        <f>DataItems3[[#This Row],[Field]]&amp;IF(DataItems3[[#This Row],[Options for supplying the Field]]="",""," "&amp;DataItems3[[#This Row],[Options for supplying the Field]])</f>
        <v>Professional employment marker (Professional/ Non-professional/ [Not known/Not applicable])</v>
      </c>
      <c r="C553">
        <v>100443</v>
      </c>
      <c r="D553" s="3" t="s">
        <v>146</v>
      </c>
      <c r="F553" s="3" t="s">
        <v>2001</v>
      </c>
      <c r="G553" s="13" t="s">
        <v>2002</v>
      </c>
      <c r="H553" s="14" t="s">
        <v>93</v>
      </c>
      <c r="J553" s="3">
        <v>2</v>
      </c>
      <c r="K553" s="3">
        <v>3</v>
      </c>
      <c r="L553" s="3">
        <v>0</v>
      </c>
      <c r="M553" s="3">
        <v>0</v>
      </c>
      <c r="N553" s="3" t="s">
        <v>106</v>
      </c>
      <c r="Q553" s="16" t="s">
        <v>93</v>
      </c>
      <c r="R553" s="3" t="s">
        <v>93</v>
      </c>
      <c r="S553" s="16" t="s">
        <v>93</v>
      </c>
      <c r="U553" s="3" t="s">
        <v>93</v>
      </c>
      <c r="V553" s="3" t="s">
        <v>93</v>
      </c>
      <c r="W553" s="57" t="s">
        <v>2926</v>
      </c>
      <c r="X553" t="str">
        <f>DataItems3[[#This Row],[Collection]]&amp;DataItems3[[#This Row],[Field]]&amp;DataItems3[[#This Row],[Options for supplying the Field]]&amp;DataItems3[[#This Row],[Fieldname]]&amp;DataItems3[[#This Row],[Parent]]</f>
        <v>DLHEProfessional employment marker(Professional/ Non-professional/ [Not known/Not applicable])</v>
      </c>
      <c r="Y553" s="15">
        <v>43416</v>
      </c>
      <c r="Z553" t="s">
        <v>95</v>
      </c>
      <c r="AA553" s="28" t="str">
        <f t="shared" si="86"/>
        <v/>
      </c>
      <c r="AB553" s="28" t="str">
        <f>IF(S553="","",IF(IFERROR(SEARCH("select",S553)&gt;0,0),IF(U553="",IF(MID(S553,SEARCH(H553,S553)-4,1)=" ",MID(S553,SEARCH(H553,S553)-2,LEN(#REF!)+2),MID(S553,SEARCH(H553,S553)-3,LEN(H553)+3)),U553&amp;"."&amp;H553),S553))</f>
        <v/>
      </c>
      <c r="AC553" s="28" t="str">
        <f t="shared" si="81"/>
        <v/>
      </c>
      <c r="AD553" s="28" t="str">
        <f>IF(T553="","",IF(IFERROR(SEARCH("select",T553)&gt;0,0),IF(U553="",IF(MID(T553,SEARCH(H553,T553)-4,1)=" ",MID(T553,SEARCH(H553,T553)-2,LEN(#REF!)+2),MID(T553,SEARCH(H553,T553)-3,LEN(H553)+3)),U553&amp;"."&amp;H553),T553))</f>
        <v/>
      </c>
      <c r="AE553" t="str">
        <f t="shared" si="83"/>
        <v>[Professional employment marker]</v>
      </c>
    </row>
    <row r="554" spans="1:31" ht="48" x14ac:dyDescent="0.2">
      <c r="A554">
        <v>100444</v>
      </c>
      <c r="B554" s="11" t="str">
        <f>DataItems3[[#This Row],[Field]]&amp;IF(DataItems3[[#This Row],[Options for supplying the Field]]="",""," "&amp;DataItems3[[#This Row],[Options for supplying the Field]])</f>
        <v>Professorial marker (Professor/ Not a professor) - 2012/13 onwards</v>
      </c>
      <c r="C554">
        <v>100444</v>
      </c>
      <c r="D554" s="3" t="s">
        <v>100</v>
      </c>
      <c r="F554" s="3" t="s">
        <v>2003</v>
      </c>
      <c r="G554" s="13" t="s">
        <v>2004</v>
      </c>
      <c r="H554" s="14" t="s">
        <v>514</v>
      </c>
      <c r="J554" s="3">
        <v>3</v>
      </c>
      <c r="K554" s="3">
        <v>1</v>
      </c>
      <c r="L554" s="3">
        <v>0</v>
      </c>
      <c r="M554" s="3">
        <v>0</v>
      </c>
      <c r="N554" s="3" t="s">
        <v>106</v>
      </c>
      <c r="Q554" s="16" t="s">
        <v>2005</v>
      </c>
      <c r="R554" s="3" t="s">
        <v>93</v>
      </c>
      <c r="S554" s="16" t="s">
        <v>2005</v>
      </c>
      <c r="U554" s="3" t="s">
        <v>93</v>
      </c>
      <c r="V554" s="3" t="s">
        <v>93</v>
      </c>
      <c r="W554" s="57" t="s">
        <v>3137</v>
      </c>
      <c r="X554" t="str">
        <f>DataItems3[[#This Row],[Collection]]&amp;DataItems3[[#This Row],[Field]]&amp;DataItems3[[#This Row],[Options for supplying the Field]]&amp;DataItems3[[#This Row],[Fieldname]]&amp;DataItems3[[#This Row],[Parent]]</f>
        <v>StaffProfessorial marker(Professor/ Not a professor) - 2012/13 onwardsF_LEVELS</v>
      </c>
      <c r="Y554" s="15">
        <v>43441</v>
      </c>
      <c r="Z554" t="s">
        <v>95</v>
      </c>
      <c r="AA554" s="28" t="str">
        <f t="shared" si="86"/>
        <v>CASE WHEN cc.DW_FromDate &lt;= 20110801 THEN 'Not appliable (2011/12 and prior)' WHEN c.F_LEVELS = 'F1' THEN 'Professor' ELSE 'Not a professor' END</v>
      </c>
      <c r="AB554" s="28" t="str">
        <f>IF(S554="","",IF(IFERROR(SEARCH("select",S554)&gt;0,0),IF(U554="",IF(MID(S554,SEARCH(H554,S554)-4,1)=" ",MID(S554,SEARCH(H554,S554)-2,LEN(#REF!)+2),MID(S554,SEARCH(H554,S554)-3,LEN(H554)+3)),U554&amp;"."&amp;H554),S554))</f>
        <v>CASE WHEN cc.DW_FromDate &lt;= 20110801 THEN 'Not appliable (2011/12 and prior)' WHEN c.F_LEVELS = 'F1' THEN 'Professor' ELSE 'Not a professor' END</v>
      </c>
      <c r="AC554" s="28" t="str">
        <f t="shared" si="81"/>
        <v/>
      </c>
      <c r="AD554" s="28" t="str">
        <f>IF(T554="","",IF(IFERROR(SEARCH("select",T554)&gt;0,0),IF(U554="",IF(MID(T554,SEARCH(H554,T554)-4,1)=" ",MID(T554,SEARCH(H554,T554)-2,LEN(#REF!)+2),MID(T554,SEARCH(H554,T554)-3,LEN(H554)+3)),U554&amp;"."&amp;H554),T554))</f>
        <v/>
      </c>
      <c r="AE554" t="str">
        <f t="shared" si="83"/>
        <v>[Professorial marker]</v>
      </c>
    </row>
    <row r="555" spans="1:31" ht="16" x14ac:dyDescent="0.2">
      <c r="A555">
        <v>100897</v>
      </c>
      <c r="B555" s="29" t="str">
        <f>DataItems3[[#This Row],[Field]]&amp;IF(DataItems3[[#This Row],[Options for supplying the Field]]="",""," "&amp;DataItems3[[#This Row],[Options for supplying the Field]])</f>
        <v>Proportion in HESA cost centre 1 (2011/12 and prior) (Staff)</v>
      </c>
      <c r="C555">
        <v>100897</v>
      </c>
      <c r="D555" s="3" t="s">
        <v>100</v>
      </c>
      <c r="F555" s="3" t="s">
        <v>3138</v>
      </c>
      <c r="G555" s="13" t="s">
        <v>327</v>
      </c>
      <c r="H555" s="13" t="s">
        <v>3139</v>
      </c>
      <c r="I555" s="13"/>
      <c r="J555" s="3">
        <v>1</v>
      </c>
      <c r="K555" s="3">
        <v>1</v>
      </c>
      <c r="L555" s="3">
        <v>0</v>
      </c>
      <c r="M555" s="3">
        <v>0</v>
      </c>
      <c r="Q555" s="16" t="s">
        <v>3140</v>
      </c>
      <c r="S555" s="16" t="s">
        <v>3140</v>
      </c>
      <c r="W555" s="57" t="s">
        <v>3141</v>
      </c>
      <c r="X555" t="str">
        <f>DataItems3[[#This Row],[Collection]]&amp;DataItems3[[#This Row],[Field]]&amp;DataItems3[[#This Row],[Options for supplying the Field]]&amp;DataItems3[[#This Row],[Fieldname]]&amp;DataItems3[[#This Row],[Parent]]</f>
        <v>StaffProportion in HESA cost centre 1 (2011/12 and prior)(Staff)F_CCPROP1</v>
      </c>
      <c r="Y555" s="4">
        <v>44853</v>
      </c>
      <c r="Z555" t="s">
        <v>2875</v>
      </c>
      <c r="AA555" s="28" t="str">
        <f t="shared" si="86"/>
        <v>CASE WHEN c.DW_FromDate &gt;= 20120801 THEN -88888 ELSE c.F_CCPROP1 END</v>
      </c>
      <c r="AB555" s="28" t="str">
        <f>IF(S555="","",IF(IFERROR(SEARCH("select",S555)&gt;0,0),IF(U555="",IF(MID(S555,SEARCH(H555,S555)-4,1)=" ",MID(S555,SEARCH(H555,S555)-2,LEN(O565)+2),MID(S555,SEARCH(H555,S555)-3,LEN(H555)+3)),U555&amp;"."&amp;H555),S555))</f>
        <v>CASE WHEN c.DW_FromDate &gt;= 20120801 THEN -88888 ELSE c.F_CCPROP1 END</v>
      </c>
      <c r="AC555" s="28" t="str">
        <f t="shared" si="81"/>
        <v/>
      </c>
      <c r="AD555" s="28" t="str">
        <f>IF(T555="","",IF(IFERROR(SEARCH("select",T555)&gt;0,0),IF(U555="",IF(MID(T555,SEARCH(H555,T555)-4,1)=" ",MID(T555,SEARCH(H555,T555)-2,LEN(#REF!)+2),MID(T555,SEARCH(H555,T555)-3,LEN(H555)+3)),U555&amp;"."&amp;H555),T555))</f>
        <v/>
      </c>
      <c r="AE555" t="str">
        <f t="shared" si="83"/>
        <v>[Proportion in HESA cost centre 1 (2011/12 and prior)]</v>
      </c>
    </row>
    <row r="556" spans="1:31" ht="16" x14ac:dyDescent="0.2">
      <c r="A556">
        <v>100898</v>
      </c>
      <c r="B556" s="29" t="str">
        <f>DataItems3[[#This Row],[Field]]&amp;IF(DataItems3[[#This Row],[Options for supplying the Field]]="",""," "&amp;DataItems3[[#This Row],[Options for supplying the Field]])</f>
        <v>Proportion in HESA cost centre 2 (2011/12 and prior) (Staff)</v>
      </c>
      <c r="C556">
        <v>100898</v>
      </c>
      <c r="D556" s="3" t="s">
        <v>100</v>
      </c>
      <c r="F556" s="3" t="s">
        <v>3142</v>
      </c>
      <c r="G556" s="13" t="s">
        <v>327</v>
      </c>
      <c r="H556" s="13" t="s">
        <v>3143</v>
      </c>
      <c r="I556" s="13"/>
      <c r="J556" s="3">
        <v>1</v>
      </c>
      <c r="K556" s="3">
        <v>1</v>
      </c>
      <c r="L556" s="3">
        <v>0</v>
      </c>
      <c r="M556" s="3">
        <v>0</v>
      </c>
      <c r="Q556" s="32" t="s">
        <v>3144</v>
      </c>
      <c r="S556" s="32" t="s">
        <v>3144</v>
      </c>
      <c r="W556" s="57" t="s">
        <v>3141</v>
      </c>
      <c r="X556" t="str">
        <f>DataItems3[[#This Row],[Collection]]&amp;DataItems3[[#This Row],[Field]]&amp;DataItems3[[#This Row],[Options for supplying the Field]]&amp;DataItems3[[#This Row],[Fieldname]]&amp;DataItems3[[#This Row],[Parent]]</f>
        <v>StaffProportion in HESA cost centre 2 (2011/12 and prior)(Staff)F_CCPROP2</v>
      </c>
      <c r="Y556" s="4">
        <v>44853</v>
      </c>
      <c r="Z556" t="s">
        <v>2875</v>
      </c>
      <c r="AA556" s="28" t="str">
        <f t="shared" si="86"/>
        <v>CASE WHEN c.DW_FromDate &gt;= 20120801 THEN -88888 ELSE c.F_CCPROP2 END</v>
      </c>
      <c r="AB556" s="28" t="str">
        <f>IF(S556="","",IF(IFERROR(SEARCH("select",S556)&gt;0,0),IF(U556="",IF(MID(S556,SEARCH(H556,S556)-4,1)=" ",MID(S556,SEARCH(H556,S556)-2,LEN(O565)+2),MID(S556,SEARCH(H556,S556)-3,LEN(H556)+3)),U556&amp;"."&amp;H556),S556))</f>
        <v>CASE WHEN c.DW_FromDate &gt;= 20120801 THEN -88888 ELSE c.F_CCPROP2 END</v>
      </c>
      <c r="AC556" s="28" t="str">
        <f t="shared" si="81"/>
        <v/>
      </c>
      <c r="AD556" s="28" t="str">
        <f>IF(T556="","",IF(IFERROR(SEARCH("select",T556)&gt;0,0),IF(U556="",IF(MID(T556,SEARCH(H556,T556)-4,1)=" ",MID(T556,SEARCH(H556,T556)-2,LEN(#REF!)+2),MID(T556,SEARCH(H556,T556)-3,LEN(H556)+3)),U556&amp;"."&amp;H556),T556))</f>
        <v/>
      </c>
      <c r="AE556" t="str">
        <f t="shared" si="83"/>
        <v>[Proportion in HESA cost centre 2 (2011/12 and prior)]</v>
      </c>
    </row>
    <row r="557" spans="1:31" ht="16" x14ac:dyDescent="0.2">
      <c r="A557">
        <v>100899</v>
      </c>
      <c r="B557" s="29" t="str">
        <f>DataItems3[[#This Row],[Field]]&amp;IF(DataItems3[[#This Row],[Options for supplying the Field]]="",""," "&amp;DataItems3[[#This Row],[Options for supplying the Field]])</f>
        <v>Proportion in HESA cost centre 3 (2011/12 and prior) (Staff)</v>
      </c>
      <c r="C557">
        <v>100899</v>
      </c>
      <c r="D557" s="3" t="s">
        <v>100</v>
      </c>
      <c r="F557" s="3" t="s">
        <v>3145</v>
      </c>
      <c r="G557" s="13" t="s">
        <v>327</v>
      </c>
      <c r="H557" s="13" t="s">
        <v>3146</v>
      </c>
      <c r="I557" s="13"/>
      <c r="J557" s="3">
        <v>1</v>
      </c>
      <c r="K557" s="3">
        <v>1</v>
      </c>
      <c r="L557" s="3">
        <v>0</v>
      </c>
      <c r="M557" s="3">
        <v>0</v>
      </c>
      <c r="Q557" s="16" t="s">
        <v>3147</v>
      </c>
      <c r="S557" s="16" t="s">
        <v>3147</v>
      </c>
      <c r="W557" s="57" t="s">
        <v>3141</v>
      </c>
      <c r="X557" t="str">
        <f>DataItems3[[#This Row],[Collection]]&amp;DataItems3[[#This Row],[Field]]&amp;DataItems3[[#This Row],[Options for supplying the Field]]&amp;DataItems3[[#This Row],[Fieldname]]&amp;DataItems3[[#This Row],[Parent]]</f>
        <v>StaffProportion in HESA cost centre 3 (2011/12 and prior)(Staff)F_CCPROP3</v>
      </c>
      <c r="Y557" s="4">
        <v>44853</v>
      </c>
      <c r="Z557" t="s">
        <v>2875</v>
      </c>
      <c r="AA557" s="28" t="str">
        <f t="shared" si="86"/>
        <v>CASE WHEN c.DW_FromDate &gt;= 20120801 THEN -88888 ELSE c.F_CCPROP3 END</v>
      </c>
      <c r="AB557" s="28" t="str">
        <f>IF(S557="","",IF(IFERROR(SEARCH("select",S557)&gt;0,0),IF(U557="",IF(MID(S557,SEARCH(H557,S557)-4,1)=" ",MID(S557,SEARCH(H557,S557)-2,LEN(O565)+2),MID(S557,SEARCH(H557,S557)-3,LEN(H557)+3)),U557&amp;"."&amp;H557),S557))</f>
        <v>CASE WHEN c.DW_FromDate &gt;= 20120801 THEN -88888 ELSE c.F_CCPROP3 END</v>
      </c>
      <c r="AC557" s="28" t="str">
        <f t="shared" si="81"/>
        <v/>
      </c>
      <c r="AD557" s="28" t="str">
        <f>IF(T557="","",IF(IFERROR(SEARCH("select",T557)&gt;0,0),IF(U557="",IF(MID(T557,SEARCH(H557,T557)-4,1)=" ",MID(T557,SEARCH(H557,T557)-2,LEN(O559)+2),MID(T557,SEARCH(H557,T557)-3,LEN(H557)+3)),U557&amp;"."&amp;H557),T557))</f>
        <v/>
      </c>
      <c r="AE557" t="str">
        <f t="shared" si="83"/>
        <v>[Proportion in HESA cost centre 3 (2011/12 and prior)]</v>
      </c>
    </row>
    <row r="558" spans="1:31" ht="16" x14ac:dyDescent="0.2">
      <c r="A558">
        <v>100893</v>
      </c>
      <c r="B558" s="29" t="str">
        <f>DataItems3[[#This Row],[Field]]&amp;IF(DataItems3[[#This Row],[Options for supplying the Field]]="",""," "&amp;DataItems3[[#This Row],[Options for supplying the Field]])</f>
        <v>Proportion of basic salary charged against general income (Staff)</v>
      </c>
      <c r="C558">
        <v>100893</v>
      </c>
      <c r="D558" s="3" t="s">
        <v>100</v>
      </c>
      <c r="F558" s="3" t="s">
        <v>3148</v>
      </c>
      <c r="G558" s="13" t="s">
        <v>327</v>
      </c>
      <c r="H558" s="13" t="s">
        <v>3149</v>
      </c>
      <c r="I558" s="13"/>
      <c r="J558" s="3">
        <v>1</v>
      </c>
      <c r="K558" s="3">
        <v>2</v>
      </c>
      <c r="L558" s="3">
        <v>0</v>
      </c>
      <c r="M558" s="3">
        <v>0</v>
      </c>
      <c r="Q558" s="16" t="s">
        <v>3150</v>
      </c>
      <c r="S558" s="16" t="s">
        <v>3150</v>
      </c>
      <c r="W558" s="57" t="s">
        <v>1074</v>
      </c>
      <c r="X558" t="str">
        <f>DataItems3[[#This Row],[Collection]]&amp;DataItems3[[#This Row],[Field]]&amp;DataItems3[[#This Row],[Options for supplying the Field]]&amp;DataItems3[[#This Row],[Fieldname]]&amp;DataItems3[[#This Row],[Parent]]</f>
        <v>StaffProportion of basic salary charged against general income(Staff)F_PSCAG</v>
      </c>
      <c r="Y558" s="4">
        <v>44853</v>
      </c>
      <c r="Z558" t="s">
        <v>2875</v>
      </c>
      <c r="AA558" s="28" t="str">
        <f t="shared" si="86"/>
        <v>C.F_PSCAG</v>
      </c>
      <c r="AB558" s="28" t="str">
        <f>IF(S558="","",IF(IFERROR(SEARCH("select",S558)&gt;0,0),IF(U558="",IF(MID(S558,SEARCH(H558,S558)-4,1)=" ",MID(S558,SEARCH(H558,S558)-2,LEN(O570)+2),MID(S558,SEARCH(H558,S558)-3,LEN(H558)+3)),U558&amp;"."&amp;H558),S558))</f>
        <v>C.F_PSCAG</v>
      </c>
      <c r="AC558" s="28" t="str">
        <f t="shared" si="81"/>
        <v/>
      </c>
      <c r="AD558" s="28" t="str">
        <f>IF(T558="","",IF(IFERROR(SEARCH("select",T558)&gt;0,0),IF(U558="",IF(MID(T558,SEARCH(H558,T558)-4,1)=" ",MID(T558,SEARCH(H558,T558)-2,LEN(O560)+2),MID(T558,SEARCH(H558,T558)-3,LEN(H558)+3)),U558&amp;"."&amp;H558),T558))</f>
        <v/>
      </c>
      <c r="AE558" t="str">
        <f t="shared" si="83"/>
        <v>[Proportion of basic salary charged against general income]</v>
      </c>
    </row>
    <row r="559" spans="1:31" ht="16" x14ac:dyDescent="0.2">
      <c r="A559">
        <v>100445</v>
      </c>
      <c r="B559" s="11" t="str">
        <f>DataItems3[[#This Row],[Field]]&amp;IF(DataItems3[[#This Row],[Options for supplying the Field]]="",""," "&amp;DataItems3[[#This Row],[Options for supplying the Field]])</f>
        <v>Proportioned franchised</v>
      </c>
      <c r="C559">
        <v>100445</v>
      </c>
      <c r="D559" s="3" t="s">
        <v>86</v>
      </c>
      <c r="E559" s="3" t="s">
        <v>89</v>
      </c>
      <c r="F559" s="3" t="s">
        <v>2006</v>
      </c>
      <c r="G559" s="13"/>
      <c r="H559" s="14" t="s">
        <v>1069</v>
      </c>
      <c r="J559" s="3">
        <v>2</v>
      </c>
      <c r="K559" s="3">
        <v>3</v>
      </c>
      <c r="L559" s="3">
        <v>1</v>
      </c>
      <c r="M559" s="3">
        <v>0</v>
      </c>
      <c r="N559" s="3" t="s">
        <v>89</v>
      </c>
      <c r="Q559" s="16" t="s">
        <v>2007</v>
      </c>
      <c r="R559" s="14" t="s">
        <v>3000</v>
      </c>
      <c r="S559" s="16" t="s">
        <v>2007</v>
      </c>
      <c r="T559" s="14" t="s">
        <v>3000</v>
      </c>
      <c r="U559" s="3" t="s">
        <v>92</v>
      </c>
      <c r="V559" s="3">
        <v>1</v>
      </c>
      <c r="W559" s="57" t="s">
        <v>764</v>
      </c>
      <c r="X559" t="str">
        <f>DataItems3[[#This Row],[Collection]]&amp;DataItems3[[#This Row],[Field]]&amp;DataItems3[[#This Row],[Options for supplying the Field]]&amp;DataItems3[[#This Row],[Fieldname]]&amp;DataItems3[[#This Row],[Parent]]</f>
        <v>StudentProportioned franchisedF_ZPROPFRAN</v>
      </c>
      <c r="Y559" s="15">
        <v>42921</v>
      </c>
      <c r="Z559" t="s">
        <v>139</v>
      </c>
      <c r="AA559" s="28" t="str">
        <f t="shared" si="86"/>
        <v>d.F_ZPROPFRAN</v>
      </c>
      <c r="AB559" s="28" t="str">
        <f>IF(S559="","",IF(IFERROR(SEARCH("select",S559)&gt;0,0),IF(U559="",IF(MID(S559,SEARCH(H559,S559)-4,1)=" ",MID(S559,SEARCH(H559,S559)-2,LEN(O565)+2),MID(S559,SEARCH(H559,S559)-3,LEN(H559)+3)),U559&amp;"."&amp;H559),S559))</f>
        <v>d.F_ZPROPFRAN</v>
      </c>
      <c r="AC559" s="28"/>
      <c r="AD559" s="28"/>
      <c r="AE559" t="str">
        <f t="shared" si="83"/>
        <v>[Proportioned franchised]</v>
      </c>
    </row>
    <row r="560" spans="1:31" ht="16" x14ac:dyDescent="0.2">
      <c r="A560">
        <v>100446</v>
      </c>
      <c r="B560" s="11" t="str">
        <f>DataItems3[[#This Row],[Field]]&amp;IF(DataItems3[[#This Row],[Options for supplying the Field]]="",""," "&amp;DataItems3[[#This Row],[Options for supplying the Field]])</f>
        <v>Provider contact [HEPCON]</v>
      </c>
      <c r="C560">
        <v>100446</v>
      </c>
      <c r="D560" s="3" t="s">
        <v>151</v>
      </c>
      <c r="F560" s="3" t="s">
        <v>2008</v>
      </c>
      <c r="G560" s="13" t="s">
        <v>2009</v>
      </c>
      <c r="H560" s="3" t="s">
        <v>2010</v>
      </c>
      <c r="J560" s="3">
        <v>1</v>
      </c>
      <c r="K560" s="3">
        <v>2</v>
      </c>
      <c r="L560" s="3">
        <v>0</v>
      </c>
      <c r="M560" s="3">
        <v>0</v>
      </c>
      <c r="P560" s="3" t="s">
        <v>155</v>
      </c>
      <c r="Q560" s="16" t="s">
        <v>2011</v>
      </c>
      <c r="R560" s="3" t="s">
        <v>93</v>
      </c>
      <c r="S560" s="16" t="s">
        <v>2012</v>
      </c>
      <c r="U560" s="3" t="s">
        <v>2013</v>
      </c>
      <c r="V560" s="3" t="s">
        <v>93</v>
      </c>
      <c r="W560" s="57" t="s">
        <v>2909</v>
      </c>
      <c r="X560" t="str">
        <f>DataItems3[[#This Row],[Collection]]&amp;DataItems3[[#This Row],[Field]]&amp;DataItems3[[#This Row],[Options for supplying the Field]]&amp;DataItems3[[#This Row],[Fieldname]]&amp;DataItems3[[#This Row],[Parent]]</f>
        <v>Graduate OutcomesProvider contact[HEPCON]HEPCONProvider &gt; Graduate:</v>
      </c>
      <c r="Y560" s="15">
        <v>43550</v>
      </c>
      <c r="Z560" t="s">
        <v>159</v>
      </c>
      <c r="AA560" s="28" t="str">
        <f t="shared" si="86"/>
        <v>CASE WHEN ISNULL(g.ZRESPSTATUS, '02')='02' OR ISNULL(g.XACTIVITY, '99')='99' THEN 'Not in GO publication population' else IIF(isnull(g.HEPCON,'')='','N/A',g.HEPCON) end</v>
      </c>
      <c r="AB560" s="28" t="str">
        <f>IF(S560="","",IF(IFERROR(SEARCH("select",S560)&gt;0,0),IF(U560="",IF(MID(S560,SEARCH(H560,S560)-4,1)=" ",MID(S560,SEARCH(H560,S560)-2,LEN(O566)+2),MID(S560,SEARCH(H560,S560)-3,LEN(H560)+3)),U560&amp;"."&amp;H560),S560))</f>
        <v>CASE WHEN ISNULL(g.ZRESPSTATUS, '02')='02' OR ISNULL(g.XACTIVITY, '99')='99' THEN 'Not in GO publication population' else IIF(isnull(g.HEPCON,'')='','N/A',HEPCON.label) end</v>
      </c>
      <c r="AC560" s="28" t="str">
        <f t="shared" ref="AC560:AC599" si="87">IF(R560="","",R560)</f>
        <v/>
      </c>
      <c r="AD560" s="28" t="str">
        <f t="shared" ref="AD560:AD599" si="88">IF(T560="","",IF(IFERROR(SEARCH("select",T560)&gt;0,0),IF(U560="",IF(MID(T560,SEARCH(H560,T560)-4,1)=" ",MID(T560,SEARCH(H560,T560)-2,LEN(O569)+2),MID(T560,SEARCH(H560,T560)-3,LEN(H560)+3)),U560&amp;"."&amp;H560),T560))</f>
        <v/>
      </c>
      <c r="AE560" t="str">
        <f t="shared" si="83"/>
        <v>[Provider contact]</v>
      </c>
    </row>
    <row r="561" spans="1:31" ht="16" x14ac:dyDescent="0.2">
      <c r="A561">
        <v>100452</v>
      </c>
      <c r="B561" s="11" t="str">
        <f>DataItems3[[#This Row],[Field]]&amp;IF(DataItems3[[#This Row],[Options for supplying the Field]]="",""," "&amp;DataItems3[[#This Row],[Options for supplying the Field]])</f>
        <v>Provider of further study</v>
      </c>
      <c r="C561">
        <v>100452</v>
      </c>
      <c r="D561" s="3" t="s">
        <v>146</v>
      </c>
      <c r="F561" s="3" t="s">
        <v>2014</v>
      </c>
      <c r="G561" s="13"/>
      <c r="H561" s="14" t="s">
        <v>93</v>
      </c>
      <c r="J561" s="3">
        <v>1</v>
      </c>
      <c r="K561" s="3">
        <v>3</v>
      </c>
      <c r="L561" s="3">
        <v>0</v>
      </c>
      <c r="M561" s="3">
        <v>0</v>
      </c>
      <c r="N561" s="3" t="s">
        <v>89</v>
      </c>
      <c r="Q561" s="16" t="s">
        <v>93</v>
      </c>
      <c r="R561" s="3" t="s">
        <v>93</v>
      </c>
      <c r="S561" s="16" t="s">
        <v>93</v>
      </c>
      <c r="U561" s="3" t="s">
        <v>93</v>
      </c>
      <c r="V561" s="3" t="s">
        <v>93</v>
      </c>
      <c r="W561" s="57" t="s">
        <v>2926</v>
      </c>
      <c r="X561" t="str">
        <f>DataItems3[[#This Row],[Collection]]&amp;DataItems3[[#This Row],[Field]]&amp;DataItems3[[#This Row],[Options for supplying the Field]]&amp;DataItems3[[#This Row],[Fieldname]]&amp;DataItems3[[#This Row],[Parent]]</f>
        <v>DLHEProvider of further study</v>
      </c>
      <c r="Y561" s="15">
        <v>43416</v>
      </c>
      <c r="Z561" t="s">
        <v>95</v>
      </c>
      <c r="AA561" s="28" t="str">
        <f t="shared" si="86"/>
        <v/>
      </c>
      <c r="AB561" s="28" t="str">
        <f>IF(S561="","",IF(IFERROR(SEARCH("select",S561)&gt;0,0),IF(U561="",IF(MID(S561,SEARCH(H561,S561)-4,1)=" ",MID(S561,SEARCH(H561,S561)-2,LEN(O567)+2),MID(S561,SEARCH(H561,S561)-3,LEN(H561)+3)),U561&amp;"."&amp;H561),S561))</f>
        <v/>
      </c>
      <c r="AC561" s="28" t="str">
        <f t="shared" si="87"/>
        <v/>
      </c>
      <c r="AD561" s="28" t="str">
        <f t="shared" si="88"/>
        <v/>
      </c>
      <c r="AE561" t="str">
        <f t="shared" si="83"/>
        <v>[Provider of further study]</v>
      </c>
    </row>
    <row r="562" spans="1:31" ht="16" x14ac:dyDescent="0.2">
      <c r="A562">
        <v>100453</v>
      </c>
      <c r="B562" s="11" t="str">
        <f>DataItems3[[#This Row],[Field]]&amp;IF(DataItems3[[#This Row],[Options for supplying the Field]]="",""," "&amp;DataItems3[[#This Row],[Options for supplying the Field]])</f>
        <v>Provider of further study (Country) [ZSTUCOUNTRY]</v>
      </c>
      <c r="C562">
        <v>100453</v>
      </c>
      <c r="D562" s="3" t="s">
        <v>151</v>
      </c>
      <c r="F562" s="3" t="s">
        <v>2015</v>
      </c>
      <c r="G562" s="13" t="s">
        <v>2016</v>
      </c>
      <c r="H562" s="3" t="s">
        <v>2017</v>
      </c>
      <c r="J562" s="3">
        <v>1</v>
      </c>
      <c r="K562" s="3">
        <v>2</v>
      </c>
      <c r="L562" s="3">
        <v>2</v>
      </c>
      <c r="M562" s="3">
        <v>0</v>
      </c>
      <c r="P562" s="3" t="s">
        <v>502</v>
      </c>
      <c r="Q562" s="16" t="s">
        <v>2018</v>
      </c>
      <c r="R562" s="3" t="s">
        <v>93</v>
      </c>
      <c r="S562" s="16" t="s">
        <v>2019</v>
      </c>
      <c r="U562" s="3" t="s">
        <v>2020</v>
      </c>
      <c r="V562" s="3" t="s">
        <v>93</v>
      </c>
      <c r="W562" s="57" t="s">
        <v>2909</v>
      </c>
      <c r="X562" t="str">
        <f>DataItems3[[#This Row],[Collection]]&amp;DataItems3[[#This Row],[Field]]&amp;DataItems3[[#This Row],[Options for supplying the Field]]&amp;DataItems3[[#This Row],[Fieldname]]&amp;DataItems3[[#This Row],[Parent]]</f>
        <v>Graduate OutcomesProvider of further study (Country)[ZSTUCOUNTRY]ZSTUCOUNTRYProvider &gt; Processing Field</v>
      </c>
      <c r="Y562" s="15">
        <v>43550</v>
      </c>
      <c r="Z562" t="s">
        <v>159</v>
      </c>
      <c r="AA562" s="28" t="str">
        <f t="shared" si="86"/>
        <v>CASE WHEN ISNULL(g.ZRESPSTATUS, '02')='02' OR ISNULL(g.XACTIVITY, '99')='99' THEN 'Not in GO publication population' else isnull(g.ZSTUCOUNTRY,'NOTK') end</v>
      </c>
      <c r="AB562" s="28" t="str">
        <f>IF(S562="","",IF(IFERROR(SEARCH("select",S562)&gt;0,0),IF(U562="",IF(MID(S562,SEARCH(H562,S562)-4,1)=" ",MID(S562,SEARCH(H562,S562)-2,LEN(O568)+2),MID(S562,SEARCH(H562,S562)-3,LEN(H562)+3)),U562&amp;"."&amp;H562),S562))</f>
        <v>CASE WHEN ISNULL(g.ZRESPSTATUS, '02')='02' OR ISNULL(g.XACTIVITY, '99')='99' THEN 'Not in GO publication population' else isnull(ZSTUCOUNTRY.label,'Not known') end</v>
      </c>
      <c r="AC562" s="28" t="str">
        <f t="shared" si="87"/>
        <v/>
      </c>
      <c r="AD562" s="28" t="str">
        <f t="shared" si="88"/>
        <v/>
      </c>
      <c r="AE562" t="str">
        <f t="shared" si="83"/>
        <v>[Provider of further study (Country)]</v>
      </c>
    </row>
    <row r="563" spans="1:31" ht="48" x14ac:dyDescent="0.2">
      <c r="A563">
        <v>100454</v>
      </c>
      <c r="B563" s="11" t="str">
        <f>DataItems3[[#This Row],[Field]]&amp;IF(DataItems3[[#This Row],[Options for supplying the Field]]="",""," "&amp;DataItems3[[#This Row],[Options for supplying the Field]])</f>
        <v>Provider of further study (UKPRN) [ZSTUPROV] - Not available 2020/21 onwards</v>
      </c>
      <c r="C563">
        <v>100454</v>
      </c>
      <c r="D563" s="3" t="s">
        <v>151</v>
      </c>
      <c r="F563" s="3" t="s">
        <v>2021</v>
      </c>
      <c r="G563" s="13" t="s">
        <v>3151</v>
      </c>
      <c r="H563" s="3" t="s">
        <v>2022</v>
      </c>
      <c r="J563" s="3">
        <v>1</v>
      </c>
      <c r="K563" s="3">
        <v>3</v>
      </c>
      <c r="L563" s="3">
        <v>4</v>
      </c>
      <c r="M563" s="3">
        <v>0</v>
      </c>
      <c r="P563" s="3" t="s">
        <v>502</v>
      </c>
      <c r="Q563" s="16" t="s">
        <v>3152</v>
      </c>
      <c r="R563" s="3" t="s">
        <v>93</v>
      </c>
      <c r="S563" s="16" t="s">
        <v>3153</v>
      </c>
      <c r="U563" s="3" t="s">
        <v>2023</v>
      </c>
      <c r="V563" s="3" t="s">
        <v>93</v>
      </c>
      <c r="W563" s="57" t="s">
        <v>2909</v>
      </c>
      <c r="X563" t="str">
        <f>DataItems3[[#This Row],[Collection]]&amp;DataItems3[[#This Row],[Field]]&amp;DataItems3[[#This Row],[Options for supplying the Field]]&amp;DataItems3[[#This Row],[Fieldname]]&amp;DataItems3[[#This Row],[Parent]]</f>
        <v>Graduate OutcomesProvider of further study (UKPRN)[ZSTUPROV] - Not available 2020/21 onwardsZSTUPROVProvider &gt; Processing Field</v>
      </c>
      <c r="Y563" s="15">
        <v>43550</v>
      </c>
      <c r="Z563" t="s">
        <v>159</v>
      </c>
      <c r="AA563" s="28" t="str">
        <f t="shared" si="86"/>
        <v>CASE WHEN s.Dw_FromDate &gt;= 20200801 then 'Not applicable (2020/21 onwards)' WHEN ISNULL(g.ZRESPSTATUS, '02')='02' OR ISNULL(g.XACTIVITY, '99')='99' THEN 'Not in GO publication population' else ISNULL(g.ZSTUPROV,'XXXX') end</v>
      </c>
      <c r="AB563" s="28" t="str">
        <f>IF(S563="","",IF(IFERROR(SEARCH("select",S563)&gt;0,0),IF(U563="",IF(MID(S563,SEARCH(H563,S563)-4,1)=" ",MID(S563,SEARCH(H563,S563)-2,LEN(O569)+2),MID(S563,SEARCH(H563,S563)-3,LEN(H563)+3)),U563&amp;"."&amp;H563),S563))</f>
        <v>CASE WHEN s.Dw_FromDate &gt;= 20200801 then 'Not applicable (2020/21 onwards)' WHEN ISNULL(g.ZRESPSTATUS, '02')='02' OR ISNULL(g.XACTIVITY, '99')='99' THEN 'Not in GO publication population' else ISNULL(ZSTUPROV.label,'Not known / Not applicable') end</v>
      </c>
      <c r="AC563" s="28" t="str">
        <f t="shared" si="87"/>
        <v/>
      </c>
      <c r="AD563" s="28" t="str">
        <f t="shared" si="88"/>
        <v/>
      </c>
      <c r="AE563" t="str">
        <f t="shared" si="83"/>
        <v>[Provider of further study (UKPRN)]</v>
      </c>
    </row>
    <row r="564" spans="1:31" ht="32" x14ac:dyDescent="0.2">
      <c r="A564">
        <v>100448</v>
      </c>
      <c r="B564" s="11" t="str">
        <f>DataItems3[[#This Row],[Field]]&amp;IF(DataItems3[[#This Row],[Options for supplying the Field]]="",""," "&amp;DataItems3[[#This Row],[Options for supplying the Field]])</f>
        <v>Provider of further study⁽¹⁾ (Lower super output area (LSOA))</v>
      </c>
      <c r="C564">
        <v>100448</v>
      </c>
      <c r="D564" s="3" t="s">
        <v>146</v>
      </c>
      <c r="F564" s="3" t="str">
        <f>"Provider of further study"&amp;"⁽"&amp;CHAR(185)&amp;"⁾"</f>
        <v>Provider of further study⁽¹⁾</v>
      </c>
      <c r="G564" s="13" t="s">
        <v>1157</v>
      </c>
      <c r="H564" s="14"/>
      <c r="J564" s="3">
        <v>5</v>
      </c>
      <c r="K564" s="3">
        <v>1</v>
      </c>
      <c r="L564" s="3">
        <v>0</v>
      </c>
      <c r="M564" s="3">
        <v>0</v>
      </c>
      <c r="N564" s="3" t="s">
        <v>89</v>
      </c>
      <c r="Q564" s="16" t="s">
        <v>93</v>
      </c>
      <c r="R564" s="3" t="s">
        <v>91</v>
      </c>
      <c r="S564" s="16" t="s">
        <v>93</v>
      </c>
      <c r="U564" s="3" t="s">
        <v>93</v>
      </c>
      <c r="V564" s="3" t="s">
        <v>93</v>
      </c>
      <c r="W564" s="57" t="s">
        <v>2926</v>
      </c>
      <c r="X564" t="str">
        <f>DataItems3[[#This Row],[Collection]]&amp;DataItems3[[#This Row],[Field]]&amp;DataItems3[[#This Row],[Options for supplying the Field]]&amp;DataItems3[[#This Row],[Fieldname]]&amp;DataItems3[[#This Row],[Parent]]</f>
        <v>DLHEProvider of further study⁽¹⁾(Lower super output area (LSOA))</v>
      </c>
      <c r="Y564" s="15">
        <v>43909</v>
      </c>
      <c r="Z564" t="s">
        <v>159</v>
      </c>
      <c r="AA564" s="28" t="str">
        <f t="shared" si="86"/>
        <v/>
      </c>
      <c r="AB564" s="28" t="str">
        <f>IF(S564="","",IF(IFERROR(SEARCH("select",S564)&gt;0,0),IF(U564="",IF(MID(S564,SEARCH(H564,S564)-4,1)=" ",MID(S564,SEARCH(H564,S564)-2,LEN(O574)+2),MID(S564,SEARCH(H564,S564)-3,LEN(H564)+3)),U564&amp;"."&amp;H564),S564))</f>
        <v/>
      </c>
      <c r="AC564" s="28" t="str">
        <f t="shared" si="87"/>
        <v xml:space="preserve"> </v>
      </c>
      <c r="AD564" s="28" t="str">
        <f t="shared" si="88"/>
        <v/>
      </c>
      <c r="AE564" t="str">
        <f t="shared" si="83"/>
        <v>[Provider of further study]</v>
      </c>
    </row>
    <row r="565" spans="1:31" ht="32" x14ac:dyDescent="0.2">
      <c r="A565">
        <v>100455</v>
      </c>
      <c r="B565" s="11" t="str">
        <f>DataItems3[[#This Row],[Field]]&amp;IF(DataItems3[[#This Row],[Options for supplying the Field]]="",""," "&amp;DataItems3[[#This Row],[Options for supplying the Field]])</f>
        <v>Provider score [PROVSCORE] -opt in question</v>
      </c>
      <c r="C565">
        <v>100455</v>
      </c>
      <c r="D565" s="3" t="s">
        <v>151</v>
      </c>
      <c r="F565" s="3" t="s">
        <v>2024</v>
      </c>
      <c r="G565" s="13" t="s">
        <v>2025</v>
      </c>
      <c r="I565" s="3" t="s">
        <v>3154</v>
      </c>
      <c r="J565" s="3">
        <v>1</v>
      </c>
      <c r="K565" s="3">
        <v>2</v>
      </c>
      <c r="L565" s="3">
        <v>0</v>
      </c>
      <c r="M565" s="3">
        <v>0</v>
      </c>
      <c r="P565" s="3" t="s">
        <v>448</v>
      </c>
      <c r="R565" s="3" t="s">
        <v>93</v>
      </c>
      <c r="V565" s="3" t="s">
        <v>93</v>
      </c>
      <c r="W565" s="57" t="s">
        <v>2926</v>
      </c>
      <c r="X565" t="str">
        <f>DataItems3[[#This Row],[Collection]]&amp;DataItems3[[#This Row],[Field]]&amp;DataItems3[[#This Row],[Options for supplying the Field]]&amp;DataItems3[[#This Row],[Fieldname]]&amp;DataItems3[[#This Row],[Parent]]</f>
        <v>Graduate OutcomesProvider score[PROVSCORE] -opt in questionProvider &gt; Graduate &gt; Opt in questions:</v>
      </c>
      <c r="Y565" s="15">
        <v>43550</v>
      </c>
      <c r="Z565" t="s">
        <v>159</v>
      </c>
      <c r="AA565" s="28" t="str">
        <f t="shared" si="86"/>
        <v/>
      </c>
      <c r="AB565" s="28" t="str">
        <f>IF(S565="","",IF(IFERROR(SEARCH("select",S565)&gt;0,0),IF(U565="",IF(MID(S565,SEARCH(H565,S565)-4,1)=" ",MID(S565,SEARCH(H565,S565)-2,LEN(O575)+2),MID(S565,SEARCH(H565,S565)-3,LEN(H565)+3)),U565&amp;"."&amp;H565),S565))</f>
        <v/>
      </c>
      <c r="AC565" s="28" t="str">
        <f t="shared" si="87"/>
        <v/>
      </c>
      <c r="AD565" s="28" t="str">
        <f t="shared" si="88"/>
        <v/>
      </c>
      <c r="AE565" t="str">
        <f t="shared" si="83"/>
        <v>[Provider score]</v>
      </c>
    </row>
    <row r="566" spans="1:31" ht="16" x14ac:dyDescent="0.2">
      <c r="A566">
        <v>100456</v>
      </c>
      <c r="B566" s="11" t="str">
        <f>DataItems3[[#This Row],[Field]]&amp;IF(DataItems3[[#This Row],[Options for supplying the Field]]="",""," "&amp;DataItems3[[#This Row],[Options for supplying the Field]])</f>
        <v>Provider's own identifier for student (OWNSTU)</v>
      </c>
      <c r="C566">
        <v>100456</v>
      </c>
      <c r="D566" s="3" t="s">
        <v>86</v>
      </c>
      <c r="F566" s="3" t="s">
        <v>2026</v>
      </c>
      <c r="G566" s="13" t="s">
        <v>2027</v>
      </c>
      <c r="H566" s="14" t="s">
        <v>2028</v>
      </c>
      <c r="J566" s="3">
        <v>2</v>
      </c>
      <c r="K566" s="17">
        <v>1</v>
      </c>
      <c r="L566" s="3">
        <v>8</v>
      </c>
      <c r="M566" s="3">
        <v>0</v>
      </c>
      <c r="N566" s="3" t="s">
        <v>89</v>
      </c>
      <c r="P566" s="17"/>
      <c r="Q566" s="16" t="s">
        <v>2029</v>
      </c>
      <c r="R566" s="3" t="s">
        <v>91</v>
      </c>
      <c r="S566" s="16" t="s">
        <v>2029</v>
      </c>
      <c r="U566" s="3" t="s">
        <v>93</v>
      </c>
      <c r="V566" s="3" t="s">
        <v>93</v>
      </c>
      <c r="W566" s="57" t="s">
        <v>134</v>
      </c>
      <c r="X566" t="str">
        <f>DataItems3[[#This Row],[Collection]]&amp;DataItems3[[#This Row],[Field]]&amp;DataItems3[[#This Row],[Options for supplying the Field]]&amp;DataItems3[[#This Row],[Fieldname]]&amp;DataItems3[[#This Row],[Parent]]</f>
        <v>StudentProvider's own identifier for student(OWNSTU)F_OWNSTU</v>
      </c>
      <c r="Y566" s="15">
        <v>43441</v>
      </c>
      <c r="Z566" t="s">
        <v>588</v>
      </c>
      <c r="AA566" s="28" t="str">
        <f t="shared" si="86"/>
        <v>s.F_OWNSTU</v>
      </c>
      <c r="AB566" s="28" t="str">
        <f>IF(S566="","",IF(IFERROR(SEARCH("select",S566)&gt;0,0),IF(U566="",IF(MID(S566,SEARCH(H566,S566)-4,1)=" ",MID(S566,SEARCH(H566,S566)-2,LEN(O576)+2),MID(S566,SEARCH(H566,S566)-3,LEN(H566)+3)),U566&amp;"."&amp;H566),S566))</f>
        <v>s.F_OWNSTU</v>
      </c>
      <c r="AC566" s="28" t="str">
        <f t="shared" si="87"/>
        <v xml:space="preserve"> </v>
      </c>
      <c r="AD566" s="28" t="str">
        <f t="shared" si="88"/>
        <v/>
      </c>
      <c r="AE566" t="str">
        <f t="shared" si="83"/>
        <v>[Provider's own identifier for student]</v>
      </c>
    </row>
    <row r="567" spans="1:31" ht="16" x14ac:dyDescent="0.2">
      <c r="A567">
        <v>100678</v>
      </c>
      <c r="B567" s="11" t="s">
        <v>2030</v>
      </c>
      <c r="C567">
        <v>100678</v>
      </c>
      <c r="D567" s="3" t="s">
        <v>86</v>
      </c>
      <c r="E567" s="11"/>
      <c r="F567" s="11" t="s">
        <v>2030</v>
      </c>
      <c r="G567" s="13"/>
      <c r="H567" s="3" t="s">
        <v>2031</v>
      </c>
      <c r="J567" s="3">
        <v>3</v>
      </c>
      <c r="K567" s="3">
        <v>3</v>
      </c>
      <c r="L567" s="3">
        <v>0</v>
      </c>
      <c r="M567" s="3">
        <v>0</v>
      </c>
      <c r="N567" s="3" t="s">
        <v>89</v>
      </c>
      <c r="Q567" s="16" t="s">
        <v>2032</v>
      </c>
      <c r="S567" s="16" t="s">
        <v>2033</v>
      </c>
      <c r="U567" s="3" t="s">
        <v>2034</v>
      </c>
      <c r="V567" s="3">
        <v>1</v>
      </c>
      <c r="W567" s="57" t="s">
        <v>134</v>
      </c>
      <c r="X567" t="str">
        <f>DataItems3[[#This Row],[Collection]]&amp;DataItems3[[#This Row],[Field]]&amp;DataItems3[[#This Row],[Options for supplying the Field]]&amp;DataItems3[[#This Row],[Fieldname]]&amp;DataItems3[[#This Row],[Parent]]</f>
        <v>StudentQualification gradeF_QUALGRADE</v>
      </c>
      <c r="Y567" s="4">
        <v>44161</v>
      </c>
      <c r="Z567" t="s">
        <v>99</v>
      </c>
      <c r="AA567" s="28" t="str">
        <f t="shared" si="86"/>
        <v>IIF(t.F_QUALGRADE IN ('','-1'),'Unknown',ISNULL(t.F_QUALGRADE,'Unknown'))</v>
      </c>
      <c r="AB567" s="28" t="str">
        <f>IF(S567="","",IF(IFERROR(SEARCH("select",S567)&gt;0,0),IF(U567="",IF(MID(S567,SEARCH(H567,S567)-4,1)=" ",MID(S567,SEARCH(H567,S567)-2,LEN(O577)+2),MID(S567,SEARCH(H567,S567)-3,LEN(H567)+3)),U567&amp;"."&amp;H567),S567))</f>
        <v>IIF(t.F_QUALGRADE IN ('','-1') ,'Unknown',ISNULL(t.F_QUALGRADE,'Unknown'))</v>
      </c>
      <c r="AC567" s="28" t="str">
        <f t="shared" si="87"/>
        <v/>
      </c>
      <c r="AD567" s="28" t="str">
        <f t="shared" si="88"/>
        <v/>
      </c>
      <c r="AE567" t="str">
        <f t="shared" si="83"/>
        <v>[Qualification grade]</v>
      </c>
    </row>
    <row r="568" spans="1:31" ht="16" x14ac:dyDescent="0.2">
      <c r="A568">
        <v>100794</v>
      </c>
      <c r="B568" s="11" t="str">
        <f>DataItems3[[#This Row],[Field]]&amp;IF(DataItems3[[#This Row],[Options for supplying the Field]]="",""," "&amp;DataItems3[[#This Row],[Options for supplying the Field]])</f>
        <v>Qualification identifier</v>
      </c>
      <c r="C568">
        <v>100794</v>
      </c>
      <c r="D568" s="3" t="s">
        <v>86</v>
      </c>
      <c r="F568" s="3" t="s">
        <v>2035</v>
      </c>
      <c r="G568" s="13"/>
      <c r="H568" t="s">
        <v>2036</v>
      </c>
      <c r="J568" s="3">
        <v>1</v>
      </c>
      <c r="K568" s="3">
        <v>1</v>
      </c>
      <c r="L568" s="3">
        <v>2</v>
      </c>
      <c r="M568" s="3">
        <v>0</v>
      </c>
      <c r="Q568" s="16" t="s">
        <v>2037</v>
      </c>
      <c r="S568" s="16" t="s">
        <v>2037</v>
      </c>
      <c r="U568" s="3" t="s">
        <v>2034</v>
      </c>
      <c r="W568" s="57" t="s">
        <v>1779</v>
      </c>
      <c r="X568" t="str">
        <f>DataItems3[[#This Row],[Collection]]&amp;DataItems3[[#This Row],[Field]]&amp;DataItems3[[#This Row],[Options for supplying the Field]]&amp;DataItems3[[#This Row],[Fieldname]]&amp;DataItems3[[#This Row],[Parent]]</f>
        <v>StudentQualification identifierF_QUALIFICATIONSONENTRYKEY</v>
      </c>
      <c r="Y568" s="4">
        <v>44284</v>
      </c>
      <c r="Z568" t="s">
        <v>135</v>
      </c>
      <c r="AA568" s="28" t="str">
        <f t="shared" si="86"/>
        <v>t.F_QUALIFICATIONSONENTRYKEY</v>
      </c>
      <c r="AB568" s="28" t="str">
        <f>IF(S568="","",IF(IFERROR(SEARCH("select",S568)&gt;0,0),IF(U568="",IF(MID(S568,SEARCH(H568,S568)-4,1)=" ",MID(S568,SEARCH(H568,S568)-2,LEN(O578)+2),MID(S568,SEARCH(H568,S568)-3,LEN(H568)+3)),U568&amp;"."&amp;H568),S568))</f>
        <v>t.F_QUALIFICATIONSONENTRYKEY</v>
      </c>
      <c r="AC568" s="28" t="str">
        <f t="shared" si="87"/>
        <v/>
      </c>
      <c r="AD568" s="28" t="str">
        <f t="shared" si="88"/>
        <v/>
      </c>
      <c r="AE568" t="str">
        <f t="shared" si="83"/>
        <v>[Qualification identifier]</v>
      </c>
    </row>
    <row r="569" spans="1:31" ht="16" x14ac:dyDescent="0.2">
      <c r="A569">
        <v>100457</v>
      </c>
      <c r="B569" s="11" t="str">
        <f>DataItems3[[#This Row],[Field]]&amp;IF(DataItems3[[#This Row],[Options for supplying the Field]]="",""," "&amp;DataItems3[[#This Row],[Options for supplying the Field]])</f>
        <v>Qualification Obtained (Full)</v>
      </c>
      <c r="C569">
        <v>100457</v>
      </c>
      <c r="D569" s="3" t="s">
        <v>86</v>
      </c>
      <c r="E569" s="3" t="s">
        <v>106</v>
      </c>
      <c r="F569" s="3" t="s">
        <v>2038</v>
      </c>
      <c r="G569" s="13" t="s">
        <v>277</v>
      </c>
      <c r="H569" s="14" t="s">
        <v>1372</v>
      </c>
      <c r="J569" s="3">
        <v>1</v>
      </c>
      <c r="K569" s="17">
        <v>3</v>
      </c>
      <c r="L569" s="3">
        <v>0</v>
      </c>
      <c r="M569" s="3">
        <v>0</v>
      </c>
      <c r="N569" s="3" t="s">
        <v>89</v>
      </c>
      <c r="P569" s="3" t="s">
        <v>280</v>
      </c>
      <c r="Q569" s="16" t="s">
        <v>2039</v>
      </c>
      <c r="R569" s="16" t="s">
        <v>2039</v>
      </c>
      <c r="S569" s="16" t="s">
        <v>3155</v>
      </c>
      <c r="T569" s="16" t="s">
        <v>2040</v>
      </c>
      <c r="U569" s="3" t="s">
        <v>93</v>
      </c>
      <c r="V569" s="3" t="s">
        <v>93</v>
      </c>
      <c r="W569" s="57" t="s">
        <v>145</v>
      </c>
      <c r="X569" t="str">
        <f>DataItems3[[#This Row],[Collection]]&amp;DataItems3[[#This Row],[Field]]&amp;DataItems3[[#This Row],[Options for supplying the Field]]&amp;DataItems3[[#This Row],[Fieldname]]&amp;DataItems3[[#This Row],[Parent]]</f>
        <v>StudentQualification Obtained(Full)F_XQOBTN01Qualifiers</v>
      </c>
      <c r="Y569" s="15">
        <v>43416</v>
      </c>
      <c r="Z569" t="s">
        <v>95</v>
      </c>
      <c r="AA569" s="28" t="str">
        <f t="shared" si="86"/>
        <v>CASE WHEN s.F_XQOBTN01 IN ('', ' ','_') THEN '___' ELSE s.F_XQOBTN01 end</v>
      </c>
      <c r="AB569" s="28" t="str">
        <f>IF(S569="","",IF(IFERROR(SEARCH("select",S569)&gt;0,0),IF(U569="",IF(MID(S569,SEARCH(H569,S569)-4,1)=" ",MID(S569,SEARCH(H569,S569)-2,LEN(#REF!)+2),MID(S569,SEARCH(H569,S569)-3,LEN(H569)+3)),U569&amp;"."&amp;H569),S569))</f>
        <v xml:space="preserve"> s.F_XQOBTN01</v>
      </c>
      <c r="AC569" s="28" t="str">
        <f t="shared" si="87"/>
        <v>CASE WHEN s.F_XQOBTN01 IN ('', ' ','_') THEN '___' ELSE s.F_XQOBTN01 end</v>
      </c>
      <c r="AD569" s="28" t="str">
        <f t="shared" si="88"/>
        <v xml:space="preserve"> s.F_XQOBTN01</v>
      </c>
      <c r="AE569" t="str">
        <f t="shared" si="83"/>
        <v>[Qualification Obtained]</v>
      </c>
    </row>
    <row r="570" spans="1:31" ht="16" x14ac:dyDescent="0.2">
      <c r="A570">
        <v>100628</v>
      </c>
      <c r="B570" s="19" t="str">
        <f>DataItems3[[#This Row],[Field]]&amp;IF(DataItems3[[#This Row],[Options for supplying the Field]]="",""," "&amp;DataItems3[[#This Row],[Options for supplying the Field]])</f>
        <v>Qualification required [XWRKQUALREQ]</v>
      </c>
      <c r="C570">
        <v>100628</v>
      </c>
      <c r="D570" s="3" t="s">
        <v>151</v>
      </c>
      <c r="F570" s="3" t="s">
        <v>2041</v>
      </c>
      <c r="G570" s="13" t="str">
        <f>"["&amp;H570&amp;"]"</f>
        <v>[XWRKQUALREQ]</v>
      </c>
      <c r="H570" s="3" t="s">
        <v>2042</v>
      </c>
      <c r="J570" s="3">
        <v>1</v>
      </c>
      <c r="K570" s="3">
        <v>3</v>
      </c>
      <c r="L570" s="3">
        <v>0</v>
      </c>
      <c r="M570" s="3">
        <v>0</v>
      </c>
      <c r="P570" s="3" t="s">
        <v>952</v>
      </c>
      <c r="Q570" s="16" t="s">
        <v>2043</v>
      </c>
      <c r="R570" s="3" t="s">
        <v>93</v>
      </c>
      <c r="S570" s="16" t="s">
        <v>2044</v>
      </c>
      <c r="U570" s="3" t="s">
        <v>2042</v>
      </c>
      <c r="V570" s="3" t="s">
        <v>93</v>
      </c>
      <c r="W570" s="57" t="s">
        <v>2909</v>
      </c>
      <c r="X570" t="str">
        <f>DataItems3[[#This Row],[Collection]]&amp;DataItems3[[#This Row],[Field]]&amp;DataItems3[[#This Row],[Options for supplying the Field]]&amp;DataItems3[[#This Row],[Fieldname]]&amp;DataItems3[[#This Row],[Parent]]</f>
        <v>Graduate OutcomesQualification required[XWRKQUALREQ]XWRKQUALREQProvider &gt; Official Stats Derived Field &gt; Work</v>
      </c>
      <c r="Y570" s="15">
        <v>44008</v>
      </c>
      <c r="Z570" t="s">
        <v>159</v>
      </c>
      <c r="AA570" s="28" t="str">
        <f t="shared" si="86"/>
        <v>CASE WHEN ISNULL(g.ZRESPSTATUS, '02')='02' OR ISNULL(g.XACTIVITY, '99')='99' THEN 'Not in GO publication population' else isnull(g.XWRKQUALREQ,'NA/UNK') end</v>
      </c>
      <c r="AB570" s="28" t="str">
        <f>IF(S570="","",IF(IFERROR(SEARCH("select",S570)&gt;0,0),IF(U570="",IF(MID(S570,SEARCH(H570,S570)-4,1)=" ",MID(S570,SEARCH(H570,S570)-2,LEN(O579)+2),MID(S570,SEARCH(H570,S570)-3,LEN(H570)+3)),U570&amp;"."&amp;H570),S570))</f>
        <v>CASE WHEN ISNULL(g.ZRESPSTATUS, '02')='02' OR ISNULL(g.XACTIVITY, '99')='99' THEN 'Not in GO publication population' else isnull(XWRKQUALREQ.label,'NA/UNK') end</v>
      </c>
      <c r="AC570" s="28" t="str">
        <f t="shared" si="87"/>
        <v/>
      </c>
      <c r="AD570" s="28" t="str">
        <f t="shared" si="88"/>
        <v/>
      </c>
      <c r="AE570" t="str">
        <f t="shared" si="83"/>
        <v>[Qualification required]</v>
      </c>
    </row>
    <row r="571" spans="1:31" ht="16" x14ac:dyDescent="0.2">
      <c r="A571">
        <v>100458</v>
      </c>
      <c r="B571" s="11" t="str">
        <f>DataItems3[[#This Row],[Field]]&amp;IF(DataItems3[[#This Row],[Options for supplying the Field]]="",""," "&amp;DataItems3[[#This Row],[Options for supplying the Field]])</f>
        <v>Qualification required for job (2007/08-2010/11)</v>
      </c>
      <c r="C571">
        <v>100458</v>
      </c>
      <c r="D571" s="3" t="s">
        <v>146</v>
      </c>
      <c r="F571" s="3" t="s">
        <v>2045</v>
      </c>
      <c r="G571" s="13" t="s">
        <v>2046</v>
      </c>
      <c r="H571" s="14" t="s">
        <v>2047</v>
      </c>
      <c r="J571" s="3">
        <v>1</v>
      </c>
      <c r="K571" s="17">
        <v>3</v>
      </c>
      <c r="L571" s="3">
        <v>0</v>
      </c>
      <c r="M571" s="3">
        <v>0</v>
      </c>
      <c r="N571" s="3" t="s">
        <v>106</v>
      </c>
      <c r="P571" s="17"/>
      <c r="Q571" s="16" t="s">
        <v>3156</v>
      </c>
      <c r="R571" s="3" t="s">
        <v>93</v>
      </c>
      <c r="S571" s="16" t="s">
        <v>3156</v>
      </c>
      <c r="U571" s="3" t="s">
        <v>93</v>
      </c>
      <c r="V571" s="3" t="s">
        <v>93</v>
      </c>
      <c r="W571" s="57" t="s">
        <v>549</v>
      </c>
      <c r="X571" t="str">
        <f>DataItems3[[#This Row],[Collection]]&amp;DataItems3[[#This Row],[Field]]&amp;DataItems3[[#This Row],[Options for supplying the Field]]&amp;DataItems3[[#This Row],[Fieldname]]&amp;DataItems3[[#This Row],[Parent]]</f>
        <v>DLHEQualification required for job(2007/08-2010/11)F_QUALREQ</v>
      </c>
      <c r="Y571" s="15">
        <v>43416</v>
      </c>
      <c r="Z571" t="s">
        <v>95</v>
      </c>
      <c r="AA571" s="28" t="str">
        <f t="shared" si="86"/>
        <v>CASE WHEN s.DW_FromDate &gt;=20110801 THEN 'N/A year' WHEN s.F_XPDLHE02!='1' AND ISNULL(dh.F_XPDLHE,'0')!='1' AND ISNULL(dh.F_XACTIV01,'X')='X' THEN 'NDLHE'  WHEN ISNULL(dh.F_QUALREQ,'') IN ('','X') THEN 'UNK/NA' ELSE dh.F_QUALREQ END</v>
      </c>
      <c r="AB571" s="28" t="str">
        <f>IF(S571="","",IF(IFERROR(SEARCH("select",S571)&gt;0,0),IF(U571="",IF(MID(S571,SEARCH(H571,S571)-4,1)=" ",MID(S571,SEARCH(H571,S571)-2,LEN(O580)+2),MID(S571,SEARCH(H571,S571)-3,LEN(H571)+3)),U571&amp;"."&amp;H571),S571))</f>
        <v>CASE WHEN s.DW_FromDate &gt;=20110801 THEN 'N/A year' WHEN s.F_XPDLHE02!='1' AND ISNULL(dh.F_XPDLHE,'0')!='1' AND ISNULL(dh.F_XACTIV01,'X')='X' THEN 'NDLHE'  WHEN ISNULL(dh.F_QUALREQ,'') IN ('','X') THEN 'UNK/NA' ELSE dh.F_QUALREQ END</v>
      </c>
      <c r="AC571" s="28" t="str">
        <f t="shared" si="87"/>
        <v/>
      </c>
      <c r="AD571" s="28" t="str">
        <f t="shared" si="88"/>
        <v/>
      </c>
      <c r="AE571" t="str">
        <f t="shared" si="83"/>
        <v>[Qualification required for job]</v>
      </c>
    </row>
    <row r="572" spans="1:31" ht="16" x14ac:dyDescent="0.2">
      <c r="A572">
        <v>100886</v>
      </c>
      <c r="B572" s="11" t="str">
        <f>DataItems3[[#This Row],[Field]]&amp;IF(DataItems3[[#This Row],[Options for supplying the Field]]="",""," "&amp;DataItems3[[#This Row],[Options for supplying the Field]])</f>
        <v>Qualification required for the job (2011/12-2016/17)</v>
      </c>
      <c r="C572">
        <v>100886</v>
      </c>
      <c r="D572" s="3" t="s">
        <v>146</v>
      </c>
      <c r="F572" s="3" t="s">
        <v>2048</v>
      </c>
      <c r="G572" s="13" t="s">
        <v>2053</v>
      </c>
      <c r="H572" s="3" t="s">
        <v>2054</v>
      </c>
      <c r="J572" s="3">
        <v>1</v>
      </c>
      <c r="K572" s="3">
        <v>3</v>
      </c>
      <c r="L572" s="3">
        <v>0</v>
      </c>
      <c r="M572" s="3">
        <v>0</v>
      </c>
      <c r="N572" s="3" t="s">
        <v>106</v>
      </c>
      <c r="Q572" s="16" t="s">
        <v>3157</v>
      </c>
      <c r="S572" s="16" t="s">
        <v>3157</v>
      </c>
      <c r="W572" s="57" t="s">
        <v>549</v>
      </c>
      <c r="X572" t="str">
        <f>DataItems3[[#This Row],[Collection]]&amp;DataItems3[[#This Row],[Field]]&amp;DataItems3[[#This Row],[Options for supplying the Field]]&amp;DataItems3[[#This Row],[Fieldname]]&amp;DataItems3[[#This Row],[Parent]]</f>
        <v>DLHEQualification required for the job(2011/12-2016/17)F_QUALREQNEW</v>
      </c>
      <c r="Y572" s="4">
        <v>44840</v>
      </c>
      <c r="Z572" t="s">
        <v>2055</v>
      </c>
      <c r="AA572" s="28" t="str">
        <f t="shared" si="86"/>
        <v>CASE WHEN s.DW_FromDate &lt;20110801 THEN 'N/A year'  WHEN s.f_xpdlhe02 != '1'AND ISNULL(dh.f_xpubpopd01, '0') != '1' AND ISNULL(dh.f_xactiv02, 'XX') = 'XX' THEN 'NDLHE'  WHEN ISNULL(dh.F_QUALREQ,'') IN ('','X') THEN 'UNK/NA' ELSE dh.F_QUALREQ END</v>
      </c>
      <c r="AB572" s="28" t="str">
        <f>IF(S572="","",IF(IFERROR(SEARCH("select",S572)&gt;0,0),IF(U572="",IF(MID(S572,SEARCH(H572,S572)-4,1)=" ",MID(S572,SEARCH(H572,S572)-2,LEN(O580)+2),MID(S572,SEARCH(H572,S572)-3,LEN(H572)+3)),U572&amp;"."&amp;H572),S572))</f>
        <v>CASE WHEN s.DW_FromDate &lt;20110801 THEN 'N/A year'  WHEN s.f_xpdlhe02 != '1'AND ISNULL(dh.f_xpubpopd01, '0') != '1' AND ISNULL(dh.f_xactiv02, 'XX') = 'XX' THEN 'NDLHE'  WHEN ISNULL(dh.F_QUALREQ,'') IN ('','X') THEN 'UNK/NA' ELSE dh.F_QUALREQ END</v>
      </c>
      <c r="AC572" s="28" t="str">
        <f t="shared" si="87"/>
        <v/>
      </c>
      <c r="AD572" s="28" t="str">
        <f t="shared" si="88"/>
        <v/>
      </c>
      <c r="AE572" t="str">
        <f t="shared" si="83"/>
        <v>[Qualification required for the job]</v>
      </c>
    </row>
    <row r="573" spans="1:31" ht="16" x14ac:dyDescent="0.2">
      <c r="A573">
        <v>100459</v>
      </c>
      <c r="B573" s="11" t="str">
        <f>DataItems3[[#This Row],[Field]]&amp;IF(DataItems3[[#This Row],[Options for supplying the Field]]="",""," "&amp;DataItems3[[#This Row],[Options for supplying the Field]])</f>
        <v>Qualification required for the job [QUALREQ]</v>
      </c>
      <c r="C573">
        <v>100459</v>
      </c>
      <c r="D573" s="3" t="s">
        <v>151</v>
      </c>
      <c r="F573" s="3" t="s">
        <v>2048</v>
      </c>
      <c r="G573" s="13" t="s">
        <v>2049</v>
      </c>
      <c r="H573" s="3" t="s">
        <v>2050</v>
      </c>
      <c r="I573" s="3" t="s">
        <v>247</v>
      </c>
      <c r="J573" s="3">
        <v>2</v>
      </c>
      <c r="K573" s="3">
        <v>3</v>
      </c>
      <c r="L573" s="3">
        <v>0</v>
      </c>
      <c r="M573" s="3">
        <v>0</v>
      </c>
      <c r="P573" s="3" t="s">
        <v>874</v>
      </c>
      <c r="Q573" s="16" t="s">
        <v>2051</v>
      </c>
      <c r="R573" s="3" t="s">
        <v>93</v>
      </c>
      <c r="S573" s="16" t="s">
        <v>2052</v>
      </c>
      <c r="U573" s="3" t="s">
        <v>2050</v>
      </c>
      <c r="V573" s="3" t="s">
        <v>93</v>
      </c>
      <c r="W573" s="57" t="s">
        <v>2909</v>
      </c>
      <c r="X573" t="str">
        <f>DataItems3[[#This Row],[Collection]]&amp;DataItems3[[#This Row],[Field]]&amp;DataItems3[[#This Row],[Options for supplying the Field]]&amp;DataItems3[[#This Row],[Fieldname]]&amp;DataItems3[[#This Row],[Parent]]</f>
        <v>Graduate OutcomesQualification required for the job[QUALREQ]QUALREQProvider &gt; Graduate &gt; Employment:</v>
      </c>
      <c r="Y573" s="15">
        <v>43550</v>
      </c>
      <c r="Z573" t="s">
        <v>159</v>
      </c>
      <c r="AA573" s="28" t="str">
        <f t="shared" si="86"/>
        <v>CASE WHEN ISNULL(g.ZRESPSTATUS, '02')='02' OR ISNULL(g.XACTIVITY, '99')='99' THEN 'Not in GO publication population' else IIF(isnull(g.QUALREQ,'')='','N/A',g.QUALREQ) end</v>
      </c>
      <c r="AB573" s="28" t="str">
        <f>IF(S573="","",IF(IFERROR(SEARCH("select",S573)&gt;0,0),IF(U573="",IF(MID(S573,SEARCH(H573,S573)-4,1)=" ",MID(S573,SEARCH(H573,S573)-2,LEN(O582)+2),MID(S573,SEARCH(H573,S573)-3,LEN(H573)+3)),U573&amp;"."&amp;H573),S573))</f>
        <v>CASE WHEN ISNULL(g.ZRESPSTATUS, '02')='02' OR ISNULL(g.XACTIVITY, '99')='99' THEN 'Not in GO publication population' else IIF(isnull(g.QUALREQ,'')='','N/A',QUALREQ.label) end</v>
      </c>
      <c r="AC573" s="28" t="str">
        <f t="shared" si="87"/>
        <v/>
      </c>
      <c r="AD573" s="28" t="str">
        <f t="shared" si="88"/>
        <v/>
      </c>
      <c r="AE573" t="str">
        <f t="shared" si="83"/>
        <v>[Qualification required for the job]</v>
      </c>
    </row>
    <row r="574" spans="1:31" ht="16" x14ac:dyDescent="0.2">
      <c r="A574">
        <v>100679</v>
      </c>
      <c r="B574" s="11" t="s">
        <v>2056</v>
      </c>
      <c r="C574">
        <v>100679</v>
      </c>
      <c r="D574" s="3" t="s">
        <v>86</v>
      </c>
      <c r="E574" s="11"/>
      <c r="F574" s="11" t="s">
        <v>2056</v>
      </c>
      <c r="G574" s="13"/>
      <c r="H574" s="3" t="s">
        <v>2057</v>
      </c>
      <c r="J574" s="3">
        <v>3</v>
      </c>
      <c r="K574" s="3">
        <v>1</v>
      </c>
      <c r="L574" s="3">
        <v>0</v>
      </c>
      <c r="M574" s="3">
        <v>0</v>
      </c>
      <c r="Q574" s="16" t="s">
        <v>2058</v>
      </c>
      <c r="S574" s="16" t="s">
        <v>2058</v>
      </c>
      <c r="U574" s="3" t="s">
        <v>2034</v>
      </c>
      <c r="W574" s="57" t="s">
        <v>114</v>
      </c>
      <c r="X574" t="str">
        <f>DataItems3[[#This Row],[Collection]]&amp;DataItems3[[#This Row],[Field]]&amp;DataItems3[[#This Row],[Options for supplying the Field]]&amp;DataItems3[[#This Row],[Fieldname]]&amp;DataItems3[[#This Row],[Parent]]</f>
        <v>StudentQualification sittingF_QUALSIT</v>
      </c>
      <c r="Y574" s="4">
        <v>44161</v>
      </c>
      <c r="Z574" t="s">
        <v>99</v>
      </c>
      <c r="AA574" s="28" t="str">
        <f t="shared" si="86"/>
        <v>ISNULL(CAST(t.f_qualsit AS VARCHAR),'Unknown')</v>
      </c>
      <c r="AB574" s="28" t="str">
        <f>IF(S574="","",IF(IFERROR(SEARCH("select",S574)&gt;0,0),IF(U574="",IF(MID(S574,SEARCH(H574,S574)-4,1)=" ",MID(S574,SEARCH(H574,S574)-2,LEN(O582)+2),MID(S574,SEARCH(H574,S574)-3,LEN(H574)+3)),U574&amp;"."&amp;H574),S574))</f>
        <v>ISNULL(CAST(t.f_qualsit AS VARCHAR),'Unknown')</v>
      </c>
      <c r="AC574" s="28" t="str">
        <f t="shared" si="87"/>
        <v/>
      </c>
      <c r="AD574" s="28" t="str">
        <f t="shared" si="88"/>
        <v/>
      </c>
      <c r="AE574" t="str">
        <f t="shared" ref="AE574:AE637" si="89">IF(F574="","","["&amp;SUBSTITUTE(SUBSTITUTE(SUBSTITUTE(F574,"[","{"),"]","}"),"⁽"&amp;CHAR(185)&amp;"⁾","")&amp;"]")</f>
        <v>[Qualification sitting]</v>
      </c>
    </row>
    <row r="575" spans="1:31" ht="16" x14ac:dyDescent="0.2">
      <c r="A575">
        <v>100680</v>
      </c>
      <c r="B575" s="11" t="s">
        <v>2059</v>
      </c>
      <c r="C575">
        <v>100680</v>
      </c>
      <c r="D575" s="3" t="s">
        <v>86</v>
      </c>
      <c r="E575" s="11"/>
      <c r="F575" s="11" t="s">
        <v>2059</v>
      </c>
      <c r="G575" s="13"/>
      <c r="H575" s="3" t="s">
        <v>2060</v>
      </c>
      <c r="J575" s="3">
        <v>3</v>
      </c>
      <c r="K575" s="3">
        <v>5</v>
      </c>
      <c r="L575" s="3">
        <v>0</v>
      </c>
      <c r="M575" s="3">
        <v>0</v>
      </c>
      <c r="Q575" s="16" t="s">
        <v>2061</v>
      </c>
      <c r="S575" s="16" t="s">
        <v>2062</v>
      </c>
      <c r="U575" s="3" t="s">
        <v>2034</v>
      </c>
      <c r="W575" s="57" t="s">
        <v>145</v>
      </c>
      <c r="X575" t="str">
        <f>DataItems3[[#This Row],[Collection]]&amp;DataItems3[[#This Row],[Field]]&amp;DataItems3[[#This Row],[Options for supplying the Field]]&amp;DataItems3[[#This Row],[Fieldname]]&amp;DataItems3[[#This Row],[Parent]]</f>
        <v>StudentQualification subjectF_QUALSBJ</v>
      </c>
      <c r="Y575" s="4">
        <v>44161</v>
      </c>
      <c r="Z575" t="s">
        <v>99</v>
      </c>
      <c r="AA575" s="28" t="str">
        <f t="shared" si="86"/>
        <v>t.f_qualsbj</v>
      </c>
      <c r="AB575" s="28" t="str">
        <f>IF(S575="","",IF(IFERROR(SEARCH("select",S575)&gt;0,0),IF(U575="",IF(MID(S575,SEARCH(H575,S575)-4,1)=" ",MID(S575,SEARCH(H575,S575)-2,LEN(O583)+2),MID(S575,SEARCH(H575,S575)-3,LEN(H575)+3)),U575&amp;"."&amp;H575),S575))</f>
        <v>t.F_QUALSBJ</v>
      </c>
      <c r="AC575" s="28" t="str">
        <f t="shared" si="87"/>
        <v/>
      </c>
      <c r="AD575" s="28" t="str">
        <f t="shared" si="88"/>
        <v/>
      </c>
      <c r="AE575" t="str">
        <f t="shared" si="89"/>
        <v>[Qualification subject]</v>
      </c>
    </row>
    <row r="576" spans="1:31" ht="15" customHeight="1" x14ac:dyDescent="0.2">
      <c r="A576">
        <v>100681</v>
      </c>
      <c r="B576" s="11" t="s">
        <v>2063</v>
      </c>
      <c r="C576">
        <v>100681</v>
      </c>
      <c r="D576" s="3" t="s">
        <v>86</v>
      </c>
      <c r="E576" s="11"/>
      <c r="F576" s="11" t="s">
        <v>2063</v>
      </c>
      <c r="G576" s="13"/>
      <c r="H576" s="3" t="s">
        <v>2064</v>
      </c>
      <c r="J576" s="3">
        <v>3</v>
      </c>
      <c r="K576" s="3">
        <v>6</v>
      </c>
      <c r="L576" s="3">
        <v>0</v>
      </c>
      <c r="M576" s="3">
        <v>0</v>
      </c>
      <c r="Q576" s="16" t="s">
        <v>2065</v>
      </c>
      <c r="S576" s="16" t="s">
        <v>2066</v>
      </c>
      <c r="U576" s="3" t="s">
        <v>2034</v>
      </c>
      <c r="W576" s="57" t="s">
        <v>150</v>
      </c>
      <c r="X576" t="str">
        <f>DataItems3[[#This Row],[Collection]]&amp;DataItems3[[#This Row],[Field]]&amp;DataItems3[[#This Row],[Options for supplying the Field]]&amp;DataItems3[[#This Row],[Fieldname]]&amp;DataItems3[[#This Row],[Parent]]</f>
        <v>StudentQualification typeF_QUALTYPE</v>
      </c>
      <c r="Y576" s="4">
        <v>44161</v>
      </c>
      <c r="Z576" t="s">
        <v>99</v>
      </c>
      <c r="AA576" s="28" t="str">
        <f t="shared" si="86"/>
        <v>t.f_qualtype</v>
      </c>
      <c r="AB576" s="28" t="str">
        <f>IF(S576="","",IF(IFERROR(SEARCH("select",S576)&gt;0,0),IF(U576="",IF(MID(S576,SEARCH(H576,S576)-4,1)=" ",MID(S576,SEARCH(H576,S576)-2,LEN(O584)+2),MID(S576,SEARCH(H576,S576)-3,LEN(H576)+3)),U576&amp;"."&amp;H576),S576))</f>
        <v>t.F_QUALTYPE</v>
      </c>
      <c r="AC576" s="28" t="str">
        <f t="shared" si="87"/>
        <v/>
      </c>
      <c r="AD576" s="28" t="str">
        <f t="shared" si="88"/>
        <v/>
      </c>
      <c r="AE576" t="str">
        <f t="shared" si="89"/>
        <v>[Qualification type]</v>
      </c>
    </row>
    <row r="577" spans="1:31" ht="15" customHeight="1" x14ac:dyDescent="0.2">
      <c r="A577">
        <v>100682</v>
      </c>
      <c r="B577" s="11" t="s">
        <v>2067</v>
      </c>
      <c r="C577">
        <v>100682</v>
      </c>
      <c r="D577" s="3" t="s">
        <v>86</v>
      </c>
      <c r="E577" s="11"/>
      <c r="F577" s="11" t="s">
        <v>2067</v>
      </c>
      <c r="G577" s="13"/>
      <c r="H577" s="3" t="s">
        <v>2068</v>
      </c>
      <c r="J577" s="3">
        <v>3</v>
      </c>
      <c r="K577" s="3">
        <v>1</v>
      </c>
      <c r="L577" s="3">
        <v>0</v>
      </c>
      <c r="M577" s="3">
        <v>0</v>
      </c>
      <c r="Q577" s="16" t="s">
        <v>2069</v>
      </c>
      <c r="S577" s="16" t="s">
        <v>2069</v>
      </c>
      <c r="U577" s="3" t="s">
        <v>2034</v>
      </c>
      <c r="V577" s="3">
        <v>1</v>
      </c>
      <c r="W577" s="57" t="s">
        <v>114</v>
      </c>
      <c r="X577" t="str">
        <f>DataItems3[[#This Row],[Collection]]&amp;DataItems3[[#This Row],[Field]]&amp;DataItems3[[#This Row],[Options for supplying the Field]]&amp;DataItems3[[#This Row],[Fieldname]]&amp;DataItems3[[#This Row],[Parent]]</f>
        <v>StudentQualification yearF_QUALYEAR</v>
      </c>
      <c r="Y577" s="4">
        <v>44161</v>
      </c>
      <c r="Z577" t="s">
        <v>99</v>
      </c>
      <c r="AA577" s="28" t="str">
        <f t="shared" si="86"/>
        <v>ISNULL(CAST(t.F_QUALYEAR AS VARCHAR),'Unknown')</v>
      </c>
      <c r="AB577" s="28" t="str">
        <f>IF(S577="","",IF(IFERROR(SEARCH("select",S577)&gt;0,0),IF(U577="",IF(MID(S577,SEARCH(H577,S577)-4,1)=" ",MID(S577,SEARCH(H577,S577)-2,LEN(O585)+2),MID(S577,SEARCH(H577,S577)-3,LEN(H577)+3)),U577&amp;"."&amp;H577),S577))</f>
        <v>ISNULL(CAST(t.F_QUALYEAR AS VARCHAR),'Unknown')</v>
      </c>
      <c r="AC577" s="28" t="str">
        <f t="shared" si="87"/>
        <v/>
      </c>
      <c r="AD577" s="28" t="str">
        <f t="shared" si="88"/>
        <v/>
      </c>
      <c r="AE577" t="str">
        <f t="shared" si="89"/>
        <v>[Qualification year]</v>
      </c>
    </row>
    <row r="578" spans="1:31" ht="15" customHeight="1" x14ac:dyDescent="0.2">
      <c r="A578">
        <v>100460</v>
      </c>
      <c r="B578" s="11" t="str">
        <f>DataItems3[[#This Row],[Field]]&amp;IF(DataItems3[[#This Row],[Options for supplying the Field]]="",""," "&amp;DataItems3[[#This Row],[Options for supplying the Field]])</f>
        <v>Reason contract ended  - 2012/13 onwards</v>
      </c>
      <c r="C578">
        <v>100460</v>
      </c>
      <c r="D578" s="3" t="s">
        <v>100</v>
      </c>
      <c r="F578" s="3" t="s">
        <v>2070</v>
      </c>
      <c r="G578" s="13" t="s">
        <v>216</v>
      </c>
      <c r="H578" s="14" t="s">
        <v>2071</v>
      </c>
      <c r="J578" s="3">
        <v>2</v>
      </c>
      <c r="K578" s="17">
        <v>2</v>
      </c>
      <c r="L578" s="3">
        <v>2</v>
      </c>
      <c r="M578" s="3">
        <v>2</v>
      </c>
      <c r="N578" s="3" t="s">
        <v>89</v>
      </c>
      <c r="P578" s="17"/>
      <c r="Q578" s="16" t="s">
        <v>3158</v>
      </c>
      <c r="R578" s="3" t="s">
        <v>93</v>
      </c>
      <c r="S578" s="16" t="s">
        <v>2072</v>
      </c>
      <c r="U578" s="3" t="s">
        <v>2073</v>
      </c>
      <c r="V578" s="3" t="s">
        <v>93</v>
      </c>
      <c r="W578" s="57" t="s">
        <v>3137</v>
      </c>
      <c r="X578" t="str">
        <f>DataItems3[[#This Row],[Collection]]&amp;DataItems3[[#This Row],[Field]]&amp;DataItems3[[#This Row],[Options for supplying the Field]]&amp;DataItems3[[#This Row],[Fieldname]]&amp;DataItems3[[#This Row],[Parent]]</f>
        <v>StaffReason contract ended - 2012/13 onwardsF_RESCON</v>
      </c>
      <c r="Y578" s="15">
        <v>43395</v>
      </c>
      <c r="Z578" t="s">
        <v>102</v>
      </c>
      <c r="AA578" s="28" t="str">
        <f t="shared" si="86"/>
        <v>CASE WHEN c.DW_FromDate &lt;= 20110801 THEN 'Not appliable (2011/12 and prior)' WHEN ISNULL(c.F_ENDCON, '-1') IN ('-1', '', ' ') THEN 'Not applicable' WHEN c.F_RESCON = '-1' THEN 'Unknown' ELSE  CAST(c.f_rescon AS VARCHAR)  END</v>
      </c>
      <c r="AB578" s="28" t="str">
        <f>IF(S578="","",IF(IFERROR(SEARCH("select",S578)&gt;0,0),IF(U578="",IF(MID(S578,SEARCH(H578,S578)-4,1)=" ",MID(S578,SEARCH(H578,S578)-2,LEN(O586)+2),MID(S578,SEARCH(H578,S578)-3,LEN(H578)+3)),U578&amp;"."&amp;H578),S578))</f>
        <v>CASE WHEN c.DW_FromDate &lt;= 20110801 THEN 'Not appliable (2011/12 and prior)' WHEN ISNULL(c.F_ENDCON, '-1') IN ('-1', '', ' ') THEN 'Not applicable' WHEN c.F_RESCON = '-1' THEN 'Unknown' ELSE RESCON.label END</v>
      </c>
      <c r="AC578" s="28" t="str">
        <f t="shared" si="87"/>
        <v/>
      </c>
      <c r="AD578" s="28" t="str">
        <f t="shared" si="88"/>
        <v/>
      </c>
      <c r="AE578" t="str">
        <f t="shared" si="89"/>
        <v>[Reason contract ended]</v>
      </c>
    </row>
    <row r="579" spans="1:31" ht="16.5" customHeight="1" x14ac:dyDescent="0.2">
      <c r="A579">
        <v>100461</v>
      </c>
      <c r="B579" s="11" t="str">
        <f>DataItems3[[#This Row],[Field]]&amp;IF(DataItems3[[#This Row],[Options for supplying the Field]]="",""," "&amp;DataItems3[[#This Row],[Options for supplying the Field]])</f>
        <v>Reason for ending instance</v>
      </c>
      <c r="C579">
        <v>100461</v>
      </c>
      <c r="D579" s="3" t="s">
        <v>86</v>
      </c>
      <c r="E579" s="3" t="s">
        <v>106</v>
      </c>
      <c r="F579" s="3" t="s">
        <v>2074</v>
      </c>
      <c r="G579" s="13"/>
      <c r="H579" s="14" t="s">
        <v>2075</v>
      </c>
      <c r="I579" s="13" t="s">
        <v>2076</v>
      </c>
      <c r="J579" s="3">
        <v>1</v>
      </c>
      <c r="K579" s="17">
        <v>4</v>
      </c>
      <c r="L579" s="3">
        <v>2</v>
      </c>
      <c r="M579" s="3">
        <v>4</v>
      </c>
      <c r="N579" s="3" t="s">
        <v>89</v>
      </c>
      <c r="P579" s="17"/>
      <c r="Q579" s="16" t="s">
        <v>2077</v>
      </c>
      <c r="R579" s="16" t="s">
        <v>2077</v>
      </c>
      <c r="S579" s="16" t="s">
        <v>2078</v>
      </c>
      <c r="T579" s="16" t="s">
        <v>2078</v>
      </c>
      <c r="U579" s="3" t="s">
        <v>2079</v>
      </c>
      <c r="V579" s="3" t="s">
        <v>93</v>
      </c>
      <c r="W579" s="57" t="s">
        <v>150</v>
      </c>
      <c r="X579" t="str">
        <f>DataItems3[[#This Row],[Collection]]&amp;DataItems3[[#This Row],[Field]]&amp;DataItems3[[#This Row],[Options for supplying the Field]]&amp;DataItems3[[#This Row],[Fieldname]]&amp;DataItems3[[#This Row],[Parent]]</f>
        <v>StudentReason for ending instanceF_RSNEND</v>
      </c>
      <c r="Y579" s="15">
        <v>43434</v>
      </c>
      <c r="Z579" t="s">
        <v>95</v>
      </c>
      <c r="AA579" s="28" t="str">
        <f t="shared" si="86"/>
        <v>IIF(s.F_RSNEND='' OR s.F_RSNEND='-1', 'NA', s.F_RSNEND)</v>
      </c>
      <c r="AB579" s="28" t="str">
        <f t="shared" ref="AB579:AB593" si="90">IF(S579="","",IF(IFERROR(SEARCH("select",S579)&gt;0,0),IF(U579="",IF(MID(S579,SEARCH(H579,S579)-4,1)=" ",MID(S579,SEARCH(H579,S579)-2,LEN(O588)+2),MID(S579,SEARCH(H579,S579)-3,LEN(H579)+3)),U579&amp;"."&amp;H579),S579))</f>
        <v>IIF(s.F_RSNEND='' OR s.F_RSNEND='-1', 'Not applicable', RSNEND.DW_CurrentLabel)</v>
      </c>
      <c r="AC579" s="28" t="str">
        <f t="shared" si="87"/>
        <v>IIF(s.F_RSNEND='' OR s.F_RSNEND='-1', 'NA', s.F_RSNEND)</v>
      </c>
      <c r="AD579" s="28" t="str">
        <f t="shared" si="88"/>
        <v>IIF(s.F_RSNEND='' OR s.F_RSNEND='-1', 'Not applicable', RSNEND.DW_CurrentLabel)</v>
      </c>
      <c r="AE579" t="str">
        <f t="shared" si="89"/>
        <v>[Reason for ending instance]</v>
      </c>
    </row>
    <row r="580" spans="1:31" ht="16.5" customHeight="1" x14ac:dyDescent="0.2">
      <c r="A580">
        <v>100462</v>
      </c>
      <c r="B580" s="11" t="str">
        <f>DataItems3[[#This Row],[Field]]&amp;IF(DataItems3[[#This Row],[Options for supplying the Field]]="",""," "&amp;DataItems3[[#This Row],[Options for supplying the Field]])</f>
        <v>Reason for taking job 1 to 9 (Raw fields)</v>
      </c>
      <c r="C580">
        <v>100462</v>
      </c>
      <c r="D580" s="3" t="s">
        <v>146</v>
      </c>
      <c r="F580" s="3" t="s">
        <v>2080</v>
      </c>
      <c r="G580" s="13" t="s">
        <v>457</v>
      </c>
      <c r="H580" s="14" t="s">
        <v>93</v>
      </c>
      <c r="J580" s="3">
        <v>9</v>
      </c>
      <c r="K580" s="17">
        <v>4</v>
      </c>
      <c r="L580" s="3">
        <v>0</v>
      </c>
      <c r="M580" s="3">
        <v>2</v>
      </c>
      <c r="N580" s="3" t="s">
        <v>89</v>
      </c>
      <c r="P580" s="17"/>
      <c r="Q580" s="16" t="s">
        <v>93</v>
      </c>
      <c r="R580" s="3" t="s">
        <v>93</v>
      </c>
      <c r="S580" s="16" t="s">
        <v>93</v>
      </c>
      <c r="U580" s="3" t="s">
        <v>93</v>
      </c>
      <c r="V580" s="3" t="s">
        <v>93</v>
      </c>
      <c r="W580" s="57" t="s">
        <v>2926</v>
      </c>
      <c r="X580" t="str">
        <f>DataItems3[[#This Row],[Collection]]&amp;DataItems3[[#This Row],[Field]]&amp;DataItems3[[#This Row],[Options for supplying the Field]]&amp;DataItems3[[#This Row],[Fieldname]]&amp;DataItems3[[#This Row],[Parent]]</f>
        <v>DLHEReason for taking job 1 to 9(Raw fields)</v>
      </c>
      <c r="Y580" s="15">
        <v>43416</v>
      </c>
      <c r="Z580" t="s">
        <v>95</v>
      </c>
      <c r="AA580" s="28" t="str">
        <f t="shared" si="86"/>
        <v/>
      </c>
      <c r="AB580" s="28" t="str">
        <f t="shared" si="90"/>
        <v/>
      </c>
      <c r="AC580" s="28" t="str">
        <f t="shared" si="87"/>
        <v/>
      </c>
      <c r="AD580" s="28" t="str">
        <f t="shared" si="88"/>
        <v/>
      </c>
      <c r="AE580" t="str">
        <f t="shared" si="89"/>
        <v>[Reason for taking job 1 to 9]</v>
      </c>
    </row>
    <row r="581" spans="1:31" ht="16" x14ac:dyDescent="0.2">
      <c r="A581">
        <v>100463</v>
      </c>
      <c r="B581" s="11" t="str">
        <f>DataItems3[[#This Row],[Field]]&amp;IF(DataItems3[[#This Row],[Options for supplying the Field]]="",""," "&amp;DataItems3[[#This Row],[Options for supplying the Field]])</f>
        <v>Reason for taking job markers 1 to 9</v>
      </c>
      <c r="C581">
        <v>100463</v>
      </c>
      <c r="D581" s="3" t="s">
        <v>146</v>
      </c>
      <c r="F581" s="3" t="s">
        <v>2081</v>
      </c>
      <c r="G581" s="13"/>
      <c r="H581" s="14" t="s">
        <v>93</v>
      </c>
      <c r="J581" s="3">
        <v>9</v>
      </c>
      <c r="K581" s="17">
        <v>4</v>
      </c>
      <c r="L581" s="3">
        <v>0</v>
      </c>
      <c r="M581" s="3">
        <v>2</v>
      </c>
      <c r="N581" s="3" t="s">
        <v>89</v>
      </c>
      <c r="P581" s="17"/>
      <c r="Q581" s="16" t="s">
        <v>93</v>
      </c>
      <c r="R581" s="3" t="s">
        <v>93</v>
      </c>
      <c r="S581" s="16" t="s">
        <v>93</v>
      </c>
      <c r="U581" s="3" t="s">
        <v>93</v>
      </c>
      <c r="V581" s="3" t="s">
        <v>93</v>
      </c>
      <c r="W581" s="57" t="s">
        <v>2926</v>
      </c>
      <c r="X581" t="str">
        <f>DataItems3[[#This Row],[Collection]]&amp;DataItems3[[#This Row],[Field]]&amp;DataItems3[[#This Row],[Options for supplying the Field]]&amp;DataItems3[[#This Row],[Fieldname]]&amp;DataItems3[[#This Row],[Parent]]</f>
        <v>DLHEReason for taking job markers 1 to 9</v>
      </c>
      <c r="Y581" s="15">
        <v>43416</v>
      </c>
      <c r="Z581" t="s">
        <v>95</v>
      </c>
      <c r="AA581" s="28" t="str">
        <f t="shared" si="86"/>
        <v/>
      </c>
      <c r="AB581" s="28" t="str">
        <f t="shared" si="90"/>
        <v/>
      </c>
      <c r="AC581" s="28" t="str">
        <f t="shared" si="87"/>
        <v/>
      </c>
      <c r="AD581" s="28" t="str">
        <f t="shared" si="88"/>
        <v/>
      </c>
      <c r="AE581" t="str">
        <f t="shared" si="89"/>
        <v>[Reason for taking job markers 1 to 9]</v>
      </c>
    </row>
    <row r="582" spans="1:31" ht="64" x14ac:dyDescent="0.2">
      <c r="A582">
        <v>100464</v>
      </c>
      <c r="B582" s="11" t="str">
        <f>DataItems3[[#This Row],[Field]]&amp;IF(DataItems3[[#This Row],[Options for supplying the Field]]="",""," "&amp;DataItems3[[#This Row],[Options for supplying the Field]])</f>
        <v>Reason for taking the job (It fitted into my career plan/it was exactly the type of work I wanted) [JOBRSNALL1]</v>
      </c>
      <c r="C582">
        <v>100464</v>
      </c>
      <c r="D582" s="3" t="s">
        <v>151</v>
      </c>
      <c r="F582" s="3" t="s">
        <v>2082</v>
      </c>
      <c r="G582" s="13" t="s">
        <v>2083</v>
      </c>
      <c r="H582" s="3" t="s">
        <v>2084</v>
      </c>
      <c r="J582" s="3">
        <v>2</v>
      </c>
      <c r="K582" s="3">
        <v>1</v>
      </c>
      <c r="L582" s="3">
        <v>0</v>
      </c>
      <c r="M582" s="3">
        <v>0</v>
      </c>
      <c r="P582" s="3" t="s">
        <v>874</v>
      </c>
      <c r="Q582" s="16" t="s">
        <v>3159</v>
      </c>
      <c r="R582" s="3" t="s">
        <v>93</v>
      </c>
      <c r="S582" s="16" t="s">
        <v>3160</v>
      </c>
      <c r="U582" s="3" t="s">
        <v>2084</v>
      </c>
      <c r="V582" s="3" t="s">
        <v>93</v>
      </c>
      <c r="W582" s="57" t="s">
        <v>2909</v>
      </c>
      <c r="X582" t="str">
        <f>DataItems3[[#This Row],[Collection]]&amp;DataItems3[[#This Row],[Field]]&amp;DataItems3[[#This Row],[Options for supplying the Field]]&amp;DataItems3[[#This Row],[Fieldname]]&amp;DataItems3[[#This Row],[Parent]]</f>
        <v>Graduate OutcomesReason for taking the job(It fitted into my career plan/it was exactly the type of work I wanted) [JOBRSNALL1]JOBRSNALL1Provider &gt; Graduate &gt; Employment:</v>
      </c>
      <c r="Y582" s="15">
        <v>43550</v>
      </c>
      <c r="Z582" t="s">
        <v>159</v>
      </c>
      <c r="AA582" s="28" t="str">
        <f t="shared" si="86"/>
        <v>CASE WHEN g.dw_fromdate &gt;= 20200801 then 'N/A 2020/21 onwards' when ISNULL(g.ZRESPSTATUS, '02')='02' OR ISNULL(g.XACTIVITY, '99')='99' THEN 'Not in GO publication population' else IIF(isnull(g.JOBRSNALL1,'')='','N/A',g.JOBRSNALL1) end</v>
      </c>
      <c r="AB582" s="28" t="str">
        <f t="shared" si="90"/>
        <v>CASE WHEN  g.dw_fromdate &gt;= 20200801 then 'N/A 2020/21 onwards' when ISNULL(g.ZRESPSTATUS, '02')='02' OR ISNULL(g.XACTIVITY, '99')='99' THEN 'Not in GO publication population' else IIF(isnull(g.JOBRSNALL1,'')='','N/A',JOBRSNALL1.label) end</v>
      </c>
      <c r="AC582" s="28" t="str">
        <f t="shared" si="87"/>
        <v/>
      </c>
      <c r="AD582" s="28" t="str">
        <f t="shared" si="88"/>
        <v/>
      </c>
      <c r="AE582" t="str">
        <f t="shared" si="89"/>
        <v>[Reason for taking the job]</v>
      </c>
    </row>
    <row r="583" spans="1:31" ht="32" x14ac:dyDescent="0.2">
      <c r="A583">
        <v>100465</v>
      </c>
      <c r="B583" s="11" t="str">
        <f>DataItems3[[#This Row],[Field]]&amp;IF(DataItems3[[#This Row],[Options for supplying the Field]]="",""," "&amp;DataItems3[[#This Row],[Options for supplying the Field]])</f>
        <v>Reason for taking the job (To work in my family business) [JOBRSNALL10]</v>
      </c>
      <c r="C583">
        <v>100465</v>
      </c>
      <c r="D583" s="3" t="s">
        <v>151</v>
      </c>
      <c r="F583" s="3" t="s">
        <v>2082</v>
      </c>
      <c r="G583" s="13" t="s">
        <v>2085</v>
      </c>
      <c r="H583" s="3" t="s">
        <v>2086</v>
      </c>
      <c r="J583" s="3">
        <v>2</v>
      </c>
      <c r="K583" s="3">
        <v>1</v>
      </c>
      <c r="L583" s="3">
        <v>0</v>
      </c>
      <c r="M583" s="3">
        <v>0</v>
      </c>
      <c r="P583" s="3" t="s">
        <v>874</v>
      </c>
      <c r="Q583" s="16" t="s">
        <v>3161</v>
      </c>
      <c r="R583" s="3" t="s">
        <v>93</v>
      </c>
      <c r="S583" s="16" t="s">
        <v>3162</v>
      </c>
      <c r="U583" s="3" t="s">
        <v>2086</v>
      </c>
      <c r="V583" s="3" t="s">
        <v>93</v>
      </c>
      <c r="W583" s="57" t="s">
        <v>2909</v>
      </c>
      <c r="X583" t="str">
        <f>DataItems3[[#This Row],[Collection]]&amp;DataItems3[[#This Row],[Field]]&amp;DataItems3[[#This Row],[Options for supplying the Field]]&amp;DataItems3[[#This Row],[Fieldname]]&amp;DataItems3[[#This Row],[Parent]]</f>
        <v>Graduate OutcomesReason for taking the job(To work in my family business) [JOBRSNALL10]JOBRSNALL10Provider &gt; Graduate &gt; Employment:</v>
      </c>
      <c r="Y583" s="15">
        <v>43550</v>
      </c>
      <c r="Z583" t="s">
        <v>159</v>
      </c>
      <c r="AA583" s="28" t="str">
        <f t="shared" si="86"/>
        <v>CASE WHEN g.dw_fromdate &gt;= 20200801 then 'N/A 2020/21 onwards' when  ISNULL(g.ZRESPSTATUS, '02')='02' OR ISNULL(g.XACTIVITY, '99')='99' THEN 'Not in GO publication population' else IIF(isnull(g.JOBRSNALL10,'')='','N/A',g.JOBRSNALL10) end</v>
      </c>
      <c r="AB583" s="28" t="str">
        <f t="shared" si="90"/>
        <v>CASE WHEN  g.dw_fromdate &gt;= 20200801 then 'N/A 2020/21 onwards' when ISNULL(g.ZRESPSTATUS, '02')='02' OR ISNULL(g.XACTIVITY, '99')='99' THEN 'Not in GO publication population' else IIF(isnull(g.JOBRSNALL10,'')='','N/A',JOBRSNALL10.label) end</v>
      </c>
      <c r="AC583" s="28" t="str">
        <f t="shared" si="87"/>
        <v/>
      </c>
      <c r="AD583" s="28" t="str">
        <f t="shared" si="88"/>
        <v/>
      </c>
      <c r="AE583" t="str">
        <f t="shared" si="89"/>
        <v>[Reason for taking the job]</v>
      </c>
    </row>
    <row r="584" spans="1:31" ht="32" x14ac:dyDescent="0.2">
      <c r="A584">
        <v>100466</v>
      </c>
      <c r="B584" s="11" t="str">
        <f>DataItems3[[#This Row],[Field]]&amp;IF(DataItems3[[#This Row],[Options for supplying the Field]]="",""," "&amp;DataItems3[[#This Row],[Options for supplying the Field]])</f>
        <v>Reason for taking the job (It was the best job offer I received) [JOBRSNALL2]</v>
      </c>
      <c r="C584">
        <v>100466</v>
      </c>
      <c r="D584" s="3" t="s">
        <v>151</v>
      </c>
      <c r="F584" s="3" t="s">
        <v>2082</v>
      </c>
      <c r="G584" s="13" t="s">
        <v>2087</v>
      </c>
      <c r="H584" s="3" t="s">
        <v>2088</v>
      </c>
      <c r="J584" s="3">
        <v>2</v>
      </c>
      <c r="K584" s="3">
        <v>1</v>
      </c>
      <c r="L584" s="3">
        <v>0</v>
      </c>
      <c r="M584" s="3">
        <v>0</v>
      </c>
      <c r="P584" s="3" t="s">
        <v>874</v>
      </c>
      <c r="Q584" s="16" t="s">
        <v>3163</v>
      </c>
      <c r="R584" s="3" t="s">
        <v>93</v>
      </c>
      <c r="S584" s="16" t="s">
        <v>3164</v>
      </c>
      <c r="U584" s="3" t="s">
        <v>2088</v>
      </c>
      <c r="V584" s="3" t="s">
        <v>93</v>
      </c>
      <c r="W584" s="57" t="s">
        <v>2909</v>
      </c>
      <c r="X584" t="str">
        <f>DataItems3[[#This Row],[Collection]]&amp;DataItems3[[#This Row],[Field]]&amp;DataItems3[[#This Row],[Options for supplying the Field]]&amp;DataItems3[[#This Row],[Fieldname]]&amp;DataItems3[[#This Row],[Parent]]</f>
        <v>Graduate OutcomesReason for taking the job(It was the best job offer I received) [JOBRSNALL2]JOBRSNALL2Provider &gt; Graduate &gt; Employment:</v>
      </c>
      <c r="Y584" s="15">
        <v>43550</v>
      </c>
      <c r="Z584" t="s">
        <v>159</v>
      </c>
      <c r="AA584" s="28" t="str">
        <f t="shared" si="86"/>
        <v>CASE WHEN g.dw_fromdate &gt;= 20200801 then 'N/A 2020/21 onwards' when  ISNULL(g.ZRESPSTATUS, '02')='02' OR ISNULL(g.XACTIVITY, '99')='99' THEN 'Not in GO publication population' else IIF(isnull(g.JOBRSNALL2,'')='','N/A',g.JOBRSNALL2) end</v>
      </c>
      <c r="AB584" s="28" t="str">
        <f t="shared" si="90"/>
        <v>CASE WHEN  g.dw_fromdate &gt;= 20200801 then 'N/A 2020/21 onwards' when ISNULL(g.ZRESPSTATUS, '02')='02' OR ISNULL(g.XACTIVITY, '99')='99' THEN 'Not in GO publication population' else IIF(isnull(g.JOBRSNALL2,'')='','N/A',JOBRSNALL2.label) end</v>
      </c>
      <c r="AC584" s="28" t="str">
        <f t="shared" si="87"/>
        <v/>
      </c>
      <c r="AD584" s="28" t="str">
        <f t="shared" si="88"/>
        <v/>
      </c>
      <c r="AE584" t="str">
        <f t="shared" si="89"/>
        <v>[Reason for taking the job]</v>
      </c>
    </row>
    <row r="585" spans="1:31" ht="64" x14ac:dyDescent="0.2">
      <c r="A585">
        <v>100467</v>
      </c>
      <c r="B585" s="11" t="str">
        <f>DataItems3[[#This Row],[Field]]&amp;IF(DataItems3[[#This Row],[Options for supplying the Field]]="",""," "&amp;DataItems3[[#This Row],[Options for supplying the Field]])</f>
        <v>Reason for taking the job (It was an opportunity to progress in the organisation) [JOBRSNALL3]</v>
      </c>
      <c r="C585">
        <v>100467</v>
      </c>
      <c r="D585" s="3" t="s">
        <v>151</v>
      </c>
      <c r="F585" s="3" t="s">
        <v>2082</v>
      </c>
      <c r="G585" s="13" t="s">
        <v>2089</v>
      </c>
      <c r="H585" s="3" t="s">
        <v>2090</v>
      </c>
      <c r="J585" s="3">
        <v>2</v>
      </c>
      <c r="K585" s="3">
        <v>1</v>
      </c>
      <c r="L585" s="3">
        <v>0</v>
      </c>
      <c r="M585" s="3">
        <v>0</v>
      </c>
      <c r="P585" s="3" t="s">
        <v>874</v>
      </c>
      <c r="Q585" s="16" t="s">
        <v>3165</v>
      </c>
      <c r="R585" s="3" t="s">
        <v>93</v>
      </c>
      <c r="S585" s="16" t="s">
        <v>3166</v>
      </c>
      <c r="U585" s="3" t="s">
        <v>2090</v>
      </c>
      <c r="V585" s="3" t="s">
        <v>93</v>
      </c>
      <c r="W585" s="57" t="s">
        <v>2909</v>
      </c>
      <c r="X585" t="str">
        <f>DataItems3[[#This Row],[Collection]]&amp;DataItems3[[#This Row],[Field]]&amp;DataItems3[[#This Row],[Options for supplying the Field]]&amp;DataItems3[[#This Row],[Fieldname]]&amp;DataItems3[[#This Row],[Parent]]</f>
        <v>Graduate OutcomesReason for taking the job(It was an opportunity to progress in the organisation) [JOBRSNALL3]JOBRSNALL3Provider &gt; Graduate &gt; Employment:</v>
      </c>
      <c r="Y585" s="15">
        <v>43550</v>
      </c>
      <c r="Z585" t="s">
        <v>159</v>
      </c>
      <c r="AA585" s="28" t="str">
        <f t="shared" si="86"/>
        <v>CASE WHEN g.dw_fromdate &gt;= 20200801 then 'N/A 2020/21 onwards' when  ISNULL(g.ZRESPSTATUS, '02')='02' OR ISNULL(g.XACTIVITY, '99')='99' THEN 'Not in GO publication population' else IIF(isnull(g.JOBRSNALL3,'')='','N/A',g.JOBRSNALL3) end</v>
      </c>
      <c r="AB585" s="28" t="str">
        <f t="shared" si="90"/>
        <v>CASE WHEN  g.dw_fromdate &gt;= 20200801 then 'N/A 2020/21 onwards' when ISNULL(g.ZRESPSTATUS, '02')='02' OR ISNULL(g.XACTIVITY, '99')='99' THEN 'Not in GO publication population' else IIF(isnull(g.JOBRSNALL3,'')='','N/A',JOBRSNALL3.label) end</v>
      </c>
      <c r="AC585" s="28" t="str">
        <f t="shared" si="87"/>
        <v/>
      </c>
      <c r="AD585" s="28" t="str">
        <f t="shared" si="88"/>
        <v/>
      </c>
      <c r="AE585" t="str">
        <f t="shared" si="89"/>
        <v>[Reason for taking the job]</v>
      </c>
    </row>
    <row r="586" spans="1:31" ht="48" x14ac:dyDescent="0.2">
      <c r="A586">
        <v>100468</v>
      </c>
      <c r="B586" s="11" t="str">
        <f>DataItems3[[#This Row],[Field]]&amp;IF(DataItems3[[#This Row],[Options for supplying the Field]]="",""," "&amp;DataItems3[[#This Row],[Options for supplying the Field]])</f>
        <v>Reason for taking the job (To see if I would like the type of work it involved) [JOBRSNALL4]</v>
      </c>
      <c r="C586">
        <v>100468</v>
      </c>
      <c r="D586" s="3" t="s">
        <v>151</v>
      </c>
      <c r="F586" s="3" t="s">
        <v>2082</v>
      </c>
      <c r="G586" s="13" t="s">
        <v>2091</v>
      </c>
      <c r="H586" s="3" t="s">
        <v>2092</v>
      </c>
      <c r="J586" s="3">
        <v>2</v>
      </c>
      <c r="K586" s="3">
        <v>1</v>
      </c>
      <c r="L586" s="3">
        <v>0</v>
      </c>
      <c r="M586" s="3">
        <v>0</v>
      </c>
      <c r="P586" s="3" t="s">
        <v>874</v>
      </c>
      <c r="Q586" s="16" t="s">
        <v>3167</v>
      </c>
      <c r="R586" s="3" t="s">
        <v>93</v>
      </c>
      <c r="S586" s="16" t="s">
        <v>3168</v>
      </c>
      <c r="U586" s="3" t="s">
        <v>2092</v>
      </c>
      <c r="V586" s="3" t="s">
        <v>93</v>
      </c>
      <c r="W586" s="57" t="s">
        <v>2909</v>
      </c>
      <c r="X586" t="str">
        <f>DataItems3[[#This Row],[Collection]]&amp;DataItems3[[#This Row],[Field]]&amp;DataItems3[[#This Row],[Options for supplying the Field]]&amp;DataItems3[[#This Row],[Fieldname]]&amp;DataItems3[[#This Row],[Parent]]</f>
        <v>Graduate OutcomesReason for taking the job(To see if I would like the type of work it involved) [JOBRSNALL4]JOBRSNALL4Provider &gt; Graduate &gt; Employment:</v>
      </c>
      <c r="Y586" s="15">
        <v>43550</v>
      </c>
      <c r="Z586" t="s">
        <v>159</v>
      </c>
      <c r="AA586" s="28" t="str">
        <f t="shared" si="86"/>
        <v>CASE WHEN g.dw_fromdate &gt;= 20200801 then 'N/A 2020/21 onwards' when  ISNULL(g.ZRESPSTATUS, '02')='02' OR ISNULL(g.XACTIVITY, '99')='99' THEN 'Not in GO publication population' else IIF(isnull(g.JOBRSNALL4,'')='','N/A',g.JOBRSNALL4) end</v>
      </c>
      <c r="AB586" s="28" t="str">
        <f t="shared" si="90"/>
        <v>CASE WHEN  g.dw_fromdate &gt;= 20200801 then 'N/A 2020/21 onwards' when ISNULL(g.ZRESPSTATUS, '02')='02' OR ISNULL(g.XACTIVITY, '99')='99' THEN 'Not in GO publication population' else IIF(isnull(g.JOBRSNALL4,'')='','N/A',JOBRSNALL4.label) end</v>
      </c>
      <c r="AC586" s="28" t="str">
        <f t="shared" si="87"/>
        <v/>
      </c>
      <c r="AD586" s="28" t="str">
        <f t="shared" si="88"/>
        <v/>
      </c>
      <c r="AE586" t="str">
        <f t="shared" si="89"/>
        <v>[Reason for taking the job]</v>
      </c>
    </row>
    <row r="587" spans="1:31" ht="80" x14ac:dyDescent="0.2">
      <c r="A587">
        <v>100469</v>
      </c>
      <c r="B587" s="11" t="str">
        <f>DataItems3[[#This Row],[Field]]&amp;IF(DataItems3[[#This Row],[Options for supplying the Field]]="",""," "&amp;DataItems3[[#This Row],[Options for supplying the Field]])</f>
        <v>Reason for taking the job (To gain and broaden my experience in order to get the type of job I really want) [JOBRSNALL5]</v>
      </c>
      <c r="C587">
        <v>100469</v>
      </c>
      <c r="D587" s="3" t="s">
        <v>151</v>
      </c>
      <c r="F587" s="3" t="s">
        <v>2082</v>
      </c>
      <c r="G587" s="13" t="s">
        <v>2093</v>
      </c>
      <c r="H587" s="3" t="s">
        <v>2094</v>
      </c>
      <c r="J587" s="3">
        <v>2</v>
      </c>
      <c r="K587" s="3">
        <v>1</v>
      </c>
      <c r="L587" s="3">
        <v>0</v>
      </c>
      <c r="M587" s="3">
        <v>0</v>
      </c>
      <c r="P587" s="3" t="s">
        <v>874</v>
      </c>
      <c r="Q587" s="16" t="s">
        <v>3169</v>
      </c>
      <c r="R587" s="3" t="s">
        <v>93</v>
      </c>
      <c r="S587" s="16" t="s">
        <v>3170</v>
      </c>
      <c r="U587" s="3" t="s">
        <v>2094</v>
      </c>
      <c r="V587" s="3" t="s">
        <v>93</v>
      </c>
      <c r="W587" s="57" t="s">
        <v>2909</v>
      </c>
      <c r="X587" t="str">
        <f>DataItems3[[#This Row],[Collection]]&amp;DataItems3[[#This Row],[Field]]&amp;DataItems3[[#This Row],[Options for supplying the Field]]&amp;DataItems3[[#This Row],[Fieldname]]&amp;DataItems3[[#This Row],[Parent]]</f>
        <v>Graduate OutcomesReason for taking the job(To gain and broaden my experience in order to get the type of job I really want) [JOBRSNALL5]JOBRSNALL5Provider &gt; Graduate &gt; Employment:</v>
      </c>
      <c r="Y587" s="15">
        <v>43550</v>
      </c>
      <c r="Z587" t="s">
        <v>159</v>
      </c>
      <c r="AA587" s="28" t="str">
        <f t="shared" si="86"/>
        <v>CASE WHEN g.dw_fromdate &gt;= 20200801 then 'N/A 2020/21 onwards' when  ISNULL(g.ZRESPSTATUS, '02')='02' OR ISNULL(g.XACTIVITY, '99')='99' THEN 'Not in GO publication population' else IIF(isnull(g.JOBRSNALL5,'')='','N/A',g.JOBRSNALL5) end</v>
      </c>
      <c r="AB587" s="28" t="str">
        <f t="shared" si="90"/>
        <v>CASE WHEN  g.dw_fromdate &gt;= 20200801 then 'N/A 2020/21 onwards' when ISNULL(g.ZRESPSTATUS, '02')='02' OR ISNULL(g.XACTIVITY, '99')='99' THEN 'Not in GO publication population' else IIF(isnull(g.JOBRSNALL5,'')='','N/A',JOBRSNALL5.label) end</v>
      </c>
      <c r="AC587" s="28" t="str">
        <f t="shared" si="87"/>
        <v/>
      </c>
      <c r="AD587" s="28" t="str">
        <f t="shared" si="88"/>
        <v/>
      </c>
      <c r="AE587" t="str">
        <f t="shared" si="89"/>
        <v>[Reason for taking the job]</v>
      </c>
    </row>
    <row r="588" spans="1:31" ht="15" customHeight="1" x14ac:dyDescent="0.2">
      <c r="A588">
        <v>100470</v>
      </c>
      <c r="B588" s="11" t="str">
        <f>DataItems3[[#This Row],[Field]]&amp;IF(DataItems3[[#This Row],[Options for supplying the Field]]="",""," "&amp;DataItems3[[#This Row],[Options for supplying the Field]])</f>
        <v>Reason for taking the job (It was the right location) [JOBRSNALL6]</v>
      </c>
      <c r="C588">
        <v>100470</v>
      </c>
      <c r="D588" s="3" t="s">
        <v>151</v>
      </c>
      <c r="F588" s="3" t="s">
        <v>2082</v>
      </c>
      <c r="G588" s="13" t="s">
        <v>2095</v>
      </c>
      <c r="H588" s="3" t="s">
        <v>2096</v>
      </c>
      <c r="J588" s="3">
        <v>2</v>
      </c>
      <c r="K588" s="3">
        <v>1</v>
      </c>
      <c r="L588" s="3">
        <v>0</v>
      </c>
      <c r="M588" s="3">
        <v>0</v>
      </c>
      <c r="P588" s="3" t="s">
        <v>874</v>
      </c>
      <c r="Q588" s="16" t="s">
        <v>3171</v>
      </c>
      <c r="R588" s="3" t="s">
        <v>93</v>
      </c>
      <c r="S588" s="16" t="s">
        <v>3172</v>
      </c>
      <c r="U588" s="3" t="s">
        <v>2096</v>
      </c>
      <c r="V588" s="3" t="s">
        <v>93</v>
      </c>
      <c r="W588" s="57" t="s">
        <v>2909</v>
      </c>
      <c r="X588" t="str">
        <f>DataItems3[[#This Row],[Collection]]&amp;DataItems3[[#This Row],[Field]]&amp;DataItems3[[#This Row],[Options for supplying the Field]]&amp;DataItems3[[#This Row],[Fieldname]]&amp;DataItems3[[#This Row],[Parent]]</f>
        <v>Graduate OutcomesReason for taking the job(It was the right location) [JOBRSNALL6]JOBRSNALL6Provider &gt; Graduate &gt; Employment:</v>
      </c>
      <c r="Y588" s="15">
        <v>43550</v>
      </c>
      <c r="Z588" t="s">
        <v>159</v>
      </c>
      <c r="AA588" s="28" t="str">
        <f t="shared" si="86"/>
        <v>CASE WHEN g.dw_fromdate &gt;= 20200801 then 'N/A 2020/21 onwards' when  ISNULL(g.ZRESPSTATUS, '02')='02' OR ISNULL(g.XACTIVITY, '99')='99' THEN 'Not in GO publication population' else IIF(isnull(g.JOBRSNALL6,'')='','N/A',g.JOBRSNALL6) end</v>
      </c>
      <c r="AB588" s="28" t="str">
        <f t="shared" si="90"/>
        <v>CASE WHEN  g.dw_fromdate &gt;= 20200801 then 'N/A 2020/21 onwards' when ISNULL(g.ZRESPSTATUS, '02')='02' OR ISNULL(g.XACTIVITY, '99')='99' THEN 'Not in GO publication population' else IIF(isnull(g.JOBRSNALL6,'')='','N/A',JOBRSNALL6.label) end</v>
      </c>
      <c r="AC588" s="28" t="str">
        <f t="shared" si="87"/>
        <v/>
      </c>
      <c r="AD588" s="28" t="str">
        <f t="shared" si="88"/>
        <v/>
      </c>
      <c r="AE588" t="str">
        <f t="shared" si="89"/>
        <v>[Reason for taking the job]</v>
      </c>
    </row>
    <row r="589" spans="1:31" ht="15" customHeight="1" x14ac:dyDescent="0.2">
      <c r="A589">
        <v>100471</v>
      </c>
      <c r="B589" s="11" t="str">
        <f>DataItems3[[#This Row],[Field]]&amp;IF(DataItems3[[#This Row],[Options for supplying the Field]]="",""," "&amp;DataItems3[[#This Row],[Options for supplying the Field]])</f>
        <v>Reason for taking the job (The job was well paid) [JOBRSNALL7]</v>
      </c>
      <c r="C589">
        <v>100471</v>
      </c>
      <c r="D589" s="3" t="s">
        <v>151</v>
      </c>
      <c r="F589" s="3" t="s">
        <v>2082</v>
      </c>
      <c r="G589" s="13" t="s">
        <v>2097</v>
      </c>
      <c r="H589" s="3" t="s">
        <v>2098</v>
      </c>
      <c r="J589" s="3">
        <v>2</v>
      </c>
      <c r="K589" s="3">
        <v>1</v>
      </c>
      <c r="L589" s="3">
        <v>0</v>
      </c>
      <c r="M589" s="3">
        <v>0</v>
      </c>
      <c r="P589" s="3" t="s">
        <v>874</v>
      </c>
      <c r="Q589" s="16" t="s">
        <v>3173</v>
      </c>
      <c r="R589" s="3" t="s">
        <v>93</v>
      </c>
      <c r="S589" s="16" t="s">
        <v>3174</v>
      </c>
      <c r="U589" s="3" t="s">
        <v>2098</v>
      </c>
      <c r="V589" s="3" t="s">
        <v>93</v>
      </c>
      <c r="W589" s="57" t="s">
        <v>2909</v>
      </c>
      <c r="X589" t="str">
        <f>DataItems3[[#This Row],[Collection]]&amp;DataItems3[[#This Row],[Field]]&amp;DataItems3[[#This Row],[Options for supplying the Field]]&amp;DataItems3[[#This Row],[Fieldname]]&amp;DataItems3[[#This Row],[Parent]]</f>
        <v>Graduate OutcomesReason for taking the job(The job was well paid) [JOBRSNALL7]JOBRSNALL7Provider &gt; Graduate &gt; Employment:</v>
      </c>
      <c r="Y589" s="15">
        <v>43550</v>
      </c>
      <c r="Z589" t="s">
        <v>159</v>
      </c>
      <c r="AA589" s="28" t="str">
        <f t="shared" si="86"/>
        <v>CASE WHEN g.dw_fromdate &gt;= 20200801 then 'N/A 2020/21 onwards' when  ISNULL(g.ZRESPSTATUS, '02')='02' OR ISNULL(g.XACTIVITY, '99')='99' THEN 'Not in GO publication population' else IIF(isnull(g.JOBRSNALL7,'')='','N/A',g.JOBRSNALL7) end</v>
      </c>
      <c r="AB589" s="28" t="str">
        <f t="shared" si="90"/>
        <v>CASE WHEN  g.dw_fromdate &gt;= 20200801 then 'N/A 2020/21 onwards' when ISNULL(g.ZRESPSTATUS, '02')='02' OR ISNULL(g.XACTIVITY, '99')='99' THEN 'Not in GO publication population' else IIF(isnull(g.JOBRSNALL7,'')='','N/A',JOBRSNALL7.label) end</v>
      </c>
      <c r="AC589" s="28" t="str">
        <f t="shared" si="87"/>
        <v/>
      </c>
      <c r="AD589" s="28" t="str">
        <f t="shared" si="88"/>
        <v/>
      </c>
      <c r="AE589" t="str">
        <f t="shared" si="89"/>
        <v>[Reason for taking the job]</v>
      </c>
    </row>
    <row r="590" spans="1:31" ht="32" x14ac:dyDescent="0.2">
      <c r="A590">
        <v>100472</v>
      </c>
      <c r="B590" s="11" t="str">
        <f>DataItems3[[#This Row],[Field]]&amp;IF(DataItems3[[#This Row],[Options for supplying the Field]]="",""," "&amp;DataItems3[[#This Row],[Options for supplying the Field]])</f>
        <v>Reason for taking the job (In order to earn a living) [JOBRSNALL8]</v>
      </c>
      <c r="C590">
        <v>100472</v>
      </c>
      <c r="D590" s="3" t="s">
        <v>151</v>
      </c>
      <c r="F590" s="3" t="s">
        <v>2082</v>
      </c>
      <c r="G590" s="13" t="s">
        <v>2099</v>
      </c>
      <c r="H590" s="3" t="s">
        <v>2100</v>
      </c>
      <c r="J590" s="3">
        <v>2</v>
      </c>
      <c r="K590" s="3">
        <v>1</v>
      </c>
      <c r="L590" s="3">
        <v>0</v>
      </c>
      <c r="M590" s="3">
        <v>0</v>
      </c>
      <c r="P590" s="3" t="s">
        <v>874</v>
      </c>
      <c r="Q590" s="16" t="s">
        <v>3175</v>
      </c>
      <c r="R590" s="3" t="s">
        <v>93</v>
      </c>
      <c r="S590" s="16" t="s">
        <v>3176</v>
      </c>
      <c r="U590" s="3" t="s">
        <v>2100</v>
      </c>
      <c r="V590" s="3" t="s">
        <v>93</v>
      </c>
      <c r="W590" s="57" t="s">
        <v>2909</v>
      </c>
      <c r="X590" t="str">
        <f>DataItems3[[#This Row],[Collection]]&amp;DataItems3[[#This Row],[Field]]&amp;DataItems3[[#This Row],[Options for supplying the Field]]&amp;DataItems3[[#This Row],[Fieldname]]&amp;DataItems3[[#This Row],[Parent]]</f>
        <v>Graduate OutcomesReason for taking the job(In order to earn a living) [JOBRSNALL8]JOBRSNALL8Provider &gt; Graduate &gt; Employment:</v>
      </c>
      <c r="Y590" s="15">
        <v>43550</v>
      </c>
      <c r="Z590" t="s">
        <v>159</v>
      </c>
      <c r="AA590" s="28" t="str">
        <f t="shared" si="86"/>
        <v>CASE WHEN g.dw_fromdate &gt;= 20200801 then 'N/A 2020/21 onwards' when  ISNULL(g.ZRESPSTATUS, '02')='02' OR ISNULL(g.XACTIVITY, '99')='99' THEN 'Not in GO publication population' else IIF(isnull(g.JOBRSNALL8,'')='','N/A',g.JOBRSNALL8) end</v>
      </c>
      <c r="AB590" s="28" t="str">
        <f t="shared" si="90"/>
        <v>CASE WHEN  g.dw_fromdate &gt;= 20200801 then 'N/A 2020/21 onwards' when ISNULL(g.ZRESPSTATUS, '02')='02' OR ISNULL(g.XACTIVITY, '99')='99' THEN 'Not in GO publication population' else IIF(isnull(g.JOBRSNALL8,'')='','N/A',JOBRSNALL8.label) end</v>
      </c>
      <c r="AC590" s="28" t="str">
        <f t="shared" si="87"/>
        <v/>
      </c>
      <c r="AD590" s="28" t="str">
        <f t="shared" si="88"/>
        <v/>
      </c>
      <c r="AE590" t="str">
        <f t="shared" si="89"/>
        <v>[Reason for taking the job]</v>
      </c>
    </row>
    <row r="591" spans="1:31" ht="32" x14ac:dyDescent="0.2">
      <c r="A591">
        <v>100473</v>
      </c>
      <c r="B591" s="11" t="str">
        <f>DataItems3[[#This Row],[Field]]&amp;IF(DataItems3[[#This Row],[Options for supplying the Field]]="",""," "&amp;DataItems3[[#This Row],[Options for supplying the Field]])</f>
        <v>Reason for taking the job (In order to pay off debts) [JOBRSNALL9]</v>
      </c>
      <c r="C591">
        <v>100473</v>
      </c>
      <c r="D591" s="3" t="s">
        <v>151</v>
      </c>
      <c r="F591" s="3" t="s">
        <v>2082</v>
      </c>
      <c r="G591" s="13" t="s">
        <v>2101</v>
      </c>
      <c r="H591" s="3" t="s">
        <v>2102</v>
      </c>
      <c r="J591" s="3">
        <v>2</v>
      </c>
      <c r="K591" s="3">
        <v>1</v>
      </c>
      <c r="L591" s="3">
        <v>0</v>
      </c>
      <c r="M591" s="3">
        <v>2</v>
      </c>
      <c r="P591" s="3" t="s">
        <v>874</v>
      </c>
      <c r="Q591" s="16" t="s">
        <v>3177</v>
      </c>
      <c r="R591" s="3" t="s">
        <v>93</v>
      </c>
      <c r="S591" s="16" t="s">
        <v>3178</v>
      </c>
      <c r="U591" s="3" t="s">
        <v>2102</v>
      </c>
      <c r="V591" s="3" t="s">
        <v>93</v>
      </c>
      <c r="W591" s="57" t="s">
        <v>2909</v>
      </c>
      <c r="X591" t="str">
        <f>DataItems3[[#This Row],[Collection]]&amp;DataItems3[[#This Row],[Field]]&amp;DataItems3[[#This Row],[Options for supplying the Field]]&amp;DataItems3[[#This Row],[Fieldname]]&amp;DataItems3[[#This Row],[Parent]]</f>
        <v>Graduate OutcomesReason for taking the job(In order to pay off debts) [JOBRSNALL9]JOBRSNALL9Provider &gt; Graduate &gt; Employment:</v>
      </c>
      <c r="Y591" s="15">
        <v>43550</v>
      </c>
      <c r="Z591" t="s">
        <v>159</v>
      </c>
      <c r="AA591" s="28" t="str">
        <f t="shared" si="86"/>
        <v>CASE WHEN  g.dw_fromdate &gt;= 20200801 then 'N/A 2020/21 onwards' when ISNULL(g.ZRESPSTATUS, '02')='02' OR ISNULL(g.XACTIVITY, '99')='99' THEN 'Not in GO publication population' else IIF(isnull(g.JOBRSNALL9,'')='','N/A',g.JOBRSNALL9) end</v>
      </c>
      <c r="AB591" s="28" t="str">
        <f t="shared" si="90"/>
        <v>CASE WHEN  g.dw_fromdate &gt;= 20200801 then 'N/A 2020/21 onwards' when ISNULL(g.ZRESPSTATUS, '02')='02' OR ISNULL(g.XACTIVITY, '99')='99' THEN 'Not in GO publication population' else IIF(isnull(g.JOBRSNALL9,'')='','N/A',JOBRSNALL9.label) end</v>
      </c>
      <c r="AC591" s="28" t="str">
        <f t="shared" si="87"/>
        <v/>
      </c>
      <c r="AD591" s="28" t="str">
        <f t="shared" si="88"/>
        <v/>
      </c>
      <c r="AE591" t="str">
        <f t="shared" si="89"/>
        <v>[Reason for taking the job]</v>
      </c>
    </row>
    <row r="592" spans="1:31" ht="32" x14ac:dyDescent="0.2">
      <c r="A592">
        <v>100474</v>
      </c>
      <c r="B592" s="11" t="str">
        <f>DataItems3[[#This Row],[Field]]&amp;IF(DataItems3[[#This Row],[Options for supplying the Field]]="",""," "&amp;DataItems3[[#This Row],[Options for supplying the Field]])</f>
        <v>Recommend the provider [RECPROV] -opt in question</v>
      </c>
      <c r="C592">
        <v>100474</v>
      </c>
      <c r="D592" s="3" t="s">
        <v>151</v>
      </c>
      <c r="F592" s="3" t="s">
        <v>2103</v>
      </c>
      <c r="G592" s="13" t="s">
        <v>2104</v>
      </c>
      <c r="I592" s="3" t="s">
        <v>2991</v>
      </c>
      <c r="J592" s="3">
        <v>1</v>
      </c>
      <c r="K592" s="3">
        <v>3</v>
      </c>
      <c r="L592" s="3">
        <v>0</v>
      </c>
      <c r="M592" s="3">
        <v>0</v>
      </c>
      <c r="P592" s="3" t="s">
        <v>448</v>
      </c>
      <c r="R592" s="3" t="s">
        <v>93</v>
      </c>
      <c r="V592" s="3" t="s">
        <v>93</v>
      </c>
      <c r="W592" s="57" t="s">
        <v>2926</v>
      </c>
      <c r="X592" t="str">
        <f>DataItems3[[#This Row],[Collection]]&amp;DataItems3[[#This Row],[Field]]&amp;DataItems3[[#This Row],[Options for supplying the Field]]&amp;DataItems3[[#This Row],[Fieldname]]&amp;DataItems3[[#This Row],[Parent]]</f>
        <v>Graduate OutcomesRecommend the provider[RECPROV] -opt in questionProvider &gt; Graduate &gt; Opt in questions:</v>
      </c>
      <c r="Y592" s="15">
        <v>43550</v>
      </c>
      <c r="Z592" t="s">
        <v>159</v>
      </c>
      <c r="AA592" s="28" t="str">
        <f t="shared" si="86"/>
        <v/>
      </c>
      <c r="AB592" s="28" t="str">
        <f t="shared" si="90"/>
        <v/>
      </c>
      <c r="AC592" s="28" t="str">
        <f t="shared" si="87"/>
        <v/>
      </c>
      <c r="AD592" s="28" t="str">
        <f t="shared" si="88"/>
        <v/>
      </c>
      <c r="AE592" t="str">
        <f t="shared" si="89"/>
        <v>[Recommend the provider]</v>
      </c>
    </row>
    <row r="593" spans="1:31" ht="16" x14ac:dyDescent="0.2">
      <c r="A593">
        <v>100475</v>
      </c>
      <c r="B593" s="11" t="str">
        <f>DataItems3[[#This Row],[Field]]&amp;IF(DataItems3[[#This Row],[Options for supplying the Field]]="",""," "&amp;DataItems3[[#This Row],[Options for supplying the Field]])</f>
        <v>Record type indicator [RECID]</v>
      </c>
      <c r="C593">
        <v>100475</v>
      </c>
      <c r="D593" s="3" t="s">
        <v>151</v>
      </c>
      <c r="F593" s="3" t="s">
        <v>2105</v>
      </c>
      <c r="G593" s="13" t="s">
        <v>2106</v>
      </c>
      <c r="H593" s="3" t="s">
        <v>2107</v>
      </c>
      <c r="J593" s="3">
        <v>1</v>
      </c>
      <c r="K593" s="3">
        <v>1</v>
      </c>
      <c r="L593" s="3">
        <v>0</v>
      </c>
      <c r="M593" s="3">
        <v>0</v>
      </c>
      <c r="P593" s="3" t="s">
        <v>462</v>
      </c>
      <c r="Q593" s="16" t="s">
        <v>2108</v>
      </c>
      <c r="R593" s="3" t="s">
        <v>93</v>
      </c>
      <c r="S593" s="16" t="s">
        <v>2108</v>
      </c>
      <c r="U593" s="3" t="s">
        <v>93</v>
      </c>
      <c r="V593" s="3" t="s">
        <v>93</v>
      </c>
      <c r="W593" s="57" t="s">
        <v>2909</v>
      </c>
      <c r="X593" t="str">
        <f>DataItems3[[#This Row],[Collection]]&amp;DataItems3[[#This Row],[Field]]&amp;DataItems3[[#This Row],[Options for supplying the Field]]&amp;DataItems3[[#This Row],[Fieldname]]&amp;DataItems3[[#This Row],[Parent]]</f>
        <v>Graduate OutcomesRecord type indicator[RECID]RECIDProvider:</v>
      </c>
      <c r="Y593" s="15">
        <v>43550</v>
      </c>
      <c r="Z593" t="s">
        <v>159</v>
      </c>
      <c r="AA593" s="28" t="str">
        <f t="shared" si="86"/>
        <v>CASE WHEN ISNULL(g.ZRESPSTATUS, '02')='02' OR ISNULL(g.XACTIVITY, '99')='99' THEN 'Not in GO publication population' else isnull(g.RECID,'NA/UNK')  end</v>
      </c>
      <c r="AB593" s="28" t="str">
        <f t="shared" si="90"/>
        <v>CASE WHEN ISNULL(g.ZRESPSTATUS, '02')='02' OR ISNULL(g.XACTIVITY, '99')='99' THEN 'Not in GO publication population' else isnull(g.RECID,'NA/UNK')  end</v>
      </c>
      <c r="AC593" s="28" t="str">
        <f t="shared" si="87"/>
        <v/>
      </c>
      <c r="AD593" s="28" t="str">
        <f t="shared" si="88"/>
        <v/>
      </c>
      <c r="AE593" t="str">
        <f t="shared" si="89"/>
        <v>[Record type indicator]</v>
      </c>
    </row>
    <row r="594" spans="1:31" ht="32" x14ac:dyDescent="0.2">
      <c r="A594">
        <v>100925</v>
      </c>
      <c r="B594" s="29" t="str">
        <f>DataItems3[[#This Row],[Field]]&amp;IF(DataItems3[[#This Row],[Options for supplying the Field]]="",""," "&amp;DataItems3[[#This Row],[Options for supplying the Field]])</f>
        <v>Records if the qualification awarded is at the same level or lower than the latest returned qualification aim (DF)</v>
      </c>
      <c r="C594">
        <v>100925</v>
      </c>
      <c r="D594" s="3" t="s">
        <v>2992</v>
      </c>
      <c r="F594" s="3" t="s">
        <v>3179</v>
      </c>
      <c r="G594" s="13" t="s">
        <v>2994</v>
      </c>
      <c r="H594" s="13" t="s">
        <v>3180</v>
      </c>
      <c r="I594" s="13"/>
      <c r="J594" s="13"/>
      <c r="Q594" s="3" t="s">
        <v>3181</v>
      </c>
      <c r="R594" s="16"/>
      <c r="S594" s="3" t="s">
        <v>3181</v>
      </c>
      <c r="T594" s="16"/>
      <c r="W594" s="59" t="s">
        <v>150</v>
      </c>
      <c r="X594" t="str">
        <f>DataItems3[[#This Row],[Collection]]&amp;DataItems3[[#This Row],[Field]]&amp;DataItems3[[#This Row],[Options for supplying the Field]]&amp;DataItems3[[#This Row],[Fieldname]]&amp;DataItems3[[#This Row],[Parent]]</f>
        <v>Data FuturesRecords if the qualification awarded is at the same level or lower than the latest returned qualification aim(DF)Z_QLEVELCOMP</v>
      </c>
      <c r="Y594" s="15">
        <v>45014</v>
      </c>
      <c r="Z594" t="s">
        <v>2997</v>
      </c>
      <c r="AA594" s="28" t="str">
        <f t="shared" si="86"/>
        <v>df.Z_QLEVELCOMP</v>
      </c>
      <c r="AB594" s="28" t="str">
        <f>IF(S594="","",IF(IFERROR(SEARCH("select",S594)&gt;0,0),IF(W594="",IF(MID(S594,SEARCH(H594,S594)-4,1)=" ",MID(S594,SEARCH(H594,S594)-2,LEN(O603)+2),MID(S594,SEARCH(H594,S594)-3,LEN(H594)+3)),W594&amp;"."&amp;H594),S594))</f>
        <v>df.Z_QLEVELCOMP</v>
      </c>
      <c r="AC594" s="28" t="str">
        <f t="shared" si="87"/>
        <v/>
      </c>
      <c r="AD594" s="28" t="str">
        <f t="shared" si="88"/>
        <v/>
      </c>
      <c r="AE594" t="str">
        <f t="shared" si="89"/>
        <v>[Records if the qualification awarded is at the same level or lower than the latest returned qualification aim]</v>
      </c>
    </row>
    <row r="595" spans="1:31" ht="15" customHeight="1" x14ac:dyDescent="0.2">
      <c r="A595">
        <v>100476</v>
      </c>
      <c r="B595" s="11" t="str">
        <f>DataItems3[[#This Row],[Field]]&amp;IF(DataItems3[[#This Row],[Options for supplying the Field]]="",""," "&amp;DataItems3[[#This Row],[Options for supplying the Field]])</f>
        <v>REF unit of assessment [UOA2014]</v>
      </c>
      <c r="C595">
        <v>100476</v>
      </c>
      <c r="D595" s="3" t="s">
        <v>86</v>
      </c>
      <c r="F595" s="3" t="s">
        <v>2109</v>
      </c>
      <c r="G595" s="13" t="s">
        <v>2110</v>
      </c>
      <c r="H595" s="14" t="s">
        <v>2111</v>
      </c>
      <c r="J595" s="3">
        <v>1</v>
      </c>
      <c r="K595" s="17">
        <v>2</v>
      </c>
      <c r="L595" s="3">
        <v>0</v>
      </c>
      <c r="M595" s="3">
        <v>0</v>
      </c>
      <c r="P595" s="17"/>
      <c r="Q595" s="16" t="s">
        <v>2112</v>
      </c>
      <c r="R595" s="3" t="s">
        <v>91</v>
      </c>
      <c r="S595" s="16" t="s">
        <v>2113</v>
      </c>
      <c r="U595" s="3" t="s">
        <v>2114</v>
      </c>
      <c r="V595" s="3" t="s">
        <v>93</v>
      </c>
      <c r="W595" s="57" t="s">
        <v>114</v>
      </c>
      <c r="X595" t="str">
        <f>DataItems3[[#This Row],[Collection]]&amp;DataItems3[[#This Row],[Field]]&amp;DataItems3[[#This Row],[Options for supplying the Field]]&amp;DataItems3[[#This Row],[Fieldname]]&amp;DataItems3[[#This Row],[Parent]]</f>
        <v>StudentREF unit of assessment[UOA2014]F_UOA2014</v>
      </c>
      <c r="Y595" s="15">
        <v>43684</v>
      </c>
      <c r="Z595" t="s">
        <v>95</v>
      </c>
      <c r="AA595" s="28" t="str">
        <f t="shared" si="86"/>
        <v>case when s.dw_fromdate &gt;= 20200801 then 'N/A' else ISNULL(cast(r.F_UOA2014 as varchar), 'Unknown') end</v>
      </c>
      <c r="AB595" s="28" t="str">
        <f>IF(S595="","",IF(IFERROR(SEARCH("select",S595)&gt;0,0),IF(U595="",IF(MID(S595,SEARCH(H595,S595)-4,1)=" ",MID(S595,SEARCH(H595,S595)-2,LEN(O604)+2),MID(S595,SEARCH(H595,S595)-3,LEN(H595)+3)),U595&amp;"."&amp;H595),S595))</f>
        <v>case when s.dw_fromdate &gt;= 20200801 then 'N/A' else ISNULL(cast(UOA2014.label as varchar), 'Unknown') end</v>
      </c>
      <c r="AC595" s="28" t="str">
        <f t="shared" si="87"/>
        <v xml:space="preserve"> </v>
      </c>
      <c r="AD595" s="28" t="str">
        <f t="shared" si="88"/>
        <v/>
      </c>
      <c r="AE595" t="str">
        <f t="shared" si="89"/>
        <v>[REF unit of assessment]</v>
      </c>
    </row>
    <row r="596" spans="1:31" ht="43.5" customHeight="1" x14ac:dyDescent="0.25">
      <c r="A596">
        <v>100835</v>
      </c>
      <c r="B596" s="11" t="str">
        <f>DataItems3[[#This Row],[Field]]&amp;IF(DataItems3[[#This Row],[Options for supplying the Field]]="",""," "&amp;DataItems3[[#This Row],[Options for supplying the Field]])</f>
        <v>REF unit of assessment [UOA2021] (2018/19 onwards)</v>
      </c>
      <c r="C596">
        <v>100835</v>
      </c>
      <c r="D596" s="3" t="s">
        <v>86</v>
      </c>
      <c r="F596" s="3" t="s">
        <v>2109</v>
      </c>
      <c r="G596" s="13" t="s">
        <v>2115</v>
      </c>
      <c r="H596" s="14" t="s">
        <v>2116</v>
      </c>
      <c r="J596" s="3">
        <v>1</v>
      </c>
      <c r="K596" s="17">
        <v>2</v>
      </c>
      <c r="L596" s="3">
        <v>0</v>
      </c>
      <c r="M596" s="3">
        <v>0</v>
      </c>
      <c r="P596" s="17"/>
      <c r="Q596" s="65" t="s">
        <v>2117</v>
      </c>
      <c r="S596" s="65" t="s">
        <v>2118</v>
      </c>
      <c r="T596" s="26"/>
      <c r="U596" s="3" t="s">
        <v>2119</v>
      </c>
      <c r="W596" s="57" t="s">
        <v>114</v>
      </c>
      <c r="X596" t="str">
        <f>DataItems3[[#This Row],[Collection]]&amp;DataItems3[[#This Row],[Field]]&amp;DataItems3[[#This Row],[Options for supplying the Field]]&amp;DataItems3[[#This Row],[Fieldname]]&amp;DataItems3[[#This Row],[Parent]]</f>
        <v>StudentREF unit of assessment[UOA2021] (2018/19 onwards)F_UOA2021</v>
      </c>
      <c r="Y596" s="4">
        <v>44481</v>
      </c>
      <c r="Z596" t="s">
        <v>135</v>
      </c>
      <c r="AA596" s="28" t="str">
        <f t="shared" si="86"/>
        <v xml:space="preserve">case when s.dw_fromdate &gt;= 20180801 then ISNULL(cast(r.F_UOA2021 as varchar), 'Unknown') else 'N/A' end </v>
      </c>
      <c r="AB596" s="28" t="str">
        <f>IF(S596="","",IF(IFERROR(SEARCH("select",S596)&gt;0,0),IF(U596="",IF(MID(S596,SEARCH(H596,S596)-4,1)=" ",MID(S596,SEARCH(H596,S596)-2,LEN(O605)+2),MID(S596,SEARCH(H596,S596)-3,LEN(H596)+3)),U596&amp;"."&amp;H596),S596))</f>
        <v xml:space="preserve">case when s.dw_fromdate &gt;= 20180801 then ISNULL(cast(UOA2021.label as varchar), 'Unknown') else 'N/A' end </v>
      </c>
      <c r="AC596" s="28" t="str">
        <f t="shared" si="87"/>
        <v/>
      </c>
      <c r="AD596" s="28" t="str">
        <f t="shared" si="88"/>
        <v/>
      </c>
      <c r="AE596" t="str">
        <f t="shared" si="89"/>
        <v>[REF unit of assessment]</v>
      </c>
    </row>
    <row r="597" spans="1:31" ht="48" x14ac:dyDescent="0.2">
      <c r="A597">
        <v>100477</v>
      </c>
      <c r="B597" s="11" t="str">
        <f>DataItems3[[#This Row],[Field]]&amp;IF(DataItems3[[#This Row],[Options for supplying the Field]]="",""," "&amp;DataItems3[[#This Row],[Options for supplying the Field]])</f>
        <v>REF unit of assessment (Staff) [REFUOA2021] - 2018/19 and 2019/20 only</v>
      </c>
      <c r="C597">
        <v>100477</v>
      </c>
      <c r="D597" s="3" t="s">
        <v>100</v>
      </c>
      <c r="F597" s="3" t="s">
        <v>2120</v>
      </c>
      <c r="G597" s="13" t="s">
        <v>2121</v>
      </c>
      <c r="H597" s="14" t="s">
        <v>2122</v>
      </c>
      <c r="J597" s="3">
        <v>2</v>
      </c>
      <c r="K597" s="17">
        <v>5</v>
      </c>
      <c r="L597" s="3">
        <v>0</v>
      </c>
      <c r="M597" s="3">
        <v>0</v>
      </c>
      <c r="P597" s="17"/>
      <c r="Q597" s="16" t="s">
        <v>2123</v>
      </c>
      <c r="R597" s="3" t="s">
        <v>93</v>
      </c>
      <c r="S597" s="16" t="s">
        <v>2123</v>
      </c>
      <c r="U597" s="3" t="s">
        <v>93</v>
      </c>
      <c r="V597" s="3" t="s">
        <v>93</v>
      </c>
      <c r="W597" s="57" t="s">
        <v>2661</v>
      </c>
      <c r="X597" t="str">
        <f>DataItems3[[#This Row],[Collection]]&amp;DataItems3[[#This Row],[Field]]&amp;DataItems3[[#This Row],[Options for supplying the Field]]&amp;DataItems3[[#This Row],[Fieldname]]&amp;DataItems3[[#This Row],[Parent]]</f>
        <v>StaffREF unit of assessment (Staff)[REFUOA2021] - 2018/19 and 2019/20 onlyF_REFUOA2021</v>
      </c>
      <c r="Y597" s="15">
        <v>43684</v>
      </c>
      <c r="Z597" t="s">
        <v>95</v>
      </c>
      <c r="AA597" s="28" t="str">
        <f t="shared" si="86"/>
        <v>CASE WHEN p.dw_fromdate IN (20180801, 20190801) THEN p.F_UOA ELSE 'Not applicable' END</v>
      </c>
      <c r="AB597" s="28" t="str">
        <f>IF(S597="","",IF(IFERROR(SEARCH("select",S597)&gt;0,0),IF(U597="",IF(MID(S597,SEARCH(H597,S597)-4,1)=" ",MID(S597,SEARCH(H597,S597)-2,LEN(O606)+2),MID(S597,SEARCH(H597,S597)-3,LEN(H597)+3)),U597&amp;"."&amp;H597),S597))</f>
        <v>CASE WHEN p.dw_fromdate IN (20180801, 20190801) THEN p.F_UOA ELSE 'Not applicable' END</v>
      </c>
      <c r="AC597" s="28" t="str">
        <f t="shared" si="87"/>
        <v/>
      </c>
      <c r="AD597" s="28" t="str">
        <f t="shared" si="88"/>
        <v/>
      </c>
      <c r="AE597" t="str">
        <f t="shared" si="89"/>
        <v>[REF unit of assessment (Staff)]</v>
      </c>
    </row>
    <row r="598" spans="1:31" ht="16" x14ac:dyDescent="0.2">
      <c r="A598">
        <v>100926</v>
      </c>
      <c r="B598" s="29" t="str">
        <f>DataItems3[[#This Row],[Field]]&amp;IF(DataItems3[[#This Row],[Options for supplying the Field]]="",""," "&amp;DataItems3[[#This Row],[Options for supplying the Field]])</f>
        <v>Reference Year (DF)</v>
      </c>
      <c r="C598">
        <v>100926</v>
      </c>
      <c r="D598" s="3" t="s">
        <v>2992</v>
      </c>
      <c r="F598" s="3" t="s">
        <v>3182</v>
      </c>
      <c r="G598" s="13" t="s">
        <v>2994</v>
      </c>
      <c r="H598" s="13" t="s">
        <v>137</v>
      </c>
      <c r="I598" s="13"/>
      <c r="J598" s="13"/>
      <c r="Q598" s="3" t="s">
        <v>3183</v>
      </c>
      <c r="R598" s="16"/>
      <c r="S598" s="3" t="s">
        <v>3183</v>
      </c>
      <c r="T598" s="16"/>
      <c r="W598" s="59" t="s">
        <v>587</v>
      </c>
      <c r="X598" t="str">
        <f>DataItems3[[#This Row],[Collection]]&amp;DataItems3[[#This Row],[Field]]&amp;DataItems3[[#This Row],[Options for supplying the Field]]&amp;DataItems3[[#This Row],[Fieldname]]&amp;DataItems3[[#This Row],[Parent]]</f>
        <v>Data FuturesReference Year(DF)ACYEAR</v>
      </c>
      <c r="Y598" s="15">
        <v>45015</v>
      </c>
      <c r="Z598" t="s">
        <v>2997</v>
      </c>
      <c r="AA598" s="28" t="str">
        <f t="shared" si="86"/>
        <v>df.dw_fromdate</v>
      </c>
      <c r="AB598" s="28" t="str">
        <f>IF(S598="","",IF(IFERROR(SEARCH("select",S598)&gt;0,0),IF(W598="",IF(MID(S598,SEARCH(H598,S598)-4,1)=" ",MID(S598,SEARCH(H598,S598)-2,LEN(O607)+2),MID(S598,SEARCH(H598,S598)-3,LEN(H598)+3)),W598&amp;"."&amp;H598),S598))</f>
        <v>df.dw_fromdate</v>
      </c>
      <c r="AC598" s="28" t="str">
        <f t="shared" si="87"/>
        <v/>
      </c>
      <c r="AD598" s="28" t="str">
        <f t="shared" si="88"/>
        <v/>
      </c>
      <c r="AE598" t="str">
        <f t="shared" si="89"/>
        <v>[Reference Year]</v>
      </c>
    </row>
    <row r="599" spans="1:31" ht="15" customHeight="1" x14ac:dyDescent="0.2">
      <c r="A599">
        <v>100480</v>
      </c>
      <c r="B599" s="11" t="str">
        <f>DataItems3[[#This Row],[Field]]&amp;IF(DataItems3[[#This Row],[Options for supplying the Field]]="",""," "&amp;DataItems3[[#This Row],[Options for supplying the Field]])</f>
        <v>Region of HE provider (Staff)⁽¹⁾</v>
      </c>
      <c r="C599">
        <v>100480</v>
      </c>
      <c r="D599" s="3" t="s">
        <v>100</v>
      </c>
      <c r="F599" s="3" t="str">
        <f>"Region of HE provider (Staff)"&amp;"⁽"&amp;CHAR(185)&amp;"⁾"</f>
        <v>Region of HE provider (Staff)⁽¹⁾</v>
      </c>
      <c r="G599" s="13"/>
      <c r="H599" s="14" t="s">
        <v>2124</v>
      </c>
      <c r="J599" s="3">
        <v>1</v>
      </c>
      <c r="K599" s="17">
        <v>3</v>
      </c>
      <c r="L599" s="3">
        <v>0</v>
      </c>
      <c r="M599" s="3">
        <v>0</v>
      </c>
      <c r="P599" s="17"/>
      <c r="Q599" s="16" t="s">
        <v>2125</v>
      </c>
      <c r="R599" s="3" t="s">
        <v>93</v>
      </c>
      <c r="S599" s="16" t="s">
        <v>2126</v>
      </c>
      <c r="U599" s="3" t="s">
        <v>93</v>
      </c>
      <c r="V599" s="3" t="s">
        <v>93</v>
      </c>
      <c r="W599" s="57" t="s">
        <v>2362</v>
      </c>
      <c r="X599" t="str">
        <f>DataItems3[[#This Row],[Collection]]&amp;DataItems3[[#This Row],[Field]]&amp;DataItems3[[#This Row],[Options for supplying the Field]]&amp;DataItems3[[#This Row],[Fieldname]]&amp;DataItems3[[#This Row],[Parent]]</f>
        <v>StaffRegion of HE provider (Staff)⁽¹⁾F_XINSTG01</v>
      </c>
      <c r="Y599" s="15">
        <v>43684</v>
      </c>
      <c r="Z599" t="s">
        <v>95</v>
      </c>
      <c r="AA599" s="28" t="str">
        <f t="shared" si="86"/>
        <v>p.F_XINSTG01</v>
      </c>
      <c r="AB599" s="28" t="str">
        <f t="shared" ref="AB599:AB610" si="91">IF(S599="","",IF(IFERROR(SEARCH("select",S599)&gt;0,0),IF(U599="",IF(MID(S599,SEARCH(H599,S599)-4,1)=" ",MID(S599,SEARCH(H599,S599)-2,LEN(O608)+2),MID(S599,SEARCH(H599,S599)-3,LEN(H599)+3)),U599&amp;"."&amp;H599),S599))</f>
        <v xml:space="preserve"> p.F_XINSTG01</v>
      </c>
      <c r="AC599" s="28" t="str">
        <f t="shared" si="87"/>
        <v/>
      </c>
      <c r="AD599" s="28" t="str">
        <f t="shared" si="88"/>
        <v/>
      </c>
      <c r="AE599" t="str">
        <f t="shared" si="89"/>
        <v>[Region of HE provider (Staff)]</v>
      </c>
    </row>
    <row r="600" spans="1:31" ht="15" customHeight="1" x14ac:dyDescent="0.2">
      <c r="A600">
        <v>100478</v>
      </c>
      <c r="B600" s="11" t="str">
        <f>DataItems3[[#This Row],[Field]]&amp;IF(DataItems3[[#This Row],[Options for supplying the Field]]="",""," "&amp;DataItems3[[#This Row],[Options for supplying the Field]])</f>
        <v>Region of HE provider⁽¹⁾ (OU split to home countries)</v>
      </c>
      <c r="C600">
        <v>100478</v>
      </c>
      <c r="D600" s="3" t="s">
        <v>86</v>
      </c>
      <c r="E600" s="3" t="s">
        <v>89</v>
      </c>
      <c r="F600" s="3" t="str">
        <f>"Region of HE provider"&amp;"⁽"&amp;CHAR(185)&amp;"⁾"</f>
        <v>Region of HE provider⁽¹⁾</v>
      </c>
      <c r="G600" s="13" t="s">
        <v>2127</v>
      </c>
      <c r="H600" s="14" t="s">
        <v>2124</v>
      </c>
      <c r="J600" s="3">
        <v>1</v>
      </c>
      <c r="K600" s="17">
        <v>3</v>
      </c>
      <c r="L600" s="3">
        <v>0</v>
      </c>
      <c r="M600" s="3">
        <v>0</v>
      </c>
      <c r="N600" s="3" t="s">
        <v>2128</v>
      </c>
      <c r="P600" s="17"/>
      <c r="Q600" s="16" t="s">
        <v>2129</v>
      </c>
      <c r="R600" s="14" t="s">
        <v>3000</v>
      </c>
      <c r="S600" s="16" t="s">
        <v>2130</v>
      </c>
      <c r="T600" s="14" t="s">
        <v>3000</v>
      </c>
      <c r="U600" s="3" t="s">
        <v>2131</v>
      </c>
      <c r="V600" s="3" t="s">
        <v>93</v>
      </c>
      <c r="W600" s="57" t="s">
        <v>997</v>
      </c>
      <c r="X600" t="str">
        <f>DataItems3[[#This Row],[Collection]]&amp;DataItems3[[#This Row],[Field]]&amp;DataItems3[[#This Row],[Options for supplying the Field]]&amp;DataItems3[[#This Row],[Fieldname]]&amp;DataItems3[[#This Row],[Parent]]</f>
        <v>StudentRegion of HE provider⁽¹⁾(OU split to home countries)F_XINSTG01</v>
      </c>
      <c r="Y600" s="15">
        <v>43438</v>
      </c>
      <c r="Z600" t="s">
        <v>95</v>
      </c>
      <c r="AA600" s="28" t="str">
        <f t="shared" si="86"/>
        <v>CASE WHEN s.F_XINSTID01 = '0001' THEN CASE WHEN s.F_CAMPID = 'S' THEN 'X' WHEN s.F_CAMPID = 'W' THEN 'W' WHEN s.F_CAMPID = 'N' THEN 'Y' WHEN s.F_CAMPID = 'A' THEN 'J' ELSE 'ERROR' END  ELSE s.F_XINSTG01 end</v>
      </c>
      <c r="AB600" s="28" t="str">
        <f t="shared" si="91"/>
        <v>CASE WHEN s.F_XINSTID01 = '0001' THEN CASE WHEN s.F_CAMPID = 'S' THEN 'Scotland' WHEN s.F_CAMPID = 'W' THEN 'Wales' WHEN s.F_CAMPID = 'N' THEN 'Northern Ireland' WHEN s.F_CAMPID = 'A' THEN 'South East' ELSE 'ERROR' END  ELSE XINSTG01.dw_currentlabel end</v>
      </c>
      <c r="AC600" s="28"/>
      <c r="AD600" s="28"/>
      <c r="AE600" t="str">
        <f t="shared" si="89"/>
        <v>[Region of HE provider]</v>
      </c>
    </row>
    <row r="601" spans="1:31" ht="16" x14ac:dyDescent="0.2">
      <c r="A601">
        <v>100479</v>
      </c>
      <c r="B601" s="11" t="str">
        <f>DataItems3[[#This Row],[Field]]&amp;IF(DataItems3[[#This Row],[Options for supplying the Field]]="",""," "&amp;DataItems3[[#This Row],[Options for supplying the Field]])</f>
        <v>Region of HE provider⁽¹⁾</v>
      </c>
      <c r="C601">
        <v>100479</v>
      </c>
      <c r="D601" s="3" t="s">
        <v>86</v>
      </c>
      <c r="E601" s="3" t="s">
        <v>106</v>
      </c>
      <c r="F601" s="3" t="str">
        <f>"Region of HE provider"&amp;"⁽"&amp;CHAR(185)&amp;"⁾"</f>
        <v>Region of HE provider⁽¹⁾</v>
      </c>
      <c r="G601" s="13"/>
      <c r="H601" s="14" t="s">
        <v>2124</v>
      </c>
      <c r="J601" s="3">
        <v>1</v>
      </c>
      <c r="K601" s="17">
        <v>3</v>
      </c>
      <c r="L601" s="3">
        <v>0</v>
      </c>
      <c r="M601" s="3">
        <v>0</v>
      </c>
      <c r="N601" s="3" t="s">
        <v>106</v>
      </c>
      <c r="P601" s="17"/>
      <c r="Q601" s="16" t="s">
        <v>2132</v>
      </c>
      <c r="R601" s="16" t="s">
        <v>2132</v>
      </c>
      <c r="S601" s="16" t="s">
        <v>2133</v>
      </c>
      <c r="T601" s="16" t="s">
        <v>2132</v>
      </c>
      <c r="U601" s="3" t="s">
        <v>93</v>
      </c>
      <c r="V601" s="3" t="s">
        <v>93</v>
      </c>
      <c r="W601" s="57" t="s">
        <v>109</v>
      </c>
      <c r="X601" t="str">
        <f>DataItems3[[#This Row],[Collection]]&amp;DataItems3[[#This Row],[Field]]&amp;DataItems3[[#This Row],[Options for supplying the Field]]&amp;DataItems3[[#This Row],[Fieldname]]&amp;DataItems3[[#This Row],[Parent]]</f>
        <v>StudentRegion of HE provider⁽¹⁾F_XINSTG01</v>
      </c>
      <c r="Y601" s="15">
        <v>43206</v>
      </c>
      <c r="Z601" t="s">
        <v>102</v>
      </c>
      <c r="AA601" s="28" t="str">
        <f t="shared" si="86"/>
        <v>s.F_XINSTG01</v>
      </c>
      <c r="AB601" s="28" t="str">
        <f t="shared" si="91"/>
        <v xml:space="preserve"> s.F_XINSTG01</v>
      </c>
      <c r="AC601" s="28" t="str">
        <f t="shared" ref="AC601:AC664" si="92">IF(R601="","",R601)</f>
        <v>s.F_XINSTG01</v>
      </c>
      <c r="AD601" s="28" t="str">
        <f t="shared" ref="AD601:AD632" si="93">IF(T601="","",IF(IFERROR(SEARCH("select",T601)&gt;0,0),IF(U601="",IF(MID(T601,SEARCH(H601,T601)-4,1)=" ",MID(T601,SEARCH(H601,T601)-2,LEN(O610)+2),MID(T601,SEARCH(H601,T601)-3,LEN(H601)+3)),U601&amp;"."&amp;H601),T601))</f>
        <v>s.F_XINSTG01</v>
      </c>
      <c r="AE601" t="str">
        <f t="shared" si="89"/>
        <v>[Region of HE provider]</v>
      </c>
    </row>
    <row r="602" spans="1:31" ht="16.5" customHeight="1" x14ac:dyDescent="0.2">
      <c r="A602">
        <v>100481</v>
      </c>
      <c r="B602" s="11" t="str">
        <f>DataItems3[[#This Row],[Field]]&amp;IF(DataItems3[[#This Row],[Options for supplying the Field]]="",""," "&amp;DataItems3[[#This Row],[Options for supplying the Field]])</f>
        <v>Regional incomers marker (Graduates who go to work in a region in which they neither studied nor were domiciled)</v>
      </c>
      <c r="C602">
        <v>100481</v>
      </c>
      <c r="D602" s="3" t="s">
        <v>86</v>
      </c>
      <c r="F602" s="3" t="s">
        <v>2134</v>
      </c>
      <c r="G602" s="13" t="s">
        <v>2135</v>
      </c>
      <c r="H602" s="14" t="s">
        <v>2136</v>
      </c>
      <c r="J602" s="3">
        <v>3</v>
      </c>
      <c r="K602" s="3">
        <v>3</v>
      </c>
      <c r="L602" s="3">
        <v>0</v>
      </c>
      <c r="M602" s="3">
        <v>0</v>
      </c>
      <c r="N602" s="3" t="s">
        <v>89</v>
      </c>
      <c r="Q602" s="16" t="s">
        <v>2137</v>
      </c>
      <c r="R602" s="3" t="s">
        <v>91</v>
      </c>
      <c r="S602" s="16" t="s">
        <v>2137</v>
      </c>
      <c r="U602" s="3" t="s">
        <v>2138</v>
      </c>
      <c r="V602" s="3" t="s">
        <v>93</v>
      </c>
      <c r="W602" s="57" t="s">
        <v>94</v>
      </c>
      <c r="X602" t="str">
        <f>DataItems3[[#This Row],[Collection]]&amp;DataItems3[[#This Row],[Field]]&amp;DataItems3[[#This Row],[Options for supplying the Field]]&amp;DataItems3[[#This Row],[Fieldname]]&amp;DataItems3[[#This Row],[Parent]]</f>
        <v>StudentRegional incomers marker(Graduates who go to work in a region in which they neither studied nor were domiciled)F_REG_INC</v>
      </c>
      <c r="Y602" s="15">
        <v>43909</v>
      </c>
      <c r="Z602" t="s">
        <v>159</v>
      </c>
      <c r="AA602" s="28" t="str">
        <f t="shared" si="86"/>
        <v>CASE  WHEN gd.F_XWRKLOCN IN ('NA','NR','07','08','09') THEN 'Non-UK'  WHEN s.F_XDOMGR01 = 'XK' OR gd.F_XWRKLOCN='06' OR gd.F_XWRKLOCN='99' THEN 'Unknown' WHEN gd.F_XWRKLOCN&lt;&gt;s.F_XINSTG01 AND s.F_XDOMGR01&lt;&gt;gd.F_XWRKLOCN THEN '1' ELSE '0' END</v>
      </c>
      <c r="AB602" s="28" t="str">
        <f t="shared" si="91"/>
        <v>CASE  WHEN gd.F_XWRKLOCN IN ('NA','NR','07','08','09') THEN 'Non-UK'  WHEN s.F_XDOMGR01 = 'XK' OR gd.F_XWRKLOCN='06' OR gd.F_XWRKLOCN='99' THEN 'Unknown' WHEN gd.F_XWRKLOCN&lt;&gt;s.F_XINSTG01 AND s.F_XDOMGR01&lt;&gt;gd.F_XWRKLOCN THEN '1' ELSE '0' END</v>
      </c>
      <c r="AC602" s="28" t="str">
        <f t="shared" si="92"/>
        <v xml:space="preserve"> </v>
      </c>
      <c r="AD602" s="28" t="str">
        <f t="shared" si="93"/>
        <v/>
      </c>
      <c r="AE602" t="str">
        <f t="shared" si="89"/>
        <v>[Regional incomers marker]</v>
      </c>
    </row>
    <row r="603" spans="1:31" ht="80" x14ac:dyDescent="0.2">
      <c r="A603">
        <v>100482</v>
      </c>
      <c r="B603" s="11" t="str">
        <f>DataItems3[[#This Row],[Field]]&amp;IF(DataItems3[[#This Row],[Options for supplying the Field]]="",""," "&amp;DataItems3[[#This Row],[Options for supplying the Field]])</f>
        <v>Regional loyals marker (Graduates who are domiciled in a region, went to study in the region, and remained to work in that region)</v>
      </c>
      <c r="C603">
        <v>100482</v>
      </c>
      <c r="D603" s="3" t="s">
        <v>86</v>
      </c>
      <c r="F603" s="3" t="s">
        <v>2139</v>
      </c>
      <c r="G603" s="13" t="s">
        <v>2140</v>
      </c>
      <c r="H603" s="14" t="s">
        <v>2141</v>
      </c>
      <c r="J603" s="3">
        <v>3</v>
      </c>
      <c r="K603" s="3">
        <v>3</v>
      </c>
      <c r="L603" s="3">
        <v>0</v>
      </c>
      <c r="M603" s="3">
        <v>0</v>
      </c>
      <c r="N603" s="3" t="s">
        <v>89</v>
      </c>
      <c r="Q603" s="16" t="s">
        <v>2142</v>
      </c>
      <c r="R603" s="3" t="s">
        <v>91</v>
      </c>
      <c r="S603" s="16" t="s">
        <v>2142</v>
      </c>
      <c r="U603" s="3" t="s">
        <v>2138</v>
      </c>
      <c r="V603" s="3" t="s">
        <v>93</v>
      </c>
      <c r="W603" s="57" t="s">
        <v>94</v>
      </c>
      <c r="X603" t="str">
        <f>DataItems3[[#This Row],[Collection]]&amp;DataItems3[[#This Row],[Field]]&amp;DataItems3[[#This Row],[Options for supplying the Field]]&amp;DataItems3[[#This Row],[Fieldname]]&amp;DataItems3[[#This Row],[Parent]]</f>
        <v>StudentRegional loyals marker(Graduates who are domiciled in a region, went to study in the region, and remained to work in that region)F_REG_LOYAL</v>
      </c>
      <c r="Y603" s="15">
        <v>43909</v>
      </c>
      <c r="Z603" t="s">
        <v>159</v>
      </c>
      <c r="AA603" s="28" t="str">
        <f t="shared" si="86"/>
        <v>CASE  WHEN gd.F_XWRKLOCN IN ('NA','NR','07','08','09') THEN 'Non-UK'  WHEN s.F_XDOMGR01 = 'XK' OR gd.F_XWRKLOCN='06' OR gd.F_XWRKLOCN='99' THEN 'Unknown' WHEN s.F_XDOMGR01=s.F_XINSTG01         AND s.F_XDOMGR01=gd.F_XWRKLOCN THEN '1'  ELSE '0' END</v>
      </c>
      <c r="AB603" s="28" t="str">
        <f t="shared" si="91"/>
        <v>CASE  WHEN gd.F_XWRKLOCN IN ('NA','NR','07','08','09') THEN 'Non-UK'  WHEN s.F_XDOMGR01 = 'XK' OR gd.F_XWRKLOCN='06' OR gd.F_XWRKLOCN='99' THEN 'Unknown' WHEN s.F_XDOMGR01=s.F_XINSTG01         AND s.F_XDOMGR01=gd.F_XWRKLOCN THEN '1'  ELSE '0' END</v>
      </c>
      <c r="AC603" s="28" t="str">
        <f t="shared" si="92"/>
        <v xml:space="preserve"> </v>
      </c>
      <c r="AD603" s="28" t="str">
        <f t="shared" si="93"/>
        <v/>
      </c>
      <c r="AE603" t="str">
        <f t="shared" si="89"/>
        <v>[Regional loyals marker]</v>
      </c>
    </row>
    <row r="604" spans="1:31" ht="96" x14ac:dyDescent="0.2">
      <c r="A604">
        <v>100483</v>
      </c>
      <c r="B604" s="11" t="str">
        <f>DataItems3[[#This Row],[Field]]&amp;IF(DataItems3[[#This Row],[Options for supplying the Field]]="",""," "&amp;DataItems3[[#This Row],[Options for supplying the Field]])</f>
        <v>Regional returners marker (Graduates domiciled in a region, who go elsewhere to study, and then return to their home region for employment)</v>
      </c>
      <c r="C604">
        <v>100483</v>
      </c>
      <c r="D604" s="3" t="s">
        <v>86</v>
      </c>
      <c r="F604" s="3" t="s">
        <v>2143</v>
      </c>
      <c r="G604" s="13" t="s">
        <v>2144</v>
      </c>
      <c r="H604" s="14" t="s">
        <v>2145</v>
      </c>
      <c r="J604" s="3">
        <v>3</v>
      </c>
      <c r="K604" s="3">
        <v>3</v>
      </c>
      <c r="L604" s="3">
        <v>0</v>
      </c>
      <c r="M604" s="3">
        <v>0</v>
      </c>
      <c r="N604" s="3" t="s">
        <v>89</v>
      </c>
      <c r="Q604" s="16" t="s">
        <v>2146</v>
      </c>
      <c r="R604" s="3" t="s">
        <v>91</v>
      </c>
      <c r="S604" s="16" t="s">
        <v>2146</v>
      </c>
      <c r="U604" s="3" t="s">
        <v>2138</v>
      </c>
      <c r="V604" s="3" t="s">
        <v>93</v>
      </c>
      <c r="W604" s="57" t="s">
        <v>94</v>
      </c>
      <c r="X604" t="str">
        <f>DataItems3[[#This Row],[Collection]]&amp;DataItems3[[#This Row],[Field]]&amp;DataItems3[[#This Row],[Options for supplying the Field]]&amp;DataItems3[[#This Row],[Fieldname]]&amp;DataItems3[[#This Row],[Parent]]</f>
        <v>StudentRegional returners marker(Graduates domiciled in a region, who go elsewhere to study, and then return to their home region for employment)F_REG_RET</v>
      </c>
      <c r="Y604" s="15">
        <v>43909</v>
      </c>
      <c r="Z604" t="s">
        <v>159</v>
      </c>
      <c r="AA604" s="28" t="str">
        <f t="shared" si="86"/>
        <v>CASE WHEN gd.F_XWRKLOCN IN ('NA','NR','07','08','09') THEN 'Non-UK'  WHEN s.F_XDOMGR01 = 'XK' OR gd.F_XWRKLOCN='06' OR gd.F_XWRKLOCN='99' THEN 'Unknown'  WHEN s.F_XDOMGR01&lt;&gt;s.F_XINSTG01                                           AND s.F_XDOMGR01=gd.F_XWRKLOCN THEN '1'  ELSE '0' END</v>
      </c>
      <c r="AB604" s="28" t="str">
        <f t="shared" si="91"/>
        <v>CASE WHEN gd.F_XWRKLOCN IN ('NA','NR','07','08','09') THEN 'Non-UK'  WHEN s.F_XDOMGR01 = 'XK' OR gd.F_XWRKLOCN='06' OR gd.F_XWRKLOCN='99' THEN 'Unknown'  WHEN s.F_XDOMGR01&lt;&gt;s.F_XINSTG01                                           AND s.F_XDOMGR01=gd.F_XWRKLOCN THEN '1'  ELSE '0' END</v>
      </c>
      <c r="AC604" s="28" t="str">
        <f t="shared" si="92"/>
        <v xml:space="preserve"> </v>
      </c>
      <c r="AD604" s="28" t="str">
        <f t="shared" si="93"/>
        <v/>
      </c>
      <c r="AE604" t="str">
        <f t="shared" si="89"/>
        <v>[Regional returners marker]</v>
      </c>
    </row>
    <row r="605" spans="1:31" ht="80" x14ac:dyDescent="0.2">
      <c r="A605">
        <v>100484</v>
      </c>
      <c r="B605" s="11" t="str">
        <f>DataItems3[[#This Row],[Field]]&amp;IF(DataItems3[[#This Row],[Options for supplying the Field]]="",""," "&amp;DataItems3[[#This Row],[Options for supplying the Field]])</f>
        <v>Regional stayers marker (Graduates who travel away from their home region to study, and then stay in that region to work)</v>
      </c>
      <c r="C605">
        <v>100484</v>
      </c>
      <c r="D605" s="3" t="s">
        <v>86</v>
      </c>
      <c r="F605" s="3" t="s">
        <v>2147</v>
      </c>
      <c r="G605" s="13" t="s">
        <v>2148</v>
      </c>
      <c r="H605" s="14" t="s">
        <v>2149</v>
      </c>
      <c r="J605" s="3">
        <v>3</v>
      </c>
      <c r="K605" s="3">
        <v>3</v>
      </c>
      <c r="L605" s="3">
        <v>0</v>
      </c>
      <c r="M605" s="3">
        <v>0</v>
      </c>
      <c r="N605" s="3" t="s">
        <v>89</v>
      </c>
      <c r="Q605" s="16" t="s">
        <v>2150</v>
      </c>
      <c r="R605" s="3" t="s">
        <v>91</v>
      </c>
      <c r="S605" s="16" t="s">
        <v>2150</v>
      </c>
      <c r="U605" s="3" t="s">
        <v>2138</v>
      </c>
      <c r="V605" s="3" t="s">
        <v>93</v>
      </c>
      <c r="W605" s="57" t="s">
        <v>94</v>
      </c>
      <c r="X605" t="str">
        <f>DataItems3[[#This Row],[Collection]]&amp;DataItems3[[#This Row],[Field]]&amp;DataItems3[[#This Row],[Options for supplying the Field]]&amp;DataItems3[[#This Row],[Fieldname]]&amp;DataItems3[[#This Row],[Parent]]</f>
        <v>StudentRegional stayers marker(Graduates who travel away from their home region to study, and then stay in that region to work)F_REG_STAY</v>
      </c>
      <c r="Y605" s="15">
        <v>43909</v>
      </c>
      <c r="Z605" t="s">
        <v>159</v>
      </c>
      <c r="AA605" s="28" t="str">
        <f t="shared" si="86"/>
        <v>CASE  WHEN gd.F_XWRKLOCN IN ('NA','NR','07','08','09') THEN 'Non-UK' WHEN s.F_XDOMGR01 = 'XK' OR gd.F_XWRKLOCN='06' OR gd.F_XWRKLOCN='99' THEN 'Unknown'  WHEN s.F_XDOMGR01&lt;&gt;s.F_XINSTG01                                             AND s.F_XINSTG01=gd.F_XWRKLOCN THEN '1'  ELSE '0' END</v>
      </c>
      <c r="AB605" s="28" t="str">
        <f t="shared" si="91"/>
        <v>CASE  WHEN gd.F_XWRKLOCN IN ('NA','NR','07','08','09') THEN 'Non-UK' WHEN s.F_XDOMGR01 = 'XK' OR gd.F_XWRKLOCN='06' OR gd.F_XWRKLOCN='99' THEN 'Unknown'  WHEN s.F_XDOMGR01&lt;&gt;s.F_XINSTG01                                             AND s.F_XINSTG01=gd.F_XWRKLOCN THEN '1'  ELSE '0' END</v>
      </c>
      <c r="AC605" s="28" t="str">
        <f t="shared" si="92"/>
        <v xml:space="preserve"> </v>
      </c>
      <c r="AD605" s="28" t="str">
        <f t="shared" si="93"/>
        <v/>
      </c>
      <c r="AE605" t="str">
        <f t="shared" si="89"/>
        <v>[Regional stayers marker]</v>
      </c>
    </row>
    <row r="606" spans="1:31" ht="16" x14ac:dyDescent="0.2">
      <c r="A606">
        <v>100848</v>
      </c>
      <c r="B606" s="11" t="str">
        <f>DataItems3[[#This Row],[Field]]&amp;IF(DataItems3[[#This Row],[Options for supplying the Field]]="",""," "&amp;DataItems3[[#This Row],[Options for supplying the Field]])</f>
        <v>Registration marker</v>
      </c>
      <c r="C606">
        <v>100848</v>
      </c>
      <c r="D606" s="3" t="s">
        <v>86</v>
      </c>
      <c r="F606" s="3" t="s">
        <v>2151</v>
      </c>
      <c r="G606" s="13"/>
      <c r="H606" s="14" t="s">
        <v>2152</v>
      </c>
      <c r="J606" s="3">
        <v>2</v>
      </c>
      <c r="K606" s="3">
        <v>1</v>
      </c>
      <c r="L606" s="3">
        <v>0</v>
      </c>
      <c r="M606" s="3">
        <v>0</v>
      </c>
      <c r="Q606" s="16" t="s">
        <v>2153</v>
      </c>
      <c r="S606" s="16" t="s">
        <v>2153</v>
      </c>
      <c r="W606" s="57" t="s">
        <v>848</v>
      </c>
      <c r="X606" t="str">
        <f>DataItems3[[#This Row],[Collection]]&amp;DataItems3[[#This Row],[Field]]&amp;DataItems3[[#This Row],[Options for supplying the Field]]&amp;DataItems3[[#This Row],[Fieldname]]&amp;DataItems3[[#This Row],[Parent]]</f>
        <v>StudentRegistration markerF_DESIG</v>
      </c>
      <c r="Y606" s="4">
        <v>44617</v>
      </c>
      <c r="Z606" t="s">
        <v>99</v>
      </c>
      <c r="AA606" s="28" t="str">
        <f t="shared" si="86"/>
        <v>CASE WHEN s.dw_fromdate &lt; 20190801 THEN 'Not applicable' WHEN s.f_XDESIG03 IN ('01','02') THEN 'Registration' ELSE 'Not registration' end</v>
      </c>
      <c r="AB606" s="28" t="str">
        <f t="shared" si="91"/>
        <v>CASE WHEN s.dw_fromdate &lt; 20190801 THEN 'Not applicable' WHEN s.f_XDESIG03 IN ('01','02') THEN 'Registration' ELSE 'Not registration' end</v>
      </c>
      <c r="AC606" s="28" t="str">
        <f t="shared" si="92"/>
        <v/>
      </c>
      <c r="AD606" s="28" t="str">
        <f t="shared" si="93"/>
        <v/>
      </c>
      <c r="AE606" t="str">
        <f t="shared" si="89"/>
        <v>[Registration marker]</v>
      </c>
    </row>
    <row r="607" spans="1:31" ht="16" x14ac:dyDescent="0.2">
      <c r="A607">
        <v>100741</v>
      </c>
      <c r="B607" s="11" t="str">
        <f>DataItems3[[#This Row],[Field]]&amp;IF(DataItems3[[#This Row],[Options for supplying the Field]]="",""," "&amp;DataItems3[[#This Row],[Options for supplying the Field]])</f>
        <v>Regulatory body  1</v>
      </c>
      <c r="C607">
        <v>100741</v>
      </c>
      <c r="D607" s="3" t="s">
        <v>100</v>
      </c>
      <c r="F607" s="3" t="s">
        <v>2154</v>
      </c>
      <c r="G607" s="13"/>
      <c r="H607" s="14" t="s">
        <v>2155</v>
      </c>
      <c r="J607" s="3">
        <v>2</v>
      </c>
      <c r="K607" s="17">
        <v>2</v>
      </c>
      <c r="L607" s="3">
        <v>0</v>
      </c>
      <c r="M607" s="3">
        <v>0</v>
      </c>
      <c r="Q607" s="16" t="s">
        <v>2156</v>
      </c>
      <c r="S607" s="16" t="s">
        <v>2157</v>
      </c>
      <c r="T607" s="16"/>
      <c r="U607" s="3" t="s">
        <v>93</v>
      </c>
      <c r="W607" s="57" t="s">
        <v>145</v>
      </c>
      <c r="X607" t="str">
        <f>DataItems3[[#This Row],[Collection]]&amp;DataItems3[[#This Row],[Field]]&amp;DataItems3[[#This Row],[Options for supplying the Field]]&amp;DataItems3[[#This Row],[Fieldname]]&amp;DataItems3[[#This Row],[Parent]]</f>
        <v>StaffRegulatory body  1F_REGBODY1</v>
      </c>
      <c r="Y607" s="4">
        <v>44168</v>
      </c>
      <c r="Z607" t="s">
        <v>135</v>
      </c>
      <c r="AA607" s="28" t="str">
        <f t="shared" si="86"/>
        <v xml:space="preserve">CASE WHEN P.F_REGBODY1 IN ('',' ') THEN 'UNK' WHEN p.F_REGBODY1 IS NULL then 'UNK' ELSE p.F_REGBODY1 END </v>
      </c>
      <c r="AB607" s="28" t="str">
        <f t="shared" si="91"/>
        <v xml:space="preserve"> p.f_regbody1</v>
      </c>
      <c r="AC607" s="28" t="str">
        <f t="shared" si="92"/>
        <v/>
      </c>
      <c r="AD607" s="28" t="str">
        <f t="shared" si="93"/>
        <v/>
      </c>
      <c r="AE607" t="str">
        <f t="shared" si="89"/>
        <v>[Regulatory body  1]</v>
      </c>
    </row>
    <row r="608" spans="1:31" ht="16" x14ac:dyDescent="0.2">
      <c r="A608">
        <v>100485</v>
      </c>
      <c r="B608" s="11" t="str">
        <f>DataItems3[[#This Row],[Field]]&amp;IF(DataItems3[[#This Row],[Options for supplying the Field]]="",""," "&amp;DataItems3[[#This Row],[Options for supplying the Field]])</f>
        <v>Regulatory body  2</v>
      </c>
      <c r="C608">
        <v>100485</v>
      </c>
      <c r="D608" s="3" t="s">
        <v>100</v>
      </c>
      <c r="F608" s="3" t="s">
        <v>2158</v>
      </c>
      <c r="G608" s="13"/>
      <c r="H608" s="14" t="s">
        <v>2159</v>
      </c>
      <c r="J608" s="3">
        <v>0</v>
      </c>
      <c r="K608" s="17">
        <v>0</v>
      </c>
      <c r="L608" s="3">
        <v>0</v>
      </c>
      <c r="M608" s="3">
        <v>0</v>
      </c>
      <c r="N608" s="3" t="s">
        <v>89</v>
      </c>
      <c r="P608" s="17"/>
      <c r="Q608" s="16" t="s">
        <v>2160</v>
      </c>
      <c r="S608" s="16" t="s">
        <v>2161</v>
      </c>
      <c r="U608" s="3" t="s">
        <v>93</v>
      </c>
      <c r="V608" s="3" t="s">
        <v>93</v>
      </c>
      <c r="W608" s="57" t="s">
        <v>145</v>
      </c>
      <c r="X608" t="str">
        <f>DataItems3[[#This Row],[Collection]]&amp;DataItems3[[#This Row],[Field]]&amp;DataItems3[[#This Row],[Options for supplying the Field]]&amp;DataItems3[[#This Row],[Fieldname]]&amp;DataItems3[[#This Row],[Parent]]</f>
        <v>StaffRegulatory body  2F_REGBODY2</v>
      </c>
      <c r="Y608" s="15">
        <v>43395</v>
      </c>
      <c r="Z608" t="s">
        <v>102</v>
      </c>
      <c r="AA608" s="28" t="str">
        <f t="shared" si="86"/>
        <v>CASE WHEN p.F_REGBODY2 IN ('',' ') THEN 'UNK' WHEN p.F_REGBODY2 IS NULL then 'UNK' ELSE p.F_REGBODY2 END</v>
      </c>
      <c r="AB608" s="28" t="str">
        <f t="shared" si="91"/>
        <v xml:space="preserve"> p.f_regbody2</v>
      </c>
      <c r="AC608" s="28" t="str">
        <f t="shared" si="92"/>
        <v/>
      </c>
      <c r="AD608" s="28" t="str">
        <f t="shared" si="93"/>
        <v/>
      </c>
      <c r="AE608" t="str">
        <f t="shared" si="89"/>
        <v>[Regulatory body  2]</v>
      </c>
    </row>
    <row r="609" spans="1:32" ht="16" x14ac:dyDescent="0.2">
      <c r="A609">
        <v>100673</v>
      </c>
      <c r="B609" s="11" t="str">
        <f>DataItems3[[#This Row],[Field]]&amp;IF(DataItems3[[#This Row],[Options for supplying the Field]]="",""," "&amp;DataItems3[[#This Row],[Options for supplying the Field]])</f>
        <v>Regulatory body for health and social care students 1</v>
      </c>
      <c r="C609">
        <v>100673</v>
      </c>
      <c r="D609" s="3" t="s">
        <v>86</v>
      </c>
      <c r="F609" s="3" t="s">
        <v>2162</v>
      </c>
      <c r="G609" s="13"/>
      <c r="H609" s="14" t="s">
        <v>2155</v>
      </c>
      <c r="J609" s="3">
        <v>1</v>
      </c>
      <c r="K609" s="17">
        <v>2</v>
      </c>
      <c r="L609" s="3">
        <v>0</v>
      </c>
      <c r="M609" s="3">
        <v>0</v>
      </c>
      <c r="P609" s="17"/>
      <c r="Q609" s="16" t="s">
        <v>2163</v>
      </c>
      <c r="S609" s="16" t="s">
        <v>2164</v>
      </c>
      <c r="U609" s="3" t="s">
        <v>2165</v>
      </c>
      <c r="W609" s="57" t="s">
        <v>150</v>
      </c>
      <c r="X609" t="str">
        <f>DataItems3[[#This Row],[Collection]]&amp;DataItems3[[#This Row],[Field]]&amp;DataItems3[[#This Row],[Options for supplying the Field]]&amp;DataItems3[[#This Row],[Fieldname]]&amp;DataItems3[[#This Row],[Parent]]</f>
        <v>StudentRegulatory body for health and social care students 1F_REGBODY1</v>
      </c>
      <c r="Y609" s="4">
        <v>44091</v>
      </c>
      <c r="Z609" t="s">
        <v>1200</v>
      </c>
      <c r="AA609" s="28" t="str">
        <f t="shared" si="86"/>
        <v>isnull(c.f_regbody,'-1')</v>
      </c>
      <c r="AB609" s="28" t="str">
        <f t="shared" si="91"/>
        <v>isnull(regbody.dw_currentlabel,'Unknown')</v>
      </c>
      <c r="AC609" s="28" t="str">
        <f t="shared" si="92"/>
        <v/>
      </c>
      <c r="AD609" s="28" t="str">
        <f t="shared" si="93"/>
        <v/>
      </c>
      <c r="AE609" t="str">
        <f t="shared" si="89"/>
        <v>[Regulatory body for health and social care students 1]</v>
      </c>
    </row>
    <row r="610" spans="1:32" ht="16" x14ac:dyDescent="0.2">
      <c r="A610">
        <v>100749</v>
      </c>
      <c r="B610" s="11" t="str">
        <f>DataItems3[[#This Row],[Field]]&amp;IF(DataItems3[[#This Row],[Options for supplying the Field]]="",""," "&amp;DataItems3[[#This Row],[Options for supplying the Field]])</f>
        <v>Regulatory body for health and social care students 2</v>
      </c>
      <c r="C610">
        <v>100749</v>
      </c>
      <c r="D610" s="3" t="s">
        <v>86</v>
      </c>
      <c r="F610" s="3" t="s">
        <v>2166</v>
      </c>
      <c r="G610" s="13"/>
      <c r="H610" s="14" t="s">
        <v>2159</v>
      </c>
      <c r="J610" s="3">
        <v>0</v>
      </c>
      <c r="K610" s="17">
        <v>0</v>
      </c>
      <c r="L610" s="3">
        <v>0</v>
      </c>
      <c r="M610" s="3">
        <v>0</v>
      </c>
      <c r="P610" s="17"/>
      <c r="Q610" s="16" t="s">
        <v>2167</v>
      </c>
      <c r="S610" s="16" t="s">
        <v>2168</v>
      </c>
      <c r="U610" s="3" t="s">
        <v>2165</v>
      </c>
      <c r="W610" s="57" t="s">
        <v>150</v>
      </c>
      <c r="X610" t="str">
        <f>DataItems3[[#This Row],[Collection]]&amp;DataItems3[[#This Row],[Field]]&amp;DataItems3[[#This Row],[Options for supplying the Field]]&amp;DataItems3[[#This Row],[Fieldname]]&amp;DataItems3[[#This Row],[Parent]]</f>
        <v>StudentRegulatory body for health and social care students 2F_REGBODY2</v>
      </c>
      <c r="Y610" s="4">
        <v>44179</v>
      </c>
      <c r="Z610" t="s">
        <v>135</v>
      </c>
      <c r="AA610" s="28" t="str">
        <f t="shared" ref="AA610:AA673" si="94">IF(Q610="","",Q610)</f>
        <v>isnull(c.f_regbody2,'-1')</v>
      </c>
      <c r="AB610" s="28" t="str">
        <f t="shared" si="91"/>
        <v>isnull(regbody2.dw_currentlabel,'Unknown')</v>
      </c>
      <c r="AC610" s="28" t="str">
        <f t="shared" si="92"/>
        <v/>
      </c>
      <c r="AD610" s="28" t="str">
        <f t="shared" si="93"/>
        <v/>
      </c>
      <c r="AE610" t="str">
        <f t="shared" si="89"/>
        <v>[Regulatory body for health and social care students 2]</v>
      </c>
    </row>
    <row r="611" spans="1:32" ht="16" x14ac:dyDescent="0.2">
      <c r="A611">
        <v>100927</v>
      </c>
      <c r="B611" s="29" t="str">
        <f>DataItems3[[#This Row],[Field]]&amp;IF(DataItems3[[#This Row],[Options for supplying the Field]]="",""," "&amp;DataItems3[[#This Row],[Options for supplying the Field]])</f>
        <v>Religion (Full) (DF)</v>
      </c>
      <c r="C611">
        <v>100927</v>
      </c>
      <c r="D611" s="3" t="s">
        <v>2992</v>
      </c>
      <c r="F611" s="3" t="s">
        <v>3184</v>
      </c>
      <c r="G611" s="13" t="s">
        <v>3185</v>
      </c>
      <c r="H611" s="13" t="s">
        <v>3186</v>
      </c>
      <c r="I611" s="3" t="s">
        <v>3187</v>
      </c>
      <c r="J611" s="13"/>
      <c r="Q611" s="3" t="s">
        <v>3188</v>
      </c>
      <c r="R611" s="16"/>
      <c r="S611" s="66" t="s">
        <v>3188</v>
      </c>
      <c r="T611" s="16"/>
      <c r="W611" s="59" t="s">
        <v>150</v>
      </c>
      <c r="X611" t="str">
        <f>DataItems3[[#This Row],[Collection]]&amp;DataItems3[[#This Row],[Field]]&amp;DataItems3[[#This Row],[Options for supplying the Field]]&amp;DataItems3[[#This Row],[Fieldname]]&amp;DataItems3[[#This Row],[Parent]]</f>
        <v>Data FuturesReligion(Full) (DF)Z_RELIGION</v>
      </c>
      <c r="Y611" s="15">
        <v>45016</v>
      </c>
      <c r="Z611" t="s">
        <v>2997</v>
      </c>
      <c r="AA611" s="28" t="str">
        <f t="shared" si="94"/>
        <v>CASE WHEN ISNULL(df.RELIGION, '99') = '20' THEN 'No religious belief' WHEN ISNULL(df.RELIGION, '99') IN ('', ' ', '98', '99') THEN 'Unknown/Not applicable' WHEN ISNULL(df.RELIGION, '99') IN ('22', '23', '24', '25', '26', '27', '28') THEN '22' ELSE df.RELIGION END</v>
      </c>
      <c r="AB611" s="28" t="str">
        <f>IF(S611="","",IF(IFERROR(SEARCH("select",S611)&gt;0,0),IF(W611="",IF(MID(S611,SEARCH(H611,S611)-4,1)=" ",MID(S611,SEARCH(H611,S611)-2,LEN(O620)+2),MID(S611,SEARCH(H611,S611)-3,LEN(H611)+3)),W611&amp;"."&amp;H611),S611))</f>
        <v>CASE WHEN ISNULL(df.RELIGION, '99') = '20' THEN 'No religious belief' WHEN ISNULL(df.RELIGION, '99') IN ('', ' ', '98', '99') THEN 'Unknown/Not applicable' WHEN ISNULL(df.RELIGION, '99') IN ('22', '23', '24', '25', '26', '27', '28') THEN '22' ELSE df.RELIGION END</v>
      </c>
      <c r="AC611" s="28" t="str">
        <f t="shared" si="92"/>
        <v/>
      </c>
      <c r="AD611" s="28" t="str">
        <f t="shared" si="93"/>
        <v/>
      </c>
      <c r="AE611" t="str">
        <f t="shared" si="89"/>
        <v>[Religion]</v>
      </c>
    </row>
    <row r="612" spans="1:32" ht="16" x14ac:dyDescent="0.2">
      <c r="A612">
        <v>100486</v>
      </c>
      <c r="B612" s="11" t="str">
        <f>DataItems3[[#This Row],[Field]]&amp;IF(DataItems3[[#This Row],[Options for supplying the Field]]="",""," "&amp;DataItems3[[#This Row],[Options for supplying the Field]])</f>
        <v>Religion or belief (Full)</v>
      </c>
      <c r="C612">
        <v>100486</v>
      </c>
      <c r="D612" s="3" t="s">
        <v>86</v>
      </c>
      <c r="F612" s="3" t="s">
        <v>2169</v>
      </c>
      <c r="G612" s="13" t="s">
        <v>277</v>
      </c>
      <c r="H612" s="14" t="s">
        <v>2170</v>
      </c>
      <c r="I612" s="3" t="s">
        <v>729</v>
      </c>
      <c r="J612" s="3">
        <v>1</v>
      </c>
      <c r="K612" s="17">
        <v>3</v>
      </c>
      <c r="L612" s="3">
        <v>2</v>
      </c>
      <c r="M612" s="3">
        <v>8</v>
      </c>
      <c r="N612" s="3" t="s">
        <v>89</v>
      </c>
      <c r="P612" s="17"/>
      <c r="Q612" s="16" t="s">
        <v>3189</v>
      </c>
      <c r="R612" s="3" t="s">
        <v>91</v>
      </c>
      <c r="S612" s="16" t="s">
        <v>3190</v>
      </c>
      <c r="U612" s="3" t="s">
        <v>2171</v>
      </c>
      <c r="V612" s="3" t="s">
        <v>93</v>
      </c>
      <c r="W612" s="57" t="s">
        <v>150</v>
      </c>
      <c r="X612" t="str">
        <f>DataItems3[[#This Row],[Collection]]&amp;DataItems3[[#This Row],[Field]]&amp;DataItems3[[#This Row],[Options for supplying the Field]]&amp;DataItems3[[#This Row],[Fieldname]]&amp;DataItems3[[#This Row],[Parent]]</f>
        <v>StudentReligion or belief(Full)F_RELBLF</v>
      </c>
      <c r="Y612" s="15">
        <v>43441</v>
      </c>
      <c r="Z612" t="s">
        <v>95</v>
      </c>
      <c r="AA612" s="28" t="str">
        <f t="shared" si="94"/>
        <v>CASE WHEN s.F_RELBLF IN ('03','04','05','06','07','08','09') then '03' WHEN s.F_RELBLF IN ('',' ','98') THEN '98' ELSE ISNULL(s.F_RELBLF,'98') END</v>
      </c>
      <c r="AB612" s="28" t="str">
        <f>IF(S612="","",IF(IFERROR(SEARCH("select",S612)&gt;0,0),IF(U612="",IF(MID(S612,SEARCH(H612,S612)-4,1)=" ",MID(S612,SEARCH(H612,S612)-2,LEN(O621)+2),MID(S612,SEARCH(H612,S612)-3,LEN(H612)+3)),U612&amp;"."&amp;H612),S612))</f>
        <v>CASE WHEN s.F_RELBLF IN ('03','04','05','06','07','08','09') then 'Christian' WHEN isnull(s.F_RELBLF,'') IN ('',' ','98') THEN 'Information refused' ELSE RELBLF.dw_currentlabel END</v>
      </c>
      <c r="AC612" s="28" t="str">
        <f t="shared" si="92"/>
        <v xml:space="preserve"> </v>
      </c>
      <c r="AD612" s="28" t="str">
        <f t="shared" si="93"/>
        <v/>
      </c>
      <c r="AE612" t="str">
        <f t="shared" si="89"/>
        <v>[Religion or belief]</v>
      </c>
      <c r="AF612">
        <v>100927</v>
      </c>
    </row>
    <row r="613" spans="1:32" ht="30" customHeight="1" x14ac:dyDescent="0.2">
      <c r="A613">
        <v>100750</v>
      </c>
      <c r="B613" s="11" t="s">
        <v>2172</v>
      </c>
      <c r="C613">
        <v>100750</v>
      </c>
      <c r="D613" s="3" t="s">
        <v>86</v>
      </c>
      <c r="F613" s="3" t="s">
        <v>2169</v>
      </c>
      <c r="G613" s="13" t="s">
        <v>1208</v>
      </c>
      <c r="H613" s="14" t="s">
        <v>2170</v>
      </c>
      <c r="I613" s="13" t="s">
        <v>729</v>
      </c>
      <c r="J613" s="3">
        <v>1</v>
      </c>
      <c r="K613" s="17">
        <v>2</v>
      </c>
      <c r="L613" s="3">
        <v>2</v>
      </c>
      <c r="M613" s="3">
        <v>8</v>
      </c>
      <c r="N613" s="3" t="s">
        <v>89</v>
      </c>
      <c r="P613" s="17"/>
      <c r="Q613" s="24" t="s">
        <v>3191</v>
      </c>
      <c r="S613" s="16" t="s">
        <v>3191</v>
      </c>
      <c r="W613" s="57" t="s">
        <v>3088</v>
      </c>
      <c r="X613" t="str">
        <f>DataItems3[[#This Row],[Collection]]&amp;DataItems3[[#This Row],[Field]]&amp;DataItems3[[#This Row],[Options for supplying the Field]]&amp;DataItems3[[#This Row],[Fieldname]]&amp;DataItems3[[#This Row],[Parent]]</f>
        <v>StudentReligion or belief(Grouped)F_RELBLF</v>
      </c>
      <c r="Y613" s="4">
        <v>44207</v>
      </c>
      <c r="Z613" t="s">
        <v>1126</v>
      </c>
      <c r="AA613" s="28" t="str">
        <f t="shared" si="94"/>
        <v>CASE WHEN s.f_relblf = '01' THEN 'No religious belief' WHEN s.f_relblf IN ('99','98') THEN 'Unknown/Not applicable' ELSE 'Religious belief' END</v>
      </c>
      <c r="AB613" s="28" t="str">
        <f>IF(S613="","",IF(IFERROR(SEARCH("select",S613)&gt;0,0),IF(U613="",IF(MID(S613,SEARCH(H613,S613)-4,1)=" ",MID(S613,SEARCH(H613,S613)-2,LEN(O622)+2),MID(S613,SEARCH(H613,S613)-3,LEN(H613)+3)),U613&amp;"."&amp;H613),S613))</f>
        <v>CASE WHEN s.f_relblf = '01' THEN 'No religious belief' WHEN s.f_relblf IN ('99','98') THEN 'Unknown/Not applicable' ELSE 'Religious belief' END</v>
      </c>
      <c r="AC613" s="28" t="str">
        <f t="shared" si="92"/>
        <v/>
      </c>
      <c r="AD613" s="28" t="str">
        <f t="shared" si="93"/>
        <v/>
      </c>
      <c r="AE613" t="str">
        <f t="shared" si="89"/>
        <v>[Religion or belief]</v>
      </c>
    </row>
    <row r="614" spans="1:32" ht="128" x14ac:dyDescent="0.2">
      <c r="A614">
        <v>100850</v>
      </c>
      <c r="B614" s="11" t="str">
        <f>DataItems3[[#This Row],[Field]]&amp;IF(DataItems3[[#This Row],[Options for supplying the Field]]="",""," "&amp;DataItems3[[#This Row],[Options for supplying the Field]])</f>
        <v>Religion or belief (Staff) (Full)</v>
      </c>
      <c r="C614">
        <v>100850</v>
      </c>
      <c r="D614" s="3" t="s">
        <v>100</v>
      </c>
      <c r="F614" s="3" t="s">
        <v>2169</v>
      </c>
      <c r="G614" s="13" t="s">
        <v>2173</v>
      </c>
      <c r="H614" s="14" t="s">
        <v>2170</v>
      </c>
      <c r="I614" s="13" t="s">
        <v>729</v>
      </c>
      <c r="J614" s="3">
        <v>2</v>
      </c>
      <c r="K614" s="17">
        <v>3</v>
      </c>
      <c r="L614" s="3">
        <v>2</v>
      </c>
      <c r="M614" s="3">
        <v>8</v>
      </c>
      <c r="N614" s="3" t="s">
        <v>89</v>
      </c>
      <c r="P614" s="17"/>
      <c r="Q614" s="16" t="s">
        <v>2174</v>
      </c>
      <c r="S614" s="16" t="s">
        <v>2175</v>
      </c>
      <c r="U614" s="3" t="s">
        <v>2171</v>
      </c>
      <c r="W614" s="57" t="s">
        <v>150</v>
      </c>
      <c r="X614" t="str">
        <f>DataItems3[[#This Row],[Collection]]&amp;DataItems3[[#This Row],[Field]]&amp;DataItems3[[#This Row],[Options for supplying the Field]]&amp;DataItems3[[#This Row],[Fieldname]]&amp;DataItems3[[#This Row],[Parent]]</f>
        <v>StaffReligion or belief(Staff) (Full)F_RELBLF</v>
      </c>
      <c r="Y614" s="4">
        <v>44638</v>
      </c>
      <c r="Z614" t="s">
        <v>135</v>
      </c>
      <c r="AA614" s="28" t="str">
        <f t="shared" si="94"/>
        <v>CASE WHEN p.F_RELBLF IN ('03','04','05','06','07','08','09') then '03' WHEN p.F_RELBLF IN ('',' ') THEN '98' ELSE ISNULL(p.F_RELBLF,'98') END</v>
      </c>
      <c r="AB614" s="28" t="str">
        <f>IF(S614="","",IF(IFERROR(SEARCH("select",S614)&gt;0,0),IF(U614="",IF(MID(S614,SEARCH(H614,S614)-4,1)=" ",MID(S614,SEARCH(H614,S614)-2,LEN(O623)+2),MID(S614,SEARCH(H614,S614)-3,LEN(H614)+3)),U614&amp;"."&amp;H614),S614))</f>
        <v>CASE WHEN p.F_RELBLF IN ('03','04','05','06','07','08','09') then 'Christian' WHEN isnull(p.F_RELBLF,'') IN ('',' ') THEN 'Information refused' ELSE RELBLF.dw_currentlabel END</v>
      </c>
      <c r="AC614" s="28" t="str">
        <f t="shared" si="92"/>
        <v/>
      </c>
      <c r="AD614" s="28" t="str">
        <f t="shared" si="93"/>
        <v/>
      </c>
      <c r="AE614" t="str">
        <f t="shared" si="89"/>
        <v>[Religion or belief]</v>
      </c>
    </row>
    <row r="615" spans="1:32" ht="16" x14ac:dyDescent="0.2">
      <c r="A615">
        <v>100891</v>
      </c>
      <c r="B615" s="29" t="str">
        <f>DataItems3[[#This Row],[Field]]&amp;IF(DataItems3[[#This Row],[Options for supplying the Field]]="",""," "&amp;DataItems3[[#This Row],[Options for supplying the Field]])</f>
        <v>Religion or belief 2012/13 onwards (grouped) (staff)</v>
      </c>
      <c r="C615">
        <v>100891</v>
      </c>
      <c r="D615" s="3" t="s">
        <v>100</v>
      </c>
      <c r="F615" s="3" t="s">
        <v>3192</v>
      </c>
      <c r="G615" s="13" t="s">
        <v>3193</v>
      </c>
      <c r="H615" s="13" t="s">
        <v>2170</v>
      </c>
      <c r="I615" s="13"/>
      <c r="J615" s="3">
        <v>2</v>
      </c>
      <c r="K615" s="3">
        <v>1</v>
      </c>
      <c r="L615" s="3">
        <v>1</v>
      </c>
      <c r="M615" s="3">
        <v>4</v>
      </c>
      <c r="Q615" s="16" t="s">
        <v>3194</v>
      </c>
      <c r="S615" s="16" t="s">
        <v>3194</v>
      </c>
      <c r="W615" s="57" t="s">
        <v>2907</v>
      </c>
      <c r="X615" t="str">
        <f>DataItems3[[#This Row],[Collection]]&amp;DataItems3[[#This Row],[Field]]&amp;DataItems3[[#This Row],[Options for supplying the Field]]&amp;DataItems3[[#This Row],[Fieldname]]&amp;DataItems3[[#This Row],[Parent]]</f>
        <v>StaffReligion or belief 2012/13 onwards(grouped) (staff)F_RELBLF</v>
      </c>
      <c r="Y615" s="4">
        <v>44853</v>
      </c>
      <c r="Z615" t="s">
        <v>2875</v>
      </c>
      <c r="AA615" s="28" t="str">
        <f t="shared" si="94"/>
        <v>CASE WHEN cc.DW_FromDate &lt;= 20110801 THEN 'Not applicable (2011/12 and prior)' WHEN p.F_RELBLF = '01' THEN 'No religious belief' WHEN p.F_RELBLF IN ('98', '99', '', ' ') THEN 'Unknown/Not applicable' ELSE 'Religious belief' END</v>
      </c>
      <c r="AB615" s="28" t="str">
        <f>IF(S615="","",IF(IFERROR(SEARCH("select",S615)&gt;0,0),IF(U615="",IF(MID(S615,SEARCH(H615,S615)-4,1)=" ",MID(S615,SEARCH(H615,S615)-2,LEN(O638)+2),MID(S615,SEARCH(H615,S615)-3,LEN(H615)+3)),U615&amp;"."&amp;H615),S615))</f>
        <v>CASE WHEN cc.DW_FromDate &lt;= 20110801 THEN 'Not applicable (2011/12 and prior)' WHEN p.F_RELBLF = '01' THEN 'No religious belief' WHEN p.F_RELBLF IN ('98', '99', '', ' ') THEN 'Unknown/Not applicable' ELSE 'Religious belief' END</v>
      </c>
      <c r="AC615" s="28" t="str">
        <f t="shared" si="92"/>
        <v/>
      </c>
      <c r="AD615" s="28" t="str">
        <f t="shared" si="93"/>
        <v/>
      </c>
      <c r="AE615" t="str">
        <f t="shared" si="89"/>
        <v>[Religion or belief 2012/13 onwards]</v>
      </c>
    </row>
    <row r="616" spans="1:32" ht="16" x14ac:dyDescent="0.2">
      <c r="A616">
        <v>100487</v>
      </c>
      <c r="B616" s="11" t="str">
        <f>DataItems3[[#This Row],[Field]]&amp;IF(DataItems3[[#This Row],[Options for supplying the Field]]="",""," "&amp;DataItems3[[#This Row],[Options for supplying the Field]])</f>
        <v>Research assistant</v>
      </c>
      <c r="C616">
        <v>100487</v>
      </c>
      <c r="D616" s="3" t="s">
        <v>100</v>
      </c>
      <c r="F616" s="3" t="s">
        <v>2176</v>
      </c>
      <c r="G616" s="13"/>
      <c r="H616" s="14" t="s">
        <v>2177</v>
      </c>
      <c r="J616" s="3">
        <v>1</v>
      </c>
      <c r="K616" s="3">
        <v>2</v>
      </c>
      <c r="L616" s="3">
        <v>0</v>
      </c>
      <c r="M616" s="3">
        <v>0</v>
      </c>
      <c r="N616" s="3" t="s">
        <v>89</v>
      </c>
      <c r="Q616" s="16" t="s">
        <v>2178</v>
      </c>
      <c r="R616" s="3" t="s">
        <v>93</v>
      </c>
      <c r="S616" s="16" t="s">
        <v>2179</v>
      </c>
      <c r="U616" s="3" t="s">
        <v>2180</v>
      </c>
      <c r="V616" s="3" t="s">
        <v>93</v>
      </c>
      <c r="W616" s="57" t="s">
        <v>94</v>
      </c>
      <c r="X616" t="str">
        <f>DataItems3[[#This Row],[Collection]]&amp;DataItems3[[#This Row],[Field]]&amp;DataItems3[[#This Row],[Options for supplying the Field]]&amp;DataItems3[[#This Row],[Fieldname]]&amp;DataItems3[[#This Row],[Parent]]</f>
        <v>StaffResearch assistantF_RESAST</v>
      </c>
      <c r="Y616" s="15">
        <v>43395</v>
      </c>
      <c r="Z616" t="s">
        <v>102</v>
      </c>
      <c r="AA616" s="28" t="str">
        <f t="shared" si="94"/>
        <v xml:space="preserve">CASE WHEN ISNULL(C.F_RESAST, '-1')='-1' THEN 'Unknown' ELSE CAST(C.F_RESAST AS VARCHAR(7)) END </v>
      </c>
      <c r="AB616" s="28" t="str">
        <f>IF(S616="","",IF(IFERROR(SEARCH("select",S616)&gt;0,0),IF(U616="",IF(MID(S616,SEARCH(H616,S616)-4,1)=" ",MID(S616,SEARCH(H616,S616)-2,LEN(O625)+2),MID(S616,SEARCH(H616,S616)-3,LEN(H616)+3)),U616&amp;"."&amp;H616),S616))</f>
        <v>CASE WHEN ISNULL(C.F_RESAST, '-1')='-1'  THEN 'Unknown/ not applicable' ELSE resast.DW_CurrentLabel END</v>
      </c>
      <c r="AC616" s="28" t="str">
        <f t="shared" si="92"/>
        <v/>
      </c>
      <c r="AD616" s="28" t="str">
        <f t="shared" si="93"/>
        <v/>
      </c>
      <c r="AE616" t="str">
        <f t="shared" si="89"/>
        <v>[Research assistant]</v>
      </c>
    </row>
    <row r="617" spans="1:32" ht="16" x14ac:dyDescent="0.2">
      <c r="A617">
        <v>100767</v>
      </c>
      <c r="B617" s="11" t="str">
        <f>DataItems3[[#This Row],[Field]]&amp;IF(DataItems3[[#This Row],[Options for supplying the Field]]="",""," "&amp;DataItems3[[#This Row],[Options for supplying the Field]])</f>
        <v>Research council student</v>
      </c>
      <c r="C617">
        <v>100767</v>
      </c>
      <c r="D617" s="3" t="s">
        <v>86</v>
      </c>
      <c r="F617" s="3" t="s">
        <v>2181</v>
      </c>
      <c r="G617" s="13"/>
      <c r="H617" s="13" t="s">
        <v>2182</v>
      </c>
      <c r="J617" s="3">
        <v>2</v>
      </c>
      <c r="K617" s="17">
        <v>3</v>
      </c>
      <c r="L617" s="3">
        <v>0</v>
      </c>
      <c r="M617" s="3">
        <v>0</v>
      </c>
      <c r="N617" s="3" t="s">
        <v>89</v>
      </c>
      <c r="P617" s="17"/>
      <c r="Q617" s="16" t="s">
        <v>2183</v>
      </c>
      <c r="S617" s="16" t="s">
        <v>2184</v>
      </c>
      <c r="U617" s="3" t="s">
        <v>1794</v>
      </c>
      <c r="W617" s="57" t="s">
        <v>150</v>
      </c>
      <c r="X617" t="str">
        <f>DataItems3[[#This Row],[Collection]]&amp;DataItems3[[#This Row],[Field]]&amp;DataItems3[[#This Row],[Options for supplying the Field]]&amp;DataItems3[[#This Row],[Fieldname]]&amp;DataItems3[[#This Row],[Parent]]</f>
        <v>StudentResearch council studentF_RCSTDNT</v>
      </c>
      <c r="Y617" s="4">
        <v>44237</v>
      </c>
      <c r="Z617" t="s">
        <v>2055</v>
      </c>
      <c r="AA617" s="28" t="str">
        <f t="shared" si="94"/>
        <v>CASE WHEN i.F_RCSTDNT = '-1' THEN 'U' ELSE i.F_RCSTDNT END</v>
      </c>
      <c r="AB617" s="28" t="str">
        <f>IF(S617="","",IF(IFERROR(SEARCH("select",S617)&gt;0,0),IF(U617="",IF(MID(S617,SEARCH(H617,S617)-4,1)=" ",MID(S617,SEARCH(H617,S617)-2,LEN(O626)+2),MID(S617,SEARCH(H617,S617)-3,LEN(H617)+3)),U617&amp;"."&amp;H617),S617))</f>
        <v>i.F_RCSTDNT</v>
      </c>
      <c r="AC617" s="28" t="str">
        <f t="shared" si="92"/>
        <v/>
      </c>
      <c r="AD617" s="28" t="str">
        <f t="shared" si="93"/>
        <v/>
      </c>
      <c r="AE617" t="str">
        <f t="shared" si="89"/>
        <v>[Research council student]</v>
      </c>
    </row>
    <row r="618" spans="1:32" ht="32" x14ac:dyDescent="0.2">
      <c r="A618">
        <v>100488</v>
      </c>
      <c r="B618" s="11" t="str">
        <f>DataItems3[[#This Row],[Field]]&amp;IF(DataItems3[[#This Row],[Options for supplying the Field]]="",""," "&amp;DataItems3[[#This Row],[Options for supplying the Field]])</f>
        <v>Research findings [RSCHFIND] -opt in question</v>
      </c>
      <c r="C618">
        <v>100488</v>
      </c>
      <c r="D618" s="3" t="s">
        <v>151</v>
      </c>
      <c r="F618" s="3" t="s">
        <v>2185</v>
      </c>
      <c r="G618" s="13" t="s">
        <v>2186</v>
      </c>
      <c r="I618" s="3" t="s">
        <v>2991</v>
      </c>
      <c r="J618" s="3">
        <v>1</v>
      </c>
      <c r="K618" s="3">
        <v>2</v>
      </c>
      <c r="L618" s="3">
        <v>0</v>
      </c>
      <c r="M618" s="3">
        <v>0</v>
      </c>
      <c r="P618" s="3" t="s">
        <v>448</v>
      </c>
      <c r="R618" s="3" t="s">
        <v>93</v>
      </c>
      <c r="V618" s="3" t="s">
        <v>93</v>
      </c>
      <c r="W618" s="57" t="s">
        <v>2926</v>
      </c>
      <c r="X618" t="str">
        <f>DataItems3[[#This Row],[Collection]]&amp;DataItems3[[#This Row],[Field]]&amp;DataItems3[[#This Row],[Options for supplying the Field]]&amp;DataItems3[[#This Row],[Fieldname]]&amp;DataItems3[[#This Row],[Parent]]</f>
        <v>Graduate OutcomesResearch findings[RSCHFIND] -opt in questionProvider &gt; Graduate &gt; Opt in questions:</v>
      </c>
      <c r="Y618" s="15">
        <v>43550</v>
      </c>
      <c r="Z618" t="s">
        <v>159</v>
      </c>
      <c r="AA618" s="28" t="str">
        <f t="shared" si="94"/>
        <v/>
      </c>
      <c r="AB618" s="28" t="str">
        <f>IF(S618="","",IF(IFERROR(SEARCH("select",S618)&gt;0,0),IF(U618="",IF(MID(S618,SEARCH(H618,S618)-4,1)=" ",MID(S618,SEARCH(H618,S618)-2,LEN(#REF!)+2),MID(S618,SEARCH(H618,S618)-3,LEN(H618)+3)),U618&amp;"."&amp;H618),S618))</f>
        <v/>
      </c>
      <c r="AC618" s="28" t="str">
        <f t="shared" si="92"/>
        <v/>
      </c>
      <c r="AD618" s="28" t="str">
        <f t="shared" si="93"/>
        <v/>
      </c>
      <c r="AE618" t="str">
        <f t="shared" si="89"/>
        <v>[Research findings]</v>
      </c>
    </row>
    <row r="619" spans="1:32" ht="32" x14ac:dyDescent="0.2">
      <c r="A619">
        <v>100489</v>
      </c>
      <c r="B619" s="11" t="str">
        <f>DataItems3[[#This Row],[Field]]&amp;IF(DataItems3[[#This Row],[Options for supplying the Field]]="",""," "&amp;DataItems3[[#This Row],[Options for supplying the Field]])</f>
        <v>Research skills developed [RSCHSKILDEV] -opt in question</v>
      </c>
      <c r="C619">
        <v>100489</v>
      </c>
      <c r="D619" s="3" t="s">
        <v>151</v>
      </c>
      <c r="F619" s="3" t="s">
        <v>2187</v>
      </c>
      <c r="G619" s="13" t="s">
        <v>2188</v>
      </c>
      <c r="I619" s="3" t="s">
        <v>2991</v>
      </c>
      <c r="J619" s="3">
        <v>1</v>
      </c>
      <c r="K619" s="3">
        <v>2</v>
      </c>
      <c r="L619" s="3">
        <v>0</v>
      </c>
      <c r="M619" s="3">
        <v>0</v>
      </c>
      <c r="P619" s="3" t="s">
        <v>448</v>
      </c>
      <c r="R619" s="3" t="s">
        <v>93</v>
      </c>
      <c r="V619" s="3" t="s">
        <v>93</v>
      </c>
      <c r="W619" s="57" t="s">
        <v>2926</v>
      </c>
      <c r="X619" t="str">
        <f>DataItems3[[#This Row],[Collection]]&amp;DataItems3[[#This Row],[Field]]&amp;DataItems3[[#This Row],[Options for supplying the Field]]&amp;DataItems3[[#This Row],[Fieldname]]&amp;DataItems3[[#This Row],[Parent]]</f>
        <v>Graduate OutcomesResearch skills developed[RSCHSKILDEV] -opt in questionProvider &gt; Graduate &gt; Opt in questions:</v>
      </c>
      <c r="Y619" s="15">
        <v>43550</v>
      </c>
      <c r="Z619" t="s">
        <v>159</v>
      </c>
      <c r="AA619" s="28" t="str">
        <f t="shared" si="94"/>
        <v/>
      </c>
      <c r="AB619" s="28" t="str">
        <f t="shared" ref="AB619:AB626" si="95">IF(S619="","",IF(IFERROR(SEARCH("select",S619)&gt;0,0),IF(U619="",IF(MID(S619,SEARCH(H619,S619)-4,1)=" ",MID(S619,SEARCH(H619,S619)-2,LEN(O627)+2),MID(S619,SEARCH(H619,S619)-3,LEN(H619)+3)),U619&amp;"."&amp;H619),S619))</f>
        <v/>
      </c>
      <c r="AC619" s="28" t="str">
        <f t="shared" si="92"/>
        <v/>
      </c>
      <c r="AD619" s="28" t="str">
        <f t="shared" si="93"/>
        <v/>
      </c>
      <c r="AE619" t="str">
        <f t="shared" si="89"/>
        <v>[Research skills developed]</v>
      </c>
    </row>
    <row r="620" spans="1:32" ht="16" x14ac:dyDescent="0.2">
      <c r="A620">
        <v>100490</v>
      </c>
      <c r="B620" s="11" t="str">
        <f>DataItems3[[#This Row],[Field]]&amp;IF(DataItems3[[#This Row],[Options for supplying the Field]]="",""," "&amp;DataItems3[[#This Row],[Options for supplying the Field]])</f>
        <v>Respondent marker (DLHE)</v>
      </c>
      <c r="C620">
        <v>100490</v>
      </c>
      <c r="D620" s="3" t="s">
        <v>146</v>
      </c>
      <c r="F620" s="3" t="s">
        <v>2189</v>
      </c>
      <c r="G620" s="13" t="s">
        <v>1873</v>
      </c>
      <c r="H620" s="14" t="s">
        <v>93</v>
      </c>
      <c r="J620" s="3">
        <v>1</v>
      </c>
      <c r="K620" s="3">
        <v>1</v>
      </c>
      <c r="L620" s="3">
        <v>0</v>
      </c>
      <c r="M620" s="3">
        <v>0</v>
      </c>
      <c r="Q620" s="16" t="s">
        <v>93</v>
      </c>
      <c r="R620" s="3" t="s">
        <v>93</v>
      </c>
      <c r="S620" s="16" t="s">
        <v>93</v>
      </c>
      <c r="U620" s="3" t="s">
        <v>93</v>
      </c>
      <c r="V620" s="3" t="s">
        <v>93</v>
      </c>
      <c r="W620" s="57" t="s">
        <v>2926</v>
      </c>
      <c r="X620" t="str">
        <f>DataItems3[[#This Row],[Collection]]&amp;DataItems3[[#This Row],[Field]]&amp;DataItems3[[#This Row],[Options for supplying the Field]]&amp;DataItems3[[#This Row],[Fieldname]]&amp;DataItems3[[#This Row],[Parent]]</f>
        <v>DLHERespondent marker(DLHE)</v>
      </c>
      <c r="Y620" s="15">
        <v>43909</v>
      </c>
      <c r="Z620" t="s">
        <v>159</v>
      </c>
      <c r="AA620" s="28" t="str">
        <f t="shared" si="94"/>
        <v/>
      </c>
      <c r="AB620" s="28" t="str">
        <f t="shared" si="95"/>
        <v/>
      </c>
      <c r="AC620" s="28" t="str">
        <f t="shared" si="92"/>
        <v/>
      </c>
      <c r="AD620" s="28" t="str">
        <f t="shared" si="93"/>
        <v/>
      </c>
      <c r="AE620" t="str">
        <f t="shared" si="89"/>
        <v>[Respondent marker]</v>
      </c>
    </row>
    <row r="621" spans="1:32" ht="16" x14ac:dyDescent="0.2">
      <c r="A621">
        <v>100491</v>
      </c>
      <c r="B621" s="11" t="str">
        <f>DataItems3[[#This Row],[Field]]&amp;IF(DataItems3[[#This Row],[Options for supplying the Field]]="",""," "&amp;DataItems3[[#This Row],[Options for supplying the Field]])</f>
        <v>Response status [ZRESPSTATUS]</v>
      </c>
      <c r="C621">
        <v>100491</v>
      </c>
      <c r="D621" s="3" t="s">
        <v>151</v>
      </c>
      <c r="F621" s="3" t="s">
        <v>2190</v>
      </c>
      <c r="G621" s="13" t="s">
        <v>2191</v>
      </c>
      <c r="H621" s="3" t="s">
        <v>2192</v>
      </c>
      <c r="J621" s="3">
        <v>1</v>
      </c>
      <c r="K621" s="3">
        <v>1</v>
      </c>
      <c r="L621" s="3">
        <v>0</v>
      </c>
      <c r="M621" s="3">
        <v>0</v>
      </c>
      <c r="P621" s="3" t="s">
        <v>502</v>
      </c>
      <c r="Q621" s="16" t="s">
        <v>2193</v>
      </c>
      <c r="R621" s="3" t="s">
        <v>93</v>
      </c>
      <c r="S621" s="16" t="s">
        <v>2194</v>
      </c>
      <c r="U621" s="3" t="s">
        <v>2195</v>
      </c>
      <c r="V621" s="3" t="s">
        <v>93</v>
      </c>
      <c r="W621" s="57" t="s">
        <v>2909</v>
      </c>
      <c r="X621" t="str">
        <f>DataItems3[[#This Row],[Collection]]&amp;DataItems3[[#This Row],[Field]]&amp;DataItems3[[#This Row],[Options for supplying the Field]]&amp;DataItems3[[#This Row],[Fieldname]]&amp;DataItems3[[#This Row],[Parent]]</f>
        <v>Graduate OutcomesResponse status[ZRESPSTATUS]ZRESPSTATUSProvider &gt; Processing Field</v>
      </c>
      <c r="Y621" s="15">
        <v>43550</v>
      </c>
      <c r="Z621" t="s">
        <v>159</v>
      </c>
      <c r="AA621" s="28" t="str">
        <f t="shared" si="94"/>
        <v>CASE WHEN ISNULL(g.ZRESPSTATUS, '02')='02' OR ISNULL(g.XACTIVITY, '99')='99' THEN 'Not in GO publication population' else ISNULL(g.ZRESPSTATUS, '02') end</v>
      </c>
      <c r="AB621" s="28" t="str">
        <f t="shared" si="95"/>
        <v>CASE WHEN ISNULL(g.ZRESPSTATUS, '02')='02' OR ISNULL(g.XACTIVITY, '99')='99' THEN 'Not in GO publication population' else ISNULL(ZRESPSTATUS.label, '02') end</v>
      </c>
      <c r="AC621" s="28" t="str">
        <f t="shared" si="92"/>
        <v/>
      </c>
      <c r="AD621" s="28" t="str">
        <f t="shared" si="93"/>
        <v/>
      </c>
      <c r="AE621" t="str">
        <f t="shared" si="89"/>
        <v>[Response status]</v>
      </c>
    </row>
    <row r="622" spans="1:32" ht="16" x14ac:dyDescent="0.2">
      <c r="A622">
        <v>100793</v>
      </c>
      <c r="B622" s="11" t="str">
        <f>DataItems3[[#This Row],[Field]]&amp;IF(DataItems3[[#This Row],[Options for supplying the Field]]="",""," "&amp;DataItems3[[#This Row],[Options for supplying the Field]])</f>
        <v>Russell Group marker</v>
      </c>
      <c r="C622">
        <v>100793</v>
      </c>
      <c r="D622" s="3" t="s">
        <v>86</v>
      </c>
      <c r="E622"/>
      <c r="F622" t="s">
        <v>2196</v>
      </c>
      <c r="G622" s="13"/>
      <c r="H622" s="3" t="s">
        <v>2197</v>
      </c>
      <c r="J622" s="3">
        <v>2</v>
      </c>
      <c r="K622" s="3">
        <v>1</v>
      </c>
      <c r="L622" s="3">
        <v>0</v>
      </c>
      <c r="M622" s="3">
        <v>0</v>
      </c>
      <c r="N622" s="3" t="s">
        <v>106</v>
      </c>
      <c r="Q622" s="16" t="s">
        <v>2198</v>
      </c>
      <c r="S622" s="16" t="s">
        <v>2198</v>
      </c>
      <c r="W622" s="57" t="s">
        <v>981</v>
      </c>
      <c r="X622" t="str">
        <f>DataItems3[[#This Row],[Collection]]&amp;DataItems3[[#This Row],[Field]]&amp;DataItems3[[#This Row],[Options for supplying the Field]]&amp;DataItems3[[#This Row],[Fieldname]]&amp;DataItems3[[#This Row],[Parent]]</f>
        <v>StudentRussell Group markerRG_MKR</v>
      </c>
      <c r="Y622" s="4">
        <v>44279</v>
      </c>
      <c r="Z622" t="s">
        <v>56</v>
      </c>
      <c r="AA622" s="28" t="str">
        <f t="shared" si="94"/>
        <v xml:space="preserve">case when s.f_xinstid01 in ('0110','0112','0114','0179','0116','0167','0119','0168','0132','0134','0124','0126','0137','0204','0154','0155','0156','0139','0184','0159','0160','0149','0163','0164') then 'Russell Group' else 'Other' end </v>
      </c>
      <c r="AB622" s="28" t="str">
        <f t="shared" si="95"/>
        <v xml:space="preserve">case when s.f_xinstid01 in ('0110','0112','0114','0179','0116','0167','0119','0168','0132','0134','0124','0126','0137','0204','0154','0155','0156','0139','0184','0159','0160','0149','0163','0164') then 'Russell Group' else 'Other' end </v>
      </c>
      <c r="AC622" s="28" t="str">
        <f t="shared" si="92"/>
        <v/>
      </c>
      <c r="AD622" s="28" t="str">
        <f t="shared" si="93"/>
        <v/>
      </c>
      <c r="AE622" t="str">
        <f t="shared" si="89"/>
        <v>[Russell Group marker]</v>
      </c>
    </row>
    <row r="623" spans="1:32" ht="48" x14ac:dyDescent="0.2">
      <c r="A623">
        <v>100492</v>
      </c>
      <c r="B623" s="11" t="str">
        <f>DataItems3[[#This Row],[Field]]&amp;IF(DataItems3[[#This Row],[Options for supplying the Field]]="",""," "&amp;DataItems3[[#This Row],[Options for supplying the Field]])</f>
        <v>Salary (10K bands) - for those in full-time paid employment only</v>
      </c>
      <c r="C623">
        <v>100492</v>
      </c>
      <c r="D623" s="3" t="s">
        <v>146</v>
      </c>
      <c r="F623" s="3" t="s">
        <v>2199</v>
      </c>
      <c r="G623" s="13" t="s">
        <v>2200</v>
      </c>
      <c r="H623" s="14" t="s">
        <v>93</v>
      </c>
      <c r="J623" s="3">
        <v>3</v>
      </c>
      <c r="K623" s="3">
        <v>3</v>
      </c>
      <c r="L623" s="3">
        <v>2</v>
      </c>
      <c r="M623" s="3">
        <v>2</v>
      </c>
      <c r="N623" s="3" t="s">
        <v>89</v>
      </c>
      <c r="Q623" s="16" t="s">
        <v>93</v>
      </c>
      <c r="R623" s="3" t="s">
        <v>93</v>
      </c>
      <c r="S623" s="16" t="s">
        <v>93</v>
      </c>
      <c r="U623" s="3" t="s">
        <v>93</v>
      </c>
      <c r="V623" s="3" t="s">
        <v>93</v>
      </c>
      <c r="W623" s="57" t="s">
        <v>2926</v>
      </c>
      <c r="X623" t="str">
        <f>DataItems3[[#This Row],[Collection]]&amp;DataItems3[[#This Row],[Field]]&amp;DataItems3[[#This Row],[Options for supplying the Field]]&amp;DataItems3[[#This Row],[Fieldname]]&amp;DataItems3[[#This Row],[Parent]]</f>
        <v>DLHESalary(10K bands) - for those in full-time paid employment only</v>
      </c>
      <c r="Y623" s="15">
        <v>43416</v>
      </c>
      <c r="Z623" t="s">
        <v>95</v>
      </c>
      <c r="AA623" s="28" t="str">
        <f t="shared" si="94"/>
        <v/>
      </c>
      <c r="AB623" s="28" t="str">
        <f t="shared" si="95"/>
        <v/>
      </c>
      <c r="AC623" s="28" t="str">
        <f t="shared" si="92"/>
        <v/>
      </c>
      <c r="AD623" s="28" t="str">
        <f t="shared" si="93"/>
        <v/>
      </c>
      <c r="AE623" t="str">
        <f t="shared" si="89"/>
        <v>[Salary]</v>
      </c>
    </row>
    <row r="624" spans="1:32" ht="48" x14ac:dyDescent="0.2">
      <c r="A624">
        <v>100493</v>
      </c>
      <c r="B624" s="11" t="str">
        <f>DataItems3[[#This Row],[Field]]&amp;IF(DataItems3[[#This Row],[Options for supplying the Field]]="",""," "&amp;DataItems3[[#This Row],[Options for supplying the Field]])</f>
        <v>Salary (5K bands) - for those in full-time paid employment only</v>
      </c>
      <c r="C624">
        <v>100493</v>
      </c>
      <c r="D624" s="3" t="s">
        <v>146</v>
      </c>
      <c r="F624" s="3" t="s">
        <v>2199</v>
      </c>
      <c r="G624" s="13" t="s">
        <v>2201</v>
      </c>
      <c r="H624" s="14" t="s">
        <v>93</v>
      </c>
      <c r="J624" s="3">
        <v>3</v>
      </c>
      <c r="K624" s="3">
        <v>3</v>
      </c>
      <c r="L624" s="3">
        <v>2</v>
      </c>
      <c r="M624" s="3">
        <v>2</v>
      </c>
      <c r="N624" s="3" t="s">
        <v>2202</v>
      </c>
      <c r="Q624" s="16" t="s">
        <v>93</v>
      </c>
      <c r="R624" s="3" t="s">
        <v>93</v>
      </c>
      <c r="S624" s="16" t="s">
        <v>93</v>
      </c>
      <c r="U624" s="3" t="s">
        <v>93</v>
      </c>
      <c r="V624" s="3" t="s">
        <v>93</v>
      </c>
      <c r="W624" s="57" t="s">
        <v>2926</v>
      </c>
      <c r="X624" t="str">
        <f>DataItems3[[#This Row],[Collection]]&amp;DataItems3[[#This Row],[Field]]&amp;DataItems3[[#This Row],[Options for supplying the Field]]&amp;DataItems3[[#This Row],[Fieldname]]&amp;DataItems3[[#This Row],[Parent]]</f>
        <v>DLHESalary(5K bands) - for those in full-time paid employment only</v>
      </c>
      <c r="Y624" s="15">
        <v>43416</v>
      </c>
      <c r="Z624" t="s">
        <v>95</v>
      </c>
      <c r="AA624" s="28" t="str">
        <f t="shared" si="94"/>
        <v/>
      </c>
      <c r="AB624" s="28" t="str">
        <f t="shared" si="95"/>
        <v/>
      </c>
      <c r="AC624" s="28" t="str">
        <f t="shared" si="92"/>
        <v/>
      </c>
      <c r="AD624" s="28" t="str">
        <f t="shared" si="93"/>
        <v/>
      </c>
      <c r="AE624" t="str">
        <f t="shared" si="89"/>
        <v>[Salary]</v>
      </c>
    </row>
    <row r="625" spans="1:31" ht="16" x14ac:dyDescent="0.2">
      <c r="A625">
        <v>100496</v>
      </c>
      <c r="B625" s="11" t="str">
        <f>DataItems3[[#This Row],[Field]]&amp;IF(DataItems3[[#This Row],[Options for supplying the Field]]="",""," "&amp;DataItems3[[#This Row],[Options for supplying the Field]])</f>
        <v>Salary (Full)</v>
      </c>
      <c r="C625">
        <v>100496</v>
      </c>
      <c r="D625" s="3" t="s">
        <v>146</v>
      </c>
      <c r="F625" s="3" t="s">
        <v>2199</v>
      </c>
      <c r="G625" s="13" t="s">
        <v>277</v>
      </c>
      <c r="H625" s="14" t="s">
        <v>93</v>
      </c>
      <c r="I625" s="3" t="s">
        <v>439</v>
      </c>
      <c r="J625" s="3">
        <v>2</v>
      </c>
      <c r="K625" s="3">
        <v>4</v>
      </c>
      <c r="L625" s="3">
        <v>4</v>
      </c>
      <c r="M625" s="3">
        <v>4</v>
      </c>
      <c r="N625" s="3" t="s">
        <v>89</v>
      </c>
      <c r="Q625" s="16" t="s">
        <v>93</v>
      </c>
      <c r="R625" s="3" t="s">
        <v>93</v>
      </c>
      <c r="S625" s="16" t="s">
        <v>93</v>
      </c>
      <c r="U625" s="3" t="s">
        <v>93</v>
      </c>
      <c r="V625" s="3" t="s">
        <v>93</v>
      </c>
      <c r="W625" s="57" t="s">
        <v>2926</v>
      </c>
      <c r="X625" t="str">
        <f>DataItems3[[#This Row],[Collection]]&amp;DataItems3[[#This Row],[Field]]&amp;DataItems3[[#This Row],[Options for supplying the Field]]&amp;DataItems3[[#This Row],[Fieldname]]&amp;DataItems3[[#This Row],[Parent]]</f>
        <v>DLHESalary(Full)</v>
      </c>
      <c r="Y625" s="15">
        <v>43416</v>
      </c>
      <c r="Z625" t="s">
        <v>95</v>
      </c>
      <c r="AA625" s="28" t="str">
        <f t="shared" si="94"/>
        <v/>
      </c>
      <c r="AB625" s="28" t="str">
        <f t="shared" si="95"/>
        <v/>
      </c>
      <c r="AC625" s="28" t="str">
        <f t="shared" si="92"/>
        <v/>
      </c>
      <c r="AD625" s="28" t="str">
        <f t="shared" si="93"/>
        <v/>
      </c>
      <c r="AE625" t="str">
        <f t="shared" si="89"/>
        <v>[Salary]</v>
      </c>
    </row>
    <row r="626" spans="1:31" ht="48" x14ac:dyDescent="0.2">
      <c r="A626">
        <v>100497</v>
      </c>
      <c r="B626" s="11" t="str">
        <f>DataItems3[[#This Row],[Field]]&amp;IF(DataItems3[[#This Row],[Options for supplying the Field]]="",""," "&amp;DataItems3[[#This Row],[Options for supplying the Field]])</f>
        <v>Salary (Full) - for those in full-time paid employment only</v>
      </c>
      <c r="C626">
        <v>100497</v>
      </c>
      <c r="D626" s="3" t="s">
        <v>146</v>
      </c>
      <c r="F626" s="3" t="s">
        <v>2199</v>
      </c>
      <c r="G626" s="13" t="s">
        <v>2203</v>
      </c>
      <c r="H626" s="14" t="s">
        <v>93</v>
      </c>
      <c r="I626" s="3" t="s">
        <v>439</v>
      </c>
      <c r="J626" s="3">
        <v>2</v>
      </c>
      <c r="K626" s="3">
        <v>4</v>
      </c>
      <c r="L626" s="3">
        <v>4</v>
      </c>
      <c r="M626" s="3">
        <v>4</v>
      </c>
      <c r="N626" s="3" t="s">
        <v>89</v>
      </c>
      <c r="Q626" s="16" t="s">
        <v>93</v>
      </c>
      <c r="R626" s="3" t="s">
        <v>93</v>
      </c>
      <c r="S626" s="16" t="s">
        <v>93</v>
      </c>
      <c r="U626" s="3" t="s">
        <v>93</v>
      </c>
      <c r="V626" s="3" t="s">
        <v>93</v>
      </c>
      <c r="W626" s="57" t="s">
        <v>2926</v>
      </c>
      <c r="X626" t="str">
        <f>DataItems3[[#This Row],[Collection]]&amp;DataItems3[[#This Row],[Field]]&amp;DataItems3[[#This Row],[Options for supplying the Field]]&amp;DataItems3[[#This Row],[Fieldname]]&amp;DataItems3[[#This Row],[Parent]]</f>
        <v>DLHESalary(Full) - for those in full-time paid employment only</v>
      </c>
      <c r="Y626" s="15">
        <v>43416</v>
      </c>
      <c r="Z626" t="s">
        <v>95</v>
      </c>
      <c r="AA626" s="28" t="str">
        <f t="shared" si="94"/>
        <v/>
      </c>
      <c r="AB626" s="28" t="str">
        <f t="shared" si="95"/>
        <v/>
      </c>
      <c r="AC626" s="28" t="str">
        <f t="shared" si="92"/>
        <v/>
      </c>
      <c r="AD626" s="28" t="str">
        <f t="shared" si="93"/>
        <v/>
      </c>
      <c r="AE626" t="str">
        <f t="shared" si="89"/>
        <v>[Salary]</v>
      </c>
    </row>
    <row r="627" spans="1:31" ht="16" x14ac:dyDescent="0.2">
      <c r="A627">
        <v>100494</v>
      </c>
      <c r="B627" s="11" t="str">
        <f>DataItems3[[#This Row],[Field]]&amp;IF(DataItems3[[#This Row],[Options for supplying the Field]]="",""," "&amp;DataItems3[[#This Row],[Options for supplying the Field]])</f>
        <v>Salary (Apportioned by FPE)</v>
      </c>
      <c r="C627">
        <v>100494</v>
      </c>
      <c r="D627" s="3" t="s">
        <v>100</v>
      </c>
      <c r="F627" s="3" t="s">
        <v>2199</v>
      </c>
      <c r="G627" s="13" t="s">
        <v>2205</v>
      </c>
      <c r="H627" s="14" t="s">
        <v>2206</v>
      </c>
      <c r="J627" s="3">
        <v>2</v>
      </c>
      <c r="K627" s="3">
        <v>3</v>
      </c>
      <c r="L627" s="3">
        <v>0</v>
      </c>
      <c r="M627" s="3">
        <v>4</v>
      </c>
      <c r="N627" s="3" t="s">
        <v>89</v>
      </c>
      <c r="Q627" s="16" t="s">
        <v>2207</v>
      </c>
      <c r="R627" s="3" t="s">
        <v>93</v>
      </c>
      <c r="S627" s="16" t="s">
        <v>2207</v>
      </c>
      <c r="U627" s="3" t="s">
        <v>93</v>
      </c>
      <c r="V627" s="3" t="s">
        <v>93</v>
      </c>
      <c r="W627" s="57" t="s">
        <v>3195</v>
      </c>
      <c r="X627" t="str">
        <f>DataItems3[[#This Row],[Collection]]&amp;DataItems3[[#This Row],[Field]]&amp;DataItems3[[#This Row],[Options for supplying the Field]]&amp;DataItems3[[#This Row],[Fieldname]]&amp;DataItems3[[#This Row],[Parent]]</f>
        <v>StaffSalary(Apportioned by FPE)appsalFPE</v>
      </c>
      <c r="Y627" s="15">
        <v>43441</v>
      </c>
      <c r="Z627" t="s">
        <v>95</v>
      </c>
      <c r="AA627" s="28" t="str">
        <f t="shared" si="94"/>
        <v>SUM((cc.f_xsfpe01 / 100)*(CASE WHEN c.F_XSALR01 IS NULL THEN 0 ELSE c.F_XSALR01 END))</v>
      </c>
      <c r="AB627" s="28" t="str">
        <f t="shared" ref="AB627:AB632" si="96">IF(S627="","",IF(IFERROR(SEARCH("select",S627)&gt;0,0),IF(U627="",IF(MID(S627,SEARCH(H627,S627)-4,1)=" ",MID(S627,SEARCH(H627,S627)-2,LEN(O636)+2),MID(S627,SEARCH(H627,S627)-3,LEN(H627)+3)),U627&amp;"."&amp;H627),S627))</f>
        <v>SUM((cc.f_xsfpe01 / 100)*(CASE WHEN c.F_XSALR01 IS NULL THEN 0 ELSE c.F_XSALR01 END))</v>
      </c>
      <c r="AC627" s="28" t="str">
        <f t="shared" si="92"/>
        <v/>
      </c>
      <c r="AD627" s="28" t="str">
        <f t="shared" si="93"/>
        <v/>
      </c>
      <c r="AE627" t="str">
        <f t="shared" si="89"/>
        <v>[Salary]</v>
      </c>
    </row>
    <row r="628" spans="1:31" ht="16" x14ac:dyDescent="0.2">
      <c r="A628">
        <v>100495</v>
      </c>
      <c r="B628" s="11" t="str">
        <f>DataItems3[[#This Row],[Field]]&amp;IF(DataItems3[[#This Row],[Options for supplying the Field]]="",""," "&amp;DataItems3[[#This Row],[Options for supplying the Field]])</f>
        <v>Salary (Apportioned by FTE)</v>
      </c>
      <c r="C628">
        <v>100495</v>
      </c>
      <c r="D628" s="3" t="s">
        <v>100</v>
      </c>
      <c r="F628" s="3" t="s">
        <v>2199</v>
      </c>
      <c r="G628" s="13" t="s">
        <v>2208</v>
      </c>
      <c r="H628" s="14" t="s">
        <v>2209</v>
      </c>
      <c r="J628" s="3">
        <v>10</v>
      </c>
      <c r="K628" s="3">
        <v>3</v>
      </c>
      <c r="L628" s="3">
        <v>0</v>
      </c>
      <c r="M628" s="3">
        <v>4</v>
      </c>
      <c r="N628" s="3" t="s">
        <v>89</v>
      </c>
      <c r="Q628" s="16" t="s">
        <v>2210</v>
      </c>
      <c r="R628" s="3" t="s">
        <v>93</v>
      </c>
      <c r="S628" s="16" t="s">
        <v>2210</v>
      </c>
      <c r="U628" s="3" t="s">
        <v>93</v>
      </c>
      <c r="V628" s="3" t="s">
        <v>93</v>
      </c>
      <c r="W628" s="57" t="s">
        <v>3195</v>
      </c>
      <c r="X628" t="str">
        <f>DataItems3[[#This Row],[Collection]]&amp;DataItems3[[#This Row],[Field]]&amp;DataItems3[[#This Row],[Options for supplying the Field]]&amp;DataItems3[[#This Row],[Fieldname]]&amp;DataItems3[[#This Row],[Parent]]</f>
        <v>StaffSalary(Apportioned by FTE)appsalFTE</v>
      </c>
      <c r="Y628" s="15">
        <v>43441</v>
      </c>
      <c r="Z628" t="s">
        <v>95</v>
      </c>
      <c r="AA628" s="28" t="str">
        <f t="shared" si="94"/>
        <v>SUM((cc.f_xsfte01 / 100)*(CASE WHEN c.F_XPSESC01 != '1' THEN 0 WHEN c.F_XSALR01 IS NULL THEN 0 ELSE c.F_XSALR01 END))</v>
      </c>
      <c r="AB628" s="28" t="str">
        <f t="shared" si="96"/>
        <v>SUM((cc.f_xsfte01 / 100)*(CASE WHEN c.F_XPSESC01 != '1' THEN 0 WHEN c.F_XSALR01 IS NULL THEN 0 ELSE c.F_XSALR01 END))</v>
      </c>
      <c r="AC628" s="28" t="str">
        <f t="shared" si="92"/>
        <v/>
      </c>
      <c r="AD628" s="28" t="str">
        <f t="shared" si="93"/>
        <v/>
      </c>
      <c r="AE628" t="str">
        <f t="shared" si="89"/>
        <v>[Salary]</v>
      </c>
    </row>
    <row r="629" spans="1:31" ht="48" x14ac:dyDescent="0.2">
      <c r="A629">
        <v>100758</v>
      </c>
      <c r="B629" s="11" t="str">
        <f>DataItems3[[#This Row],[Field]]&amp;IF(DataItems3[[#This Row],[Options for supplying the Field]]="",""," "&amp;DataItems3[[#This Row],[Options for supplying the Field]])</f>
        <v>Salary (Full) - Rounded to the nearest thousand (less than 1K grouped)</v>
      </c>
      <c r="C629">
        <v>100758</v>
      </c>
      <c r="D629" s="3" t="s">
        <v>100</v>
      </c>
      <c r="F629" s="3" t="s">
        <v>2199</v>
      </c>
      <c r="G629" s="13" t="s">
        <v>2211</v>
      </c>
      <c r="H629" s="14" t="s">
        <v>2212</v>
      </c>
      <c r="I629" s="3" t="s">
        <v>439</v>
      </c>
      <c r="J629" s="3">
        <v>2</v>
      </c>
      <c r="K629" s="3">
        <v>4</v>
      </c>
      <c r="L629" s="3">
        <v>4</v>
      </c>
      <c r="M629" s="3">
        <v>4</v>
      </c>
      <c r="N629" s="3" t="s">
        <v>2213</v>
      </c>
      <c r="Q629" s="16" t="s">
        <v>2214</v>
      </c>
      <c r="S629" s="16" t="s">
        <v>2214</v>
      </c>
      <c r="W629" s="57" t="s">
        <v>114</v>
      </c>
      <c r="X629" t="str">
        <f>DataItems3[[#This Row],[Collection]]&amp;DataItems3[[#This Row],[Field]]&amp;DataItems3[[#This Row],[Options for supplying the Field]]&amp;DataItems3[[#This Row],[Fieldname]]&amp;DataItems3[[#This Row],[Parent]]</f>
        <v>StaffSalary(Full) - Rounded to the nearest thousand (less than 1K grouped)F_SALARY</v>
      </c>
      <c r="Y629" s="4">
        <v>44218</v>
      </c>
      <c r="Z629" t="s">
        <v>56</v>
      </c>
      <c r="AA629" s="28" t="str">
        <f t="shared" si="94"/>
        <v xml:space="preserve">CASE WHEN C.F_XSALR01=0 THEN '-99999' WHEN C.F_XSALR01 BETWEEN 1 AND 999 THEN '-88888' ELSE CAST (ROUND(C.F_XSALR01,-3) AS VARCHAR) END </v>
      </c>
      <c r="AB629" s="28" t="str">
        <f t="shared" si="96"/>
        <v xml:space="preserve">CASE WHEN C.F_XSALR01=0 THEN '-99999' WHEN C.F_XSALR01 BETWEEN 1 AND 999 THEN '-88888' ELSE CAST (ROUND(C.F_XSALR01,-3) AS VARCHAR) END </v>
      </c>
      <c r="AC629" s="28" t="str">
        <f t="shared" si="92"/>
        <v/>
      </c>
      <c r="AD629" s="28" t="str">
        <f t="shared" si="93"/>
        <v/>
      </c>
      <c r="AE629" t="str">
        <f t="shared" si="89"/>
        <v>[Salary]</v>
      </c>
    </row>
    <row r="630" spans="1:31" ht="16" x14ac:dyDescent="0.2">
      <c r="A630">
        <v>100857</v>
      </c>
      <c r="B630" s="11" t="str">
        <f>DataItems3[[#This Row],[Field]]&amp;IF(DataItems3[[#This Row],[Options for supplying the Field]]="",""," "&amp;DataItems3[[#This Row],[Options for supplying the Field]])</f>
        <v>Salary (5K bands)</v>
      </c>
      <c r="C630">
        <v>100857</v>
      </c>
      <c r="D630" s="3" t="s">
        <v>100</v>
      </c>
      <c r="F630" s="3" t="s">
        <v>2199</v>
      </c>
      <c r="G630" s="13" t="s">
        <v>2215</v>
      </c>
      <c r="H630" s="14" t="s">
        <v>2216</v>
      </c>
      <c r="J630" s="3">
        <v>5</v>
      </c>
      <c r="K630" s="3">
        <v>3</v>
      </c>
      <c r="L630" s="3">
        <v>0</v>
      </c>
      <c r="M630" s="3">
        <v>2</v>
      </c>
      <c r="Q630" s="16" t="s">
        <v>2217</v>
      </c>
      <c r="S630" s="16" t="s">
        <v>2217</v>
      </c>
      <c r="W630" s="57" t="s">
        <v>744</v>
      </c>
      <c r="X630" t="str">
        <f>DataItems3[[#This Row],[Collection]]&amp;DataItems3[[#This Row],[Field]]&amp;DataItems3[[#This Row],[Options for supplying the Field]]&amp;DataItems3[[#This Row],[Fieldname]]&amp;DataItems3[[#This Row],[Parent]]</f>
        <v>StaffSalary(5K bands)F_XSALR01</v>
      </c>
      <c r="Y630" s="4">
        <v>44684</v>
      </c>
      <c r="Z630" t="s">
        <v>135</v>
      </c>
      <c r="AA630" s="28" t="str">
        <f t="shared" si="94"/>
        <v>CASE WHEN C.F_XSALR01 BETWEEN 1 AND 10000 THEN '£10,000 and under' WHEN C.F_XSALR01 BETWEEN 10001 AND 15000 THEN '£10,001 to £15,000' WHEN C.F_XSALR01 BETWEEN 15001 AND 20000 THEN '£15,001 to £20,000' WHEN C.F_XSALR01 BETWEEN 20001 AND 25000 THEN '£20,001 to £25,000' WHEN C.F_XSALR01 BETWEEN 25001 AND 30000 THEN '£25,001 to £30,000' WHEN C.F_XSALR01 BETWEEN 30001 AND 35000 THEN '£30,001 to £35,000' WHEN C.F_XSALR01 BETWEEN 35001 AND 40000 THEN '£35,001 to £40,000' WHEN C.F_XSALR01 BETWEEN 40001 AND 45000 THEN '£40,001 to £45,000' WHEN C.F_XSALR01 BETWEEN 45001 AND 50000 THEN '£45,001 to £50,000' WHEN C.F_XSALR01 BETWEEN 50001 AND 55000 THEN '£50,001 to £55,000' WHEN C.F_XSALR01 BETWEEN 55001 AND 60000 THEN '£55,001 to £60,000' WHEN C.F_XSALR01 BETWEEN 60001 AND 65000 THEN '£60,001 to £65,000' WHEN C.F_XSALR01 BETWEEN 65001 AND 70000 THEN '£65,001 to £70,000' WHEN C.F_XSALR01 BETWEEN 70001 AND 75000 THEN '£70,001 to £75,000' WHEN C.F_XSALR01 BETWEEN 75001 AND 80000 THEN '£75,001 to £80,000' WHEN C.F_XSALR01 BETWEEN 80001 AND 85000 THEN '£80,001 to £85,000' WHEN C.F_XSALR01 BETWEEN 85001 AND 90000 THEN '£85,001 to £90,000' WHEN C.F_XSALR01 BETWEEN 90001 AND 95000 THEN '£90,001 to £95,000' WHEN C.F_XSALR01 BETWEEN 95001 AND 100000 THEN '£95,001 to £100,000' WHEN C.F_XSALR01 BETWEEN 100001 AND 9999999 THEN 'Over £100,000' ELSE 'Unknown' END</v>
      </c>
      <c r="AB630" s="28" t="str">
        <f t="shared" si="96"/>
        <v>CASE WHEN C.F_XSALR01 BETWEEN 1 AND 10000 THEN '£10,000 and under' WHEN C.F_XSALR01 BETWEEN 10001 AND 15000 THEN '£10,001 to £15,000' WHEN C.F_XSALR01 BETWEEN 15001 AND 20000 THEN '£15,001 to £20,000' WHEN C.F_XSALR01 BETWEEN 20001 AND 25000 THEN '£20,001 to £25,000' WHEN C.F_XSALR01 BETWEEN 25001 AND 30000 THEN '£25,001 to £30,000' WHEN C.F_XSALR01 BETWEEN 30001 AND 35000 THEN '£30,001 to £35,000' WHEN C.F_XSALR01 BETWEEN 35001 AND 40000 THEN '£35,001 to £40,000' WHEN C.F_XSALR01 BETWEEN 40001 AND 45000 THEN '£40,001 to £45,000' WHEN C.F_XSALR01 BETWEEN 45001 AND 50000 THEN '£45,001 to £50,000' WHEN C.F_XSALR01 BETWEEN 50001 AND 55000 THEN '£50,001 to £55,000' WHEN C.F_XSALR01 BETWEEN 55001 AND 60000 THEN '£55,001 to £60,000' WHEN C.F_XSALR01 BETWEEN 60001 AND 65000 THEN '£60,001 to £65,000' WHEN C.F_XSALR01 BETWEEN 65001 AND 70000 THEN '£65,001 to £70,000' WHEN C.F_XSALR01 BETWEEN 70001 AND 75000 THEN '£70,001 to £75,000' WHEN C.F_XSALR01 BETWEEN 75001 AND 80000 THEN '£75,001 to £80,000' WHEN C.F_XSALR01 BETWEEN 80001 AND 85000 THEN '£80,001 to £85,000' WHEN C.F_XSALR01 BETWEEN 85001 AND 90000 THEN '£85,001 to £90,000' WHEN C.F_XSALR01 BETWEEN 90001 AND 95000 THEN '£90,001 to £95,000' WHEN C.F_XSALR01 BETWEEN 95001 AND 100000 THEN '£95,001 to £100,000' WHEN C.F_XSALR01 BETWEEN 100001 AND 9999999 THEN 'Over £100,000' ELSE 'Unknown' END</v>
      </c>
      <c r="AC630" s="28" t="str">
        <f t="shared" si="92"/>
        <v/>
      </c>
      <c r="AD630" s="28" t="str">
        <f t="shared" si="93"/>
        <v/>
      </c>
      <c r="AE630" t="str">
        <f t="shared" si="89"/>
        <v>[Salary]</v>
      </c>
    </row>
    <row r="631" spans="1:31" ht="16" x14ac:dyDescent="0.2">
      <c r="A631">
        <v>100498</v>
      </c>
      <c r="B631" s="11" t="str">
        <f>DataItems3[[#This Row],[Field]]&amp;IF(DataItems3[[#This Row],[Options for supplying the Field]]="",""," "&amp;DataItems3[[#This Row],[Options for supplying the Field]])</f>
        <v>Salary (Grouped)</v>
      </c>
      <c r="C631">
        <v>100498</v>
      </c>
      <c r="D631" s="3" t="s">
        <v>100</v>
      </c>
      <c r="F631" s="3" t="s">
        <v>2199</v>
      </c>
      <c r="G631" s="13" t="s">
        <v>1208</v>
      </c>
      <c r="H631" s="14" t="s">
        <v>2216</v>
      </c>
      <c r="J631" s="3">
        <v>5</v>
      </c>
      <c r="K631" s="3">
        <v>3</v>
      </c>
      <c r="L631" s="3">
        <v>0</v>
      </c>
      <c r="M631" s="3">
        <v>2</v>
      </c>
      <c r="N631" s="3" t="s">
        <v>2204</v>
      </c>
      <c r="Q631" s="16" t="s">
        <v>3196</v>
      </c>
      <c r="R631" s="3" t="s">
        <v>93</v>
      </c>
      <c r="S631" s="16" t="s">
        <v>3196</v>
      </c>
      <c r="U631" s="3" t="s">
        <v>93</v>
      </c>
      <c r="V631" s="3" t="s">
        <v>93</v>
      </c>
      <c r="W631" s="57" t="s">
        <v>2218</v>
      </c>
      <c r="X631" t="str">
        <f>DataItems3[[#This Row],[Collection]]&amp;DataItems3[[#This Row],[Field]]&amp;DataItems3[[#This Row],[Options for supplying the Field]]&amp;DataItems3[[#This Row],[Fieldname]]&amp;DataItems3[[#This Row],[Parent]]</f>
        <v>StaffSalary(Grouped)F_XSALR01</v>
      </c>
      <c r="Y631" s="15">
        <v>43395</v>
      </c>
      <c r="Z631" t="s">
        <v>102</v>
      </c>
      <c r="AA631" s="28" t="str">
        <f t="shared" si="94"/>
        <v>CASE when c.f_xsalr01 &lt; 20092 THEN '&lt;20092' when c.f_xsalr01 &lt;26341 THEN '&gt;=20092 and &lt;26341' when c.f_xsalr01 &lt;35326 THEN '&gt;=26341 and &lt;35326' when c.f_xsalr01 &lt;47419  THEN '&gt;=35326 and &lt;47419' when c.f_xsalr01 &lt;63668 THEN '&gt;=47419 and &lt;63668' when c.f_xsalr01 between 63668 and 9999999 THEN '&gt;=63668' ELSE 'Unknown' END</v>
      </c>
      <c r="AB631" s="28" t="str">
        <f t="shared" si="96"/>
        <v>CASE when c.f_xsalr01 &lt; 20092 THEN '&lt;20092' when c.f_xsalr01 &lt;26341 THEN '&gt;=20092 and &lt;26341' when c.f_xsalr01 &lt;35326 THEN '&gt;=26341 and &lt;35326' when c.f_xsalr01 &lt;47419  THEN '&gt;=35326 and &lt;47419' when c.f_xsalr01 &lt;63668 THEN '&gt;=47419 and &lt;63668' when c.f_xsalr01 between 63668 and 9999999 THEN '&gt;=63668' ELSE 'Unknown' END</v>
      </c>
      <c r="AC631" s="28" t="str">
        <f t="shared" si="92"/>
        <v/>
      </c>
      <c r="AD631" s="28" t="str">
        <f t="shared" si="93"/>
        <v/>
      </c>
      <c r="AE631" t="str">
        <f t="shared" si="89"/>
        <v>[Salary]</v>
      </c>
    </row>
    <row r="632" spans="1:31" ht="144" x14ac:dyDescent="0.2">
      <c r="A632">
        <v>100614</v>
      </c>
      <c r="B632" s="19" t="str">
        <f>DataItems3[[#This Row],[Field]]&amp;IF(DataItems3[[#This Row],[Options for supplying the Field]]="",""," "&amp;DataItems3[[#This Row],[Options for supplying the Field]])</f>
        <v>Salary derived bands (Minimum wage - £15k/ 5k bands up to £70k/ £71k - Publication maximum/ [Unknown/Not applicable]) - for those in full-time UK paid employment only</v>
      </c>
      <c r="C632">
        <v>100614</v>
      </c>
      <c r="D632" s="3" t="s">
        <v>151</v>
      </c>
      <c r="F632" s="3" t="s">
        <v>2199</v>
      </c>
      <c r="G632" s="13" t="s">
        <v>2219</v>
      </c>
      <c r="H632" s="3" t="s">
        <v>2220</v>
      </c>
      <c r="J632" s="3">
        <v>4</v>
      </c>
      <c r="K632" s="3">
        <v>3</v>
      </c>
      <c r="L632" s="3">
        <v>2</v>
      </c>
      <c r="M632" s="3">
        <v>4</v>
      </c>
      <c r="P632" s="3" t="s">
        <v>591</v>
      </c>
      <c r="Q632" s="24" t="s">
        <v>3197</v>
      </c>
      <c r="R632" s="3" t="s">
        <v>93</v>
      </c>
      <c r="S632" s="24" t="s">
        <v>3197</v>
      </c>
      <c r="V632" s="3" t="s">
        <v>93</v>
      </c>
      <c r="W632" s="57" t="s">
        <v>2909</v>
      </c>
      <c r="X632" t="str">
        <f>DataItems3[[#This Row],[Collection]]&amp;DataItems3[[#This Row],[Field]]&amp;DataItems3[[#This Row],[Options for supplying the Field]]&amp;DataItems3[[#This Row],[Fieldname]]&amp;DataItems3[[#This Row],[Parent]]</f>
        <v>Graduate OutcomesSalaryderived bands (Minimum wage - £15k/ 5k bands up to £70k/ £71k - Publication maximum/ [Unknown/Not applicable]) - for those in full-time UK paid employment onlyF_XWRKSALBAND Provider &gt; Official Stats Derived Field &gt; Salary Work</v>
      </c>
      <c r="Y632" s="4">
        <v>44007</v>
      </c>
      <c r="Z632" t="s">
        <v>159</v>
      </c>
      <c r="AA632" s="28" t="str">
        <f t="shared" si="94"/>
        <v xml:space="preserve">CASE WHEN ISNULL(g.ZRESPSTATUS, '02') = '02' OR ISNULL(g.XACTIVITY, '99') = '99' THEN 'Not in GO publication population' WHEN g.XWRKLOCN IN ( '01', '02', '03', '04', '05', '06' ) AND g.XSALMARKER IN ( '01', '02' ) AND g.XWRKINTENSITY = '01' AND s.DW_FromDate&lt;=20190801 THEN CASE  WHEN CAST(g.XWRKSALARY AS DOUBLE PRECISION) &gt; 245000 THEN 'NA' WHEN g.XWRKCURRLOC = '1' AND CAST(g.XWRKSALARY AS DOUBLE PRECISION) &lt; 11513 AND g.DW_FromDate = 20170801 THEN 'NA' WHEN g.XWRKCURRLOC = '1' AND CAST(g.XWRKSALARY AS DOUBLE PRECISION) &lt; 9610 AND g.DW_FromDate = 20180801 THEN  'NA' WHEN g.XWRKCURRLOC = '1' AND CAST(g.XWRKSALARY AS DOUBLE PRECISION) &lt; 10233 AND g.DW_FromDate = 20190801 THEN 'NA' WHEN CAST(g.XWRKSALARY AS DOUBLE PRECISION) &lt;= 15000 THEN 'Minimum wage - £15,000' WHEN CAST(g.XWRKSALARY AS DOUBLE PRECISION) &lt;= 20000 THEN '£15,001 - £20,000' WHEN CAST(g.XWRKSALARY AS DOUBLE PRECISION) &lt;= 25000 THEN '£20,001 - £25,000' WHEN CAST(g.XWRKSALARY AS DOUBLE PRECISION) &lt;= 30000 THEN '£25,001 - £30,000' WHEN CAST(g.XWRKSALARY AS DOUBLE PRECISION) &lt;= 35000 THEN '£30,001 - £35,000' WHEN CAST(g.XWRKSALARY AS DOUBLE PRECISION) &lt;= 40000 THEN '£35,001 - £40,000' WHEN CAST(g.XWRKSALARY AS DOUBLE PRECISION) &lt;= 45000 THEN '£40,001 - £45,000' WHEN CAST(g.XWRKSALARY AS DOUBLE PRECISION) &lt;= 50000 THEN '£45,001 - £50,000' WHEN CAST(g.XWRKSALARY AS DOUBLE PRECISION) &lt;= 55000 THEN '£50,001 - £55,000' WHEN CAST(g.XWRKSALARY AS DOUBLE PRECISION) &lt;= 60000 THEN '£55,001 - £60,000' WHEN CAST(g.XWRKSALARY AS DOUBLE PRECISION) &lt;= 65000 THEN '£60,001 - £65,000' WHEN CAST(g.XWRKSALARY AS DOUBLE PRECISION) &lt;= 70000 THEN '£65,001 - £70,000' WHEN CAST(g.XWRKSALARY AS DOUBLE PRECISION) &lt;= 245000 THEN '£70,001 - £245,000' ELSE 'NA' END WHEN g.XWRKLOCN IN ( '01', '02', '03', '04', '05', '06' )AND g.XSALMARKER IN ( '01', '02' ) AND g.XWRKINTENSITY = '01'	 AND s.DW_FromDate&gt;20190801 AND g.EMPCURRENCY='1' THEN CASE WHEN CAST(g.XWRKSALARY AS DOUBLE PRECISION) &gt; 245000 THEN 'NA' WHEN CAST(g.XWRKSALARY AS DOUBLE PRECISION) &lt; 13042 AND g.DW_FromDate = 20200801 THEN 'NA' WHEN CAST(g.XWRKSALARY AS DOUBLE PRECISION) &lt;= 15000 THEN 'Minimum wage - £15,000' WHEN CAST(g.XWRKSALARY AS DOUBLE PRECISION) &lt;= 20000 THEN '£15,001 - £20,000' WHEN CAST(g.XWRKSALARY AS DOUBLE PRECISION) &lt;= 25000 THEN '£20,001 - £25,000' WHEN CAST(g.XWRKSALARY AS DOUBLE PRECISION) &lt;= 30000 THEN '£25,001 - £30,000' WHEN CAST(g.XWRKSALARY AS DOUBLE PRECISION) &lt;= 35000 THEN '£30,001 - £35,000' WHEN CAST(g.XWRKSALARY AS DOUBLE PRECISION) &lt;= 40000 THEN '£35,001 - £40,000' WHEN CAST(g.XWRKSALARY AS DOUBLE PRECISION) &lt;= 45000 THEN '£40,001 - £45,000' WHEN CAST(g.XWRKSALARY AS DOUBLE PRECISION) &lt;= 50000 THEN '£45,001 - £50,000' WHEN CAST(g.XWRKSALARY AS DOUBLE PRECISION) &lt;= 55000 THEN '£50,001 - £55,000' WHEN CAST(g.XWRKSALARY AS DOUBLE PRECISION) &lt;= 60000 THEN '£55,001 - £60,000' WHEN CAST(g.XWRKSALARY AS DOUBLE PRECISION) &lt;= 65000 THEN '£60,001 - £65,000' WHEN CAST(g.XWRKSALARY AS DOUBLE PRECISION) &lt;= 70000 THEN '£65,001 - £70,000' WHEN CAST(g.XWRKSALARY AS DOUBLE PRECISION) &lt;= 245000 THEN '£70,001 - £245,000' ELSE 'NA' END ELSE 'NA' END </v>
      </c>
      <c r="AB632" s="28" t="str">
        <f t="shared" si="96"/>
        <v xml:space="preserve">CASE WHEN ISNULL(g.ZRESPSTATUS, '02') = '02' OR ISNULL(g.XACTIVITY, '99') = '99' THEN 'Not in GO publication population' WHEN g.XWRKLOCN IN ( '01', '02', '03', '04', '05', '06' ) AND g.XSALMARKER IN ( '01', '02' ) AND g.XWRKINTENSITY = '01' AND s.DW_FromDate&lt;=20190801 THEN CASE  WHEN CAST(g.XWRKSALARY AS DOUBLE PRECISION) &gt; 245000 THEN 'NA' WHEN g.XWRKCURRLOC = '1' AND CAST(g.XWRKSALARY AS DOUBLE PRECISION) &lt; 11513 AND g.DW_FromDate = 20170801 THEN 'NA' WHEN g.XWRKCURRLOC = '1' AND CAST(g.XWRKSALARY AS DOUBLE PRECISION) &lt; 9610 AND g.DW_FromDate = 20180801 THEN  'NA' WHEN g.XWRKCURRLOC = '1' AND CAST(g.XWRKSALARY AS DOUBLE PRECISION) &lt; 10233 AND g.DW_FromDate = 20190801 THEN 'NA' WHEN CAST(g.XWRKSALARY AS DOUBLE PRECISION) &lt;= 15000 THEN 'Minimum wage - £15,000' WHEN CAST(g.XWRKSALARY AS DOUBLE PRECISION) &lt;= 20000 THEN '£15,001 - £20,000' WHEN CAST(g.XWRKSALARY AS DOUBLE PRECISION) &lt;= 25000 THEN '£20,001 - £25,000' WHEN CAST(g.XWRKSALARY AS DOUBLE PRECISION) &lt;= 30000 THEN '£25,001 - £30,000' WHEN CAST(g.XWRKSALARY AS DOUBLE PRECISION) &lt;= 35000 THEN '£30,001 - £35,000' WHEN CAST(g.XWRKSALARY AS DOUBLE PRECISION) &lt;= 40000 THEN '£35,001 - £40,000' WHEN CAST(g.XWRKSALARY AS DOUBLE PRECISION) &lt;= 45000 THEN '£40,001 - £45,000' WHEN CAST(g.XWRKSALARY AS DOUBLE PRECISION) &lt;= 50000 THEN '£45,001 - £50,000' WHEN CAST(g.XWRKSALARY AS DOUBLE PRECISION) &lt;= 55000 THEN '£50,001 - £55,000' WHEN CAST(g.XWRKSALARY AS DOUBLE PRECISION) &lt;= 60000 THEN '£55,001 - £60,000' WHEN CAST(g.XWRKSALARY AS DOUBLE PRECISION) &lt;= 65000 THEN '£60,001 - £65,000' WHEN CAST(g.XWRKSALARY AS DOUBLE PRECISION) &lt;= 70000 THEN '£65,001 - £70,000' WHEN CAST(g.XWRKSALARY AS DOUBLE PRECISION) &lt;= 245000 THEN '£70,001 - £245,000' ELSE 'NA' END WHEN g.XWRKLOCN IN ( '01', '02', '03', '04', '05', '06' )AND g.XSALMARKER IN ( '01', '02' ) AND g.XWRKINTENSITY = '01'	 AND s.DW_FromDate&gt;20190801 AND g.EMPCURRENCY='1' THEN CASE WHEN CAST(g.XWRKSALARY AS DOUBLE PRECISION) &gt; 245000 THEN 'NA' WHEN CAST(g.XWRKSALARY AS DOUBLE PRECISION) &lt; 13042 AND g.DW_FromDate = 20200801 THEN 'NA' WHEN CAST(g.XWRKSALARY AS DOUBLE PRECISION) &lt;= 15000 THEN 'Minimum wage - £15,000' WHEN CAST(g.XWRKSALARY AS DOUBLE PRECISION) &lt;= 20000 THEN '£15,001 - £20,000' WHEN CAST(g.XWRKSALARY AS DOUBLE PRECISION) &lt;= 25000 THEN '£20,001 - £25,000' WHEN CAST(g.XWRKSALARY AS DOUBLE PRECISION) &lt;= 30000 THEN '£25,001 - £30,000' WHEN CAST(g.XWRKSALARY AS DOUBLE PRECISION) &lt;= 35000 THEN '£30,001 - £35,000' WHEN CAST(g.XWRKSALARY AS DOUBLE PRECISION) &lt;= 40000 THEN '£35,001 - £40,000' WHEN CAST(g.XWRKSALARY AS DOUBLE PRECISION) &lt;= 45000 THEN '£40,001 - £45,000' WHEN CAST(g.XWRKSALARY AS DOUBLE PRECISION) &lt;= 50000 THEN '£45,001 - £50,000' WHEN CAST(g.XWRKSALARY AS DOUBLE PRECISION) &lt;= 55000 THEN '£50,001 - £55,000' WHEN CAST(g.XWRKSALARY AS DOUBLE PRECISION) &lt;= 60000 THEN '£55,001 - £60,000' WHEN CAST(g.XWRKSALARY AS DOUBLE PRECISION) &lt;= 65000 THEN '£60,001 - £65,000' WHEN CAST(g.XWRKSALARY AS DOUBLE PRECISION) &lt;= 70000 THEN '£65,001 - £70,000' WHEN CAST(g.XWRKSALARY AS DOUBLE PRECISION) &lt;= 245000 THEN '£70,001 - £245,000' ELSE 'NA' END ELSE 'NA' END </v>
      </c>
      <c r="AC632" s="28" t="str">
        <f t="shared" si="92"/>
        <v/>
      </c>
      <c r="AD632" s="28" t="str">
        <f t="shared" si="93"/>
        <v/>
      </c>
      <c r="AE632" t="str">
        <f t="shared" si="89"/>
        <v>[Salary]</v>
      </c>
    </row>
    <row r="633" spans="1:31" ht="96" x14ac:dyDescent="0.2">
      <c r="A633">
        <v>100635</v>
      </c>
      <c r="B633" s="19" t="str">
        <f>DataItems3[[#This Row],[Field]]&amp;IF(DataItems3[[#This Row],[Options for supplying the Field]]="",""," "&amp;DataItems3[[#This Row],[Options for supplying the Field]])</f>
        <v xml:space="preserve">Salary [XWRKSALARY] (Rounded to the nearest £1,000)- for those in full-time UK paid employment excluding salary outliers. </v>
      </c>
      <c r="C633">
        <v>100635</v>
      </c>
      <c r="D633" s="3" t="s">
        <v>151</v>
      </c>
      <c r="F633" s="3" t="s">
        <v>2199</v>
      </c>
      <c r="G633" s="13" t="s">
        <v>2221</v>
      </c>
      <c r="H633" s="3" t="s">
        <v>2222</v>
      </c>
      <c r="J633" s="3">
        <v>1</v>
      </c>
      <c r="K633" s="3">
        <v>2</v>
      </c>
      <c r="L633" s="3">
        <v>2</v>
      </c>
      <c r="M633" s="3">
        <v>4</v>
      </c>
      <c r="P633" s="3" t="s">
        <v>591</v>
      </c>
      <c r="Q633" s="24" t="s">
        <v>3198</v>
      </c>
      <c r="R633" s="3" t="s">
        <v>93</v>
      </c>
      <c r="S633" s="16" t="s">
        <v>3198</v>
      </c>
      <c r="U633" s="3" t="s">
        <v>2138</v>
      </c>
      <c r="V633" s="3" t="s">
        <v>93</v>
      </c>
      <c r="W633" s="57" t="s">
        <v>2909</v>
      </c>
      <c r="X633" t="str">
        <f>DataItems3[[#This Row],[Collection]]&amp;DataItems3[[#This Row],[Field]]&amp;DataItems3[[#This Row],[Options for supplying the Field]]&amp;DataItems3[[#This Row],[Fieldname]]&amp;DataItems3[[#This Row],[Parent]]</f>
        <v>Graduate OutcomesSalary[XWRKSALARY] (Rounded to the nearest £1,000)- for those in full-time UK paid employment excluding salary outliers. XWRKSALARYProvider &gt; Official Stats Derived Field &gt; Salary Work</v>
      </c>
      <c r="Y633" s="15">
        <v>44008</v>
      </c>
      <c r="Z633" t="s">
        <v>159</v>
      </c>
      <c r="AA633" s="28" t="str">
        <f t="shared" si="94"/>
        <v>CASE WHEN ISNULL(g.ZRESPSTATUS, '02') = '02' OR ISNULL(g.XACTIVITY, '99') = '99' THEN 'Not in GO publication population' WHEN g.XWRKLOCN IN ( '01', '02', '03', '04', '05', '06' ) AND g.XSALMARKER IN ( '01', '02' ) AND g.XWRKINTENSITY = '01' AND s.DW_FromDate&lt;=20190801 THEN CASE WHEN g.XWRKCURRLOC = '1' AND CAST(g.XWRKSALARY AS DOUBLE PRECISION) &lt; 11513 AND g.DW_FromDate = 20170801 THEN 'NA' WHEN g.XWRKCURRLOC = '1' AND CAST(g.XWRKSALARY AS DOUBLE PRECISION) &lt; 9610 AND g.DW_FromDate = 20180801 THEN 'NA' WHEN g.XWRKCURRLOC = '1' AND CAST(g.XWRKSALARY AS DOUBLE PRECISION) &lt; 10233 AND g.DW_FromDate = 20190801 THEN 'NA' WHEN CAST(g.XWRKSALARY AS DOUBLE PRECISION) &gt; 245000 THEN 'NA' ELSE CAST(ROUND(g.XWRKSALARY, -3) AS VARCHAR) END WHEN g.XWRKLOCN IN ( '01', '02', '03', '04', '05', '06' ) AND g.XSALMARKER IN ( '01', '02' ) AND g.XWRKINTENSITY = '01' AND s.DW_FromDate&gt;20190801 AND g.EMPCURRENCY='1' THEN CASE WHEN CAST(g.XWRKSALARY AS DOUBLE PRECISION) &lt; 13042 AND g.DW_FromDate = 20200801 THEN 'NA' WHEN CAST(g.XWRKSALARY AS DOUBLE PRECISION) &gt; 245000 THEN 'NA' ELSE CAST(ROUND(g.XWRKSALARY, -3) AS VARCHAR) END  ELSE 'NA' END</v>
      </c>
      <c r="AB633" s="28" t="str">
        <f>IF(S633="","",IF(IFERROR(SEARCH("select",S633)&gt;0,0),IF(U633="",IF(MID(S633,SEARCH(H633,S633)-4,1)=" ",MID(S633,SEARCH(H633,S633)-2,LEN(#REF!)+2),MID(S633,SEARCH(H633,S633)-3,LEN(H633)+3)),U633&amp;"."&amp;H633),S633))</f>
        <v>CASE WHEN ISNULL(g.ZRESPSTATUS, '02') = '02' OR ISNULL(g.XACTIVITY, '99') = '99' THEN 'Not in GO publication population' WHEN g.XWRKLOCN IN ( '01', '02', '03', '04', '05', '06' ) AND g.XSALMARKER IN ( '01', '02' ) AND g.XWRKINTENSITY = '01' AND s.DW_FromDate&lt;=20190801 THEN CASE WHEN g.XWRKCURRLOC = '1' AND CAST(g.XWRKSALARY AS DOUBLE PRECISION) &lt; 11513 AND g.DW_FromDate = 20170801 THEN 'NA' WHEN g.XWRKCURRLOC = '1' AND CAST(g.XWRKSALARY AS DOUBLE PRECISION) &lt; 9610 AND g.DW_FromDate = 20180801 THEN 'NA' WHEN g.XWRKCURRLOC = '1' AND CAST(g.XWRKSALARY AS DOUBLE PRECISION) &lt; 10233 AND g.DW_FromDate = 20190801 THEN 'NA' WHEN CAST(g.XWRKSALARY AS DOUBLE PRECISION) &gt; 245000 THEN 'NA' ELSE CAST(ROUND(g.XWRKSALARY, -3) AS VARCHAR) END WHEN g.XWRKLOCN IN ( '01', '02', '03', '04', '05', '06' ) AND g.XSALMARKER IN ( '01', '02' ) AND g.XWRKINTENSITY = '01' AND s.DW_FromDate&gt;20190801 AND g.EMPCURRENCY='1' THEN CASE WHEN CAST(g.XWRKSALARY AS DOUBLE PRECISION) &lt; 13042 AND g.DW_FromDate = 20200801 THEN 'NA' WHEN CAST(g.XWRKSALARY AS DOUBLE PRECISION) &gt; 245000 THEN 'NA' ELSE CAST(ROUND(g.XWRKSALARY, -3) AS VARCHAR) END  ELSE 'NA' END</v>
      </c>
      <c r="AC633" s="28" t="str">
        <f t="shared" si="92"/>
        <v/>
      </c>
      <c r="AD633" s="28" t="str">
        <f>IF(T633="","",IF(IFERROR(SEARCH("select",T633)&gt;0,0),IF(U633="",IF(MID(T633,SEARCH(H633,T633)-4,1)=" ",MID(T633,SEARCH(H633,T633)-2,LEN(#REF!)+2),MID(T633,SEARCH(H633,T633)-3,LEN(H633)+3)),U633&amp;"."&amp;H633),T633))</f>
        <v/>
      </c>
      <c r="AE633" t="str">
        <f t="shared" si="89"/>
        <v>[Salary]</v>
      </c>
    </row>
    <row r="634" spans="1:31" ht="16" x14ac:dyDescent="0.2">
      <c r="A634">
        <v>100501</v>
      </c>
      <c r="B634" s="11" t="str">
        <f>DataItems3[[#This Row],[Field]]&amp;IF(DataItems3[[#This Row],[Options for supplying the Field]]="",""," "&amp;DataItems3[[#This Row],[Options for supplying the Field]])</f>
        <v>Salary currency [EMPCURRENCY]</v>
      </c>
      <c r="C634">
        <v>100501</v>
      </c>
      <c r="D634" s="3" t="s">
        <v>151</v>
      </c>
      <c r="F634" s="3" t="s">
        <v>2223</v>
      </c>
      <c r="G634" s="13" t="s">
        <v>2224</v>
      </c>
      <c r="H634" s="3" t="s">
        <v>2225</v>
      </c>
      <c r="J634" s="3">
        <v>2</v>
      </c>
      <c r="K634" s="3">
        <v>1</v>
      </c>
      <c r="L634" s="3">
        <v>2</v>
      </c>
      <c r="M634" s="3">
        <v>0</v>
      </c>
      <c r="P634" s="3" t="s">
        <v>874</v>
      </c>
      <c r="Q634" s="16" t="s">
        <v>2226</v>
      </c>
      <c r="R634" s="3" t="s">
        <v>93</v>
      </c>
      <c r="S634" s="16" t="s">
        <v>3199</v>
      </c>
      <c r="U634" s="3" t="s">
        <v>2227</v>
      </c>
      <c r="V634" s="3" t="s">
        <v>93</v>
      </c>
      <c r="W634" s="57" t="s">
        <v>2909</v>
      </c>
      <c r="X634" t="str">
        <f>DataItems3[[#This Row],[Collection]]&amp;DataItems3[[#This Row],[Field]]&amp;DataItems3[[#This Row],[Options for supplying the Field]]&amp;DataItems3[[#This Row],[Fieldname]]&amp;DataItems3[[#This Row],[Parent]]</f>
        <v>Graduate OutcomesSalary currency[EMPCURRENCY]EMPCURRENCYProvider &gt; Graduate &gt; Employment:</v>
      </c>
      <c r="Y634" s="15">
        <v>43550</v>
      </c>
      <c r="Z634" t="s">
        <v>159</v>
      </c>
      <c r="AA634" s="28" t="str">
        <f t="shared" si="94"/>
        <v>CASE WHEN ISNULL(g.ZRESPSTATUS, '02')='02' OR ISNULL(g.XACTIVITY, '99')='99' THEN 'Not in GO publication population' else IIF(isnull(g.EMPCURRENCY,'')='','N/A',g.EMPCURRENCY) end</v>
      </c>
      <c r="AB634" s="28" t="str">
        <f t="shared" ref="AB634:AB641" si="97">IF(S634="","",IF(IFERROR(SEARCH("select",S634)&gt;0,0),IF(U634="",IF(MID(S634,SEARCH(H634,S634)-4,1)=" ",MID(S634,SEARCH(H634,S634)-2,LEN(O642)+2),MID(S634,SEARCH(H634,S634)-3,LEN(H634)+3)),U634&amp;"."&amp;H634),S634))</f>
        <v>CASE WHEN ISNULL(g.ZRESPSTATUS, '02')='02' OR ISNULL(g.XACTIVITY, '99')='99' THEN 'Not in GO publication population' else IIF(isnull(g.EMPCURRENCY,'')='','N/A',empcurrency.label) end</v>
      </c>
      <c r="AC634" s="28" t="str">
        <f t="shared" si="92"/>
        <v/>
      </c>
      <c r="AD634" s="28" t="str">
        <f t="shared" ref="AD634:AD641" si="98">IF(T634="","",IF(IFERROR(SEARCH("select",T634)&gt;0,0),IF(U634="",IF(MID(T634,SEARCH(H634,T634)-4,1)=" ",MID(T634,SEARCH(H634,T634)-2,LEN(O642)+2),MID(T634,SEARCH(H634,T634)-3,LEN(H634)+3)),U634&amp;"."&amp;H634),T634))</f>
        <v/>
      </c>
      <c r="AE634" t="str">
        <f t="shared" si="89"/>
        <v>[Salary currency]</v>
      </c>
    </row>
    <row r="635" spans="1:31" ht="16" x14ac:dyDescent="0.2">
      <c r="A635">
        <v>100502</v>
      </c>
      <c r="B635" s="11" t="str">
        <f>DataItems3[[#This Row],[Field]]&amp;IF(DataItems3[[#This Row],[Options for supplying the Field]]="",""," "&amp;DataItems3[[#This Row],[Options for supplying the Field]])</f>
        <v>Salary currency [ZCURRENCY]</v>
      </c>
      <c r="C635">
        <v>100502</v>
      </c>
      <c r="D635" s="3" t="s">
        <v>151</v>
      </c>
      <c r="F635" s="3" t="s">
        <v>2223</v>
      </c>
      <c r="G635" s="13" t="s">
        <v>2228</v>
      </c>
      <c r="H635" s="3" t="s">
        <v>2229</v>
      </c>
      <c r="J635" s="3">
        <v>1</v>
      </c>
      <c r="K635" s="3">
        <v>1</v>
      </c>
      <c r="L635" s="3">
        <v>2</v>
      </c>
      <c r="M635" s="3">
        <v>0</v>
      </c>
      <c r="P635" s="3" t="s">
        <v>502</v>
      </c>
      <c r="Q635" s="16" t="s">
        <v>2230</v>
      </c>
      <c r="R635" s="3" t="s">
        <v>93</v>
      </c>
      <c r="S635" s="16" t="s">
        <v>3200</v>
      </c>
      <c r="U635" s="3" t="s">
        <v>2231</v>
      </c>
      <c r="V635" s="3" t="s">
        <v>93</v>
      </c>
      <c r="W635" s="57" t="s">
        <v>2909</v>
      </c>
      <c r="X635" t="str">
        <f>DataItems3[[#This Row],[Collection]]&amp;DataItems3[[#This Row],[Field]]&amp;DataItems3[[#This Row],[Options for supplying the Field]]&amp;DataItems3[[#This Row],[Fieldname]]&amp;DataItems3[[#This Row],[Parent]]</f>
        <v>Graduate OutcomesSalary currency[ZCURRENCY]ZCURRENCYProvider &gt; Processing Field</v>
      </c>
      <c r="Y635" s="15">
        <v>43550</v>
      </c>
      <c r="Z635" t="s">
        <v>159</v>
      </c>
      <c r="AA635" s="28" t="str">
        <f t="shared" si="94"/>
        <v>CASE WHEN ISNULL(g.ZRESPSTATUS, '02')='02' OR ISNULL(g.XACTIVITY, '99')='99' THEN 'Not in GO publication population' else isnull(g.ZCURRENCY,'999') end</v>
      </c>
      <c r="AB635" s="28" t="str">
        <f t="shared" si="97"/>
        <v>CASE WHEN ISNULL(g.ZRESPSTATUS, '02')='02' OR ISNULL(g.XACTIVITY, '99')='99' THEN 'Not in GO publication population' else isnull(zcurrency.label,'999') end</v>
      </c>
      <c r="AC635" s="28" t="str">
        <f t="shared" si="92"/>
        <v/>
      </c>
      <c r="AD635" s="28" t="str">
        <f t="shared" si="98"/>
        <v/>
      </c>
      <c r="AE635" t="str">
        <f t="shared" si="89"/>
        <v>[Salary currency]</v>
      </c>
    </row>
    <row r="636" spans="1:31" ht="64" x14ac:dyDescent="0.2">
      <c r="A636">
        <v>100504</v>
      </c>
      <c r="B636" s="11" t="str">
        <f>DataItems3[[#This Row],[Field]]&amp;IF(DataItems3[[#This Row],[Options for supplying the Field]]="",""," "&amp;DataItems3[[#This Row],[Options for supplying the Field]])</f>
        <v>Salary marker (Full-time paid employment/ Other employment/ Not in employment)</v>
      </c>
      <c r="C636">
        <v>100504</v>
      </c>
      <c r="D636" s="3" t="s">
        <v>146</v>
      </c>
      <c r="F636" s="3" t="s">
        <v>2232</v>
      </c>
      <c r="G636" s="13" t="s">
        <v>2233</v>
      </c>
      <c r="H636" s="14" t="s">
        <v>93</v>
      </c>
      <c r="J636" s="3">
        <v>3</v>
      </c>
      <c r="K636" s="3">
        <v>3</v>
      </c>
      <c r="L636" s="3">
        <v>0</v>
      </c>
      <c r="M636" s="3">
        <v>0</v>
      </c>
      <c r="N636" s="3" t="s">
        <v>89</v>
      </c>
      <c r="Q636" s="16" t="s">
        <v>93</v>
      </c>
      <c r="R636" s="3" t="s">
        <v>93</v>
      </c>
      <c r="S636" s="16" t="s">
        <v>93</v>
      </c>
      <c r="U636" s="3" t="s">
        <v>93</v>
      </c>
      <c r="V636" s="3" t="s">
        <v>93</v>
      </c>
      <c r="W636" s="57" t="s">
        <v>2926</v>
      </c>
      <c r="X636" t="str">
        <f>DataItems3[[#This Row],[Collection]]&amp;DataItems3[[#This Row],[Field]]&amp;DataItems3[[#This Row],[Options for supplying the Field]]&amp;DataItems3[[#This Row],[Fieldname]]&amp;DataItems3[[#This Row],[Parent]]</f>
        <v>DLHESalary marker(Full-time paid employment/ Other employment/ Not in employment)</v>
      </c>
      <c r="Y636" s="15">
        <v>43416</v>
      </c>
      <c r="Z636" t="s">
        <v>95</v>
      </c>
      <c r="AA636" s="28" t="str">
        <f t="shared" si="94"/>
        <v/>
      </c>
      <c r="AB636" s="28" t="str">
        <f t="shared" si="97"/>
        <v/>
      </c>
      <c r="AC636" s="28" t="str">
        <f t="shared" si="92"/>
        <v/>
      </c>
      <c r="AD636" s="28" t="str">
        <f t="shared" si="98"/>
        <v/>
      </c>
      <c r="AE636" t="str">
        <f t="shared" si="89"/>
        <v>[Salary marker]</v>
      </c>
    </row>
    <row r="637" spans="1:31" ht="16" x14ac:dyDescent="0.2">
      <c r="A637">
        <v>100624</v>
      </c>
      <c r="B637" s="19" t="str">
        <f>DataItems3[[#This Row],[Field]]&amp;IF(DataItems3[[#This Row],[Options for supplying the Field]]="",""," "&amp;DataItems3[[#This Row],[Options for supplying the Field]])</f>
        <v>Salary marker [XSALMARKER]</v>
      </c>
      <c r="C637">
        <v>100624</v>
      </c>
      <c r="D637" s="3" t="s">
        <v>151</v>
      </c>
      <c r="F637" s="3" t="s">
        <v>2232</v>
      </c>
      <c r="G637" s="13" t="str">
        <f>"["&amp;H637&amp;"]"</f>
        <v>[XSALMARKER]</v>
      </c>
      <c r="H637" s="3" t="s">
        <v>2234</v>
      </c>
      <c r="J637" s="3">
        <v>1</v>
      </c>
      <c r="K637" s="3">
        <v>1</v>
      </c>
      <c r="L637" s="3">
        <v>0</v>
      </c>
      <c r="M637" s="3">
        <v>0</v>
      </c>
      <c r="P637" s="3" t="s">
        <v>952</v>
      </c>
      <c r="Q637" s="16" t="s">
        <v>2235</v>
      </c>
      <c r="R637" s="3" t="s">
        <v>93</v>
      </c>
      <c r="S637" s="16" t="s">
        <v>2236</v>
      </c>
      <c r="U637" s="3" t="s">
        <v>2237</v>
      </c>
      <c r="V637" s="3" t="s">
        <v>93</v>
      </c>
      <c r="W637" s="57" t="s">
        <v>2909</v>
      </c>
      <c r="X637" t="str">
        <f>DataItems3[[#This Row],[Collection]]&amp;DataItems3[[#This Row],[Field]]&amp;DataItems3[[#This Row],[Options for supplying the Field]]&amp;DataItems3[[#This Row],[Fieldname]]&amp;DataItems3[[#This Row],[Parent]]</f>
        <v>Graduate OutcomesSalary marker[XSALMARKER]XSALMARKERProvider &gt; Official Stats Derived Field &gt; Work</v>
      </c>
      <c r="Y637" s="15">
        <v>44008</v>
      </c>
      <c r="Z637" t="s">
        <v>159</v>
      </c>
      <c r="AA637" s="28" t="str">
        <f t="shared" si="94"/>
        <v>CASE WHEN ISNULL(g.ZRESPSTATUS, '02')='02' OR ISNULL(g.XACTIVITY, '99')='99' THEN 'Not in GO publication population' else isnull(g.XSALMARKER,'NA/UNK') end</v>
      </c>
      <c r="AB637" s="28" t="str">
        <f t="shared" si="97"/>
        <v>CASE WHEN ISNULL(g.ZRESPSTATUS, '02')='02' OR ISNULL(g.XACTIVITY, '99')='99' THEN 'Not in GO publication population' else isnull(XSALMARKER.label,'NA/UNK') end</v>
      </c>
      <c r="AC637" s="28" t="str">
        <f t="shared" si="92"/>
        <v/>
      </c>
      <c r="AD637" s="28" t="str">
        <f t="shared" si="98"/>
        <v/>
      </c>
      <c r="AE637" t="str">
        <f t="shared" si="89"/>
        <v>[Salary marker]</v>
      </c>
    </row>
    <row r="638" spans="1:31" ht="16" x14ac:dyDescent="0.2">
      <c r="A638">
        <v>100505</v>
      </c>
      <c r="B638" s="11" t="str">
        <f>DataItems3[[#This Row],[Field]]&amp;IF(DataItems3[[#This Row],[Options for supplying the Field]]="",""," "&amp;DataItems3[[#This Row],[Options for supplying the Field]])</f>
        <v>Salary point</v>
      </c>
      <c r="C638">
        <v>100505</v>
      </c>
      <c r="D638" s="3" t="s">
        <v>100</v>
      </c>
      <c r="F638" s="3" t="s">
        <v>2238</v>
      </c>
      <c r="G638" s="13"/>
      <c r="H638" s="14" t="s">
        <v>2239</v>
      </c>
      <c r="J638" s="3">
        <v>1</v>
      </c>
      <c r="K638" s="3">
        <v>3</v>
      </c>
      <c r="L638" s="3">
        <v>1</v>
      </c>
      <c r="M638" s="3">
        <v>4</v>
      </c>
      <c r="N638" s="3" t="s">
        <v>89</v>
      </c>
      <c r="Q638" s="16" t="s">
        <v>2240</v>
      </c>
      <c r="R638" s="3" t="s">
        <v>93</v>
      </c>
      <c r="S638" s="16" t="s">
        <v>2240</v>
      </c>
      <c r="U638" s="3" t="s">
        <v>93</v>
      </c>
      <c r="V638" s="3" t="s">
        <v>93</v>
      </c>
      <c r="W638" s="57" t="s">
        <v>145</v>
      </c>
      <c r="X638" t="str">
        <f>DataItems3[[#This Row],[Collection]]&amp;DataItems3[[#This Row],[Field]]&amp;DataItems3[[#This Row],[Options for supplying the Field]]&amp;DataItems3[[#This Row],[Fieldname]]&amp;DataItems3[[#This Row],[Parent]]</f>
        <v>StaffSalary pointF_SPOINT</v>
      </c>
      <c r="Y638" s="15">
        <v>43482</v>
      </c>
      <c r="Z638" t="s">
        <v>225</v>
      </c>
      <c r="AA638" s="28" t="str">
        <f t="shared" si="94"/>
        <v>isnull(c.f_spoint,'XXX')</v>
      </c>
      <c r="AB638" s="28" t="str">
        <f t="shared" si="97"/>
        <v>isnull(c.f_spoint,'XXX')</v>
      </c>
      <c r="AC638" s="28" t="str">
        <f t="shared" si="92"/>
        <v/>
      </c>
      <c r="AD638" s="28" t="str">
        <f t="shared" si="98"/>
        <v/>
      </c>
      <c r="AE638" t="str">
        <f t="shared" ref="AE638:AE701" si="99">IF(F638="","","["&amp;SUBSTITUTE(SUBSTITUTE(SUBSTITUTE(F638,"[","{"),"]","}"),"⁽"&amp;CHAR(185)&amp;"⁾","")&amp;"]")</f>
        <v>[Salary point]</v>
      </c>
    </row>
    <row r="639" spans="1:31" ht="16" x14ac:dyDescent="0.2">
      <c r="A639">
        <v>100514</v>
      </c>
      <c r="B639" s="11" t="str">
        <f>DataItems3[[#This Row],[Field]]&amp;IF(DataItems3[[#This Row],[Options for supplying the Field]]="",""," "&amp;DataItems3[[#This Row],[Options for supplying the Field]])</f>
        <v>Science cost centre marker</v>
      </c>
      <c r="C639">
        <v>100514</v>
      </c>
      <c r="D639" s="3" t="s">
        <v>86</v>
      </c>
      <c r="F639" s="3" t="s">
        <v>3201</v>
      </c>
      <c r="G639" s="13"/>
      <c r="H639" s="14" t="s">
        <v>3202</v>
      </c>
      <c r="I639" s="22" t="s">
        <v>536</v>
      </c>
      <c r="J639" s="3">
        <v>5</v>
      </c>
      <c r="K639" s="3">
        <v>2</v>
      </c>
      <c r="L639" s="3">
        <v>0</v>
      </c>
      <c r="M639" s="3">
        <v>0</v>
      </c>
      <c r="N639" s="3" t="s">
        <v>106</v>
      </c>
      <c r="Q639" s="16" t="s">
        <v>3203</v>
      </c>
      <c r="R639" s="3" t="s">
        <v>91</v>
      </c>
      <c r="S639" s="16" t="s">
        <v>3203</v>
      </c>
      <c r="U639" s="3" t="s">
        <v>219</v>
      </c>
      <c r="V639" s="3" t="s">
        <v>93</v>
      </c>
      <c r="W639" s="57" t="s">
        <v>791</v>
      </c>
      <c r="X639" t="str">
        <f>DataItems3[[#This Row],[Collection]]&amp;DataItems3[[#This Row],[Field]]&amp;DataItems3[[#This Row],[Options for supplying the Field]]&amp;DataItems3[[#This Row],[Fieldname]]&amp;DataItems3[[#This Row],[Parent]]</f>
        <v>StudentScience cost centre markerScience_mkr</v>
      </c>
      <c r="Y639" s="15">
        <v>43441</v>
      </c>
      <c r="Z639" t="s">
        <v>95</v>
      </c>
      <c r="AA639" s="28" t="str">
        <f t="shared" si="94"/>
        <v>CASE WHEN cc.F_CCENTRE IN ('110', '106', '126', '123', '112', '116', '113', '118', '102', '101', '111', '119', '115', '124', '121', '122', '120', '117', '103', '107', '114', '104', '109') THEN 'Science' ELSE 'Non Science' END</v>
      </c>
      <c r="AB639" s="28" t="str">
        <f t="shared" si="97"/>
        <v>CASE WHEN cc.F_CCENTRE IN ('110', '106', '126', '123', '112', '116', '113', '118', '102', '101', '111', '119', '115', '124', '121', '122', '120', '117', '103', '107', '114', '104', '109') THEN 'Science' ELSE 'Non Science' END</v>
      </c>
      <c r="AC639" s="28" t="str">
        <f t="shared" si="92"/>
        <v xml:space="preserve"> </v>
      </c>
      <c r="AD639" s="28" t="str">
        <f t="shared" si="98"/>
        <v/>
      </c>
      <c r="AE639" t="str">
        <f t="shared" si="99"/>
        <v>[Science cost centre marker]</v>
      </c>
    </row>
    <row r="640" spans="1:31" ht="16" x14ac:dyDescent="0.2">
      <c r="A640">
        <v>100515</v>
      </c>
      <c r="B640" s="11" t="str">
        <f>DataItems3[[#This Row],[Field]]&amp;IF(DataItems3[[#This Row],[Options for supplying the Field]]="",""," "&amp;DataItems3[[#This Row],[Options for supplying the Field]])</f>
        <v>Science subject marker (CAH 2019/20 onwards)</v>
      </c>
      <c r="C640">
        <v>100515</v>
      </c>
      <c r="D640" s="3" t="s">
        <v>86</v>
      </c>
      <c r="E640" s="3" t="s">
        <v>106</v>
      </c>
      <c r="F640" s="3" t="s">
        <v>3204</v>
      </c>
      <c r="G640" s="13" t="s">
        <v>2293</v>
      </c>
      <c r="H640" s="14" t="s">
        <v>3205</v>
      </c>
      <c r="J640" s="3">
        <v>5</v>
      </c>
      <c r="K640" s="3">
        <v>1</v>
      </c>
      <c r="L640" s="3">
        <v>0</v>
      </c>
      <c r="M640" s="3">
        <v>0</v>
      </c>
      <c r="N640" s="3" t="s">
        <v>106</v>
      </c>
      <c r="Q640" s="16" t="s">
        <v>3206</v>
      </c>
      <c r="R640" s="16" t="s">
        <v>3206</v>
      </c>
      <c r="S640" s="16" t="s">
        <v>3207</v>
      </c>
      <c r="T640" s="16" t="s">
        <v>3207</v>
      </c>
      <c r="U640" s="3" t="s">
        <v>1782</v>
      </c>
      <c r="V640" s="3" t="s">
        <v>93</v>
      </c>
      <c r="W640" s="57" t="s">
        <v>791</v>
      </c>
      <c r="X640" t="str">
        <f>DataItems3[[#This Row],[Collection]]&amp;DataItems3[[#This Row],[Field]]&amp;DataItems3[[#This Row],[Options for supplying the Field]]&amp;DataItems3[[#This Row],[Fieldname]]&amp;DataItems3[[#This Row],[Parent]]</f>
        <v>StudentScience subject marker(CAH 2019/20 onwards)Science_CAH</v>
      </c>
      <c r="Y640" s="15">
        <v>43441</v>
      </c>
      <c r="Z640" t="s">
        <v>95</v>
      </c>
      <c r="AA640" s="28" t="str">
        <f t="shared" si="94"/>
        <v>CASE WHEN s.DW_FromDate &lt; 20190801 THEN 'N/A'  WHEN substring(dsj.f_xcah01_1_3_4,4,2) IN ('14','15','16','17','18','19','20','21','22','23','24','25') OR dsj.f_xcah03_1_3_4 = 'CAH26-01-03' THEN 'Non Science 'ELSE 'Science' END</v>
      </c>
      <c r="AB640" s="28" t="str">
        <f t="shared" si="97"/>
        <v>CASE WHEN s.DW_FromDate &lt; 20190801 THEN 'N/A' WHEN substring(dsj.f_xcah01_1_3_4,4,2) IN ('14','15','16','17','18','19','20','21','22','23','24','25') OR dsj.f_xcah03_1_3_4 = 'CAH26-01-03' THEN 'Non Science 'ELSE 'Science' END</v>
      </c>
      <c r="AC640" s="28" t="str">
        <f t="shared" si="92"/>
        <v>CASE WHEN s.DW_FromDate &lt; 20190801 THEN 'N/A'  WHEN substring(dsj.f_xcah01_1_3_4,4,2) IN ('14','15','16','17','18','19','20','21','22','23','24','25') OR dsj.f_xcah03_1_3_4 = 'CAH26-01-03' THEN 'Non Science 'ELSE 'Science' END</v>
      </c>
      <c r="AD640" s="28" t="str">
        <f t="shared" si="98"/>
        <v>CASE WHEN s.DW_FromDate &lt; 20190801 THEN 'N/A' WHEN substring(dsj.f_xcah01_1_3_4,4,2) IN ('14','15','16','17','18','19','20','21','22','23','24','25') OR dsj.f_xcah03_1_3_4 = 'CAH26-01-03' THEN 'Non Science 'ELSE 'Science' END</v>
      </c>
      <c r="AE640" t="str">
        <f t="shared" si="99"/>
        <v>[Science subject marker]</v>
      </c>
    </row>
    <row r="641" spans="1:32" ht="16" x14ac:dyDescent="0.2">
      <c r="A641">
        <v>100796</v>
      </c>
      <c r="B641" s="11" t="str">
        <f>DataItems3[[#This Row],[Field]]&amp;IF(DataItems3[[#This Row],[Options for supplying the Field]]="",""," "&amp;DataItems3[[#This Row],[Options for supplying the Field]])</f>
        <v>Science subject marker (JACS before 2019/20)</v>
      </c>
      <c r="C641">
        <v>100796</v>
      </c>
      <c r="D641" s="3" t="s">
        <v>86</v>
      </c>
      <c r="E641" s="3" t="s">
        <v>106</v>
      </c>
      <c r="F641" s="3" t="s">
        <v>3204</v>
      </c>
      <c r="G641" s="13" t="s">
        <v>2294</v>
      </c>
      <c r="H641" s="14" t="s">
        <v>3208</v>
      </c>
      <c r="I641" s="22"/>
      <c r="J641" s="3">
        <v>3</v>
      </c>
      <c r="K641" s="3">
        <v>1</v>
      </c>
      <c r="L641" s="3">
        <v>0</v>
      </c>
      <c r="M641" s="3">
        <v>0</v>
      </c>
      <c r="N641" s="3" t="s">
        <v>106</v>
      </c>
      <c r="Q641" s="16" t="s">
        <v>3209</v>
      </c>
      <c r="R641" s="16" t="s">
        <v>3209</v>
      </c>
      <c r="S641" s="16" t="s">
        <v>3209</v>
      </c>
      <c r="T641" s="16" t="s">
        <v>3209</v>
      </c>
      <c r="U641" s="3" t="s">
        <v>1782</v>
      </c>
      <c r="W641" s="57" t="s">
        <v>791</v>
      </c>
      <c r="X641" t="str">
        <f>DataItems3[[#This Row],[Collection]]&amp;DataItems3[[#This Row],[Field]]&amp;DataItems3[[#This Row],[Options for supplying the Field]]&amp;DataItems3[[#This Row],[Fieldname]]&amp;DataItems3[[#This Row],[Parent]]</f>
        <v>StudentScience subject marker(JACS before 2019/20)Science_JACS</v>
      </c>
      <c r="Y641" s="4">
        <v>44284</v>
      </c>
      <c r="Z641" t="s">
        <v>135</v>
      </c>
      <c r="AA641" s="28" t="str">
        <f t="shared" si="94"/>
        <v>CASE WHEN s.DW_FromDate &gt;= 20190801 THEN 'N/A' WHEN dsj.F_XJACSA01 IN ('1','2','3','4','5','6','7','8','9','A') THEN 'Science' ELSE 'Non Science' END</v>
      </c>
      <c r="AB641" s="28" t="str">
        <f t="shared" si="97"/>
        <v>CASE WHEN s.DW_FromDate &gt;= 20190801 THEN 'N/A' WHEN dsj.F_XJACSA01 IN ('1','2','3','4','5','6','7','8','9','A') THEN 'Science' ELSE 'Non Science' END</v>
      </c>
      <c r="AC641" s="28" t="str">
        <f t="shared" si="92"/>
        <v>CASE WHEN s.DW_FromDate &gt;= 20190801 THEN 'N/A' WHEN dsj.F_XJACSA01 IN ('1','2','3','4','5','6','7','8','9','A') THEN 'Science' ELSE 'Non Science' END</v>
      </c>
      <c r="AD641" s="28" t="str">
        <f t="shared" si="98"/>
        <v>CASE WHEN s.DW_FromDate &gt;= 20190801 THEN 'N/A' WHEN dsj.F_XJACSA01 IN ('1','2','3','4','5','6','7','8','9','A') THEN 'Science' ELSE 'Non Science' END</v>
      </c>
      <c r="AE641" t="str">
        <f t="shared" si="99"/>
        <v>[Science subject marker]</v>
      </c>
    </row>
    <row r="642" spans="1:32" ht="32" x14ac:dyDescent="0.2">
      <c r="A642">
        <v>100506</v>
      </c>
      <c r="B642" s="11" t="str">
        <f>DataItems3[[#This Row],[Field]]&amp;IF(DataItems3[[#This Row],[Options for supplying the Field]]="",""," "&amp;DataItems3[[#This Row],[Options for supplying the Field]])</f>
        <v>Seeking a teaching post [SEEKTEACH] -opt in question</v>
      </c>
      <c r="C642">
        <v>100506</v>
      </c>
      <c r="D642" s="3" t="s">
        <v>151</v>
      </c>
      <c r="F642" s="3" t="s">
        <v>2241</v>
      </c>
      <c r="G642" s="13" t="s">
        <v>2242</v>
      </c>
      <c r="I642" s="3" t="s">
        <v>2991</v>
      </c>
      <c r="J642" s="3">
        <v>1</v>
      </c>
      <c r="K642" s="3">
        <v>2</v>
      </c>
      <c r="L642" s="3">
        <v>0</v>
      </c>
      <c r="M642" s="3">
        <v>0</v>
      </c>
      <c r="P642" s="3" t="s">
        <v>448</v>
      </c>
      <c r="R642" s="3" t="s">
        <v>93</v>
      </c>
      <c r="V642" s="3" t="s">
        <v>93</v>
      </c>
      <c r="W642" s="57" t="s">
        <v>2926</v>
      </c>
      <c r="X642" t="str">
        <f>DataItems3[[#This Row],[Collection]]&amp;DataItems3[[#This Row],[Field]]&amp;DataItems3[[#This Row],[Options for supplying the Field]]&amp;DataItems3[[#This Row],[Fieldname]]&amp;DataItems3[[#This Row],[Parent]]</f>
        <v>Graduate OutcomesSeeking a teaching post[SEEKTEACH] -opt in questionProvider &gt; Graduate &gt; Opt in questions:</v>
      </c>
      <c r="Y642" s="15">
        <v>43550</v>
      </c>
      <c r="Z642" t="s">
        <v>159</v>
      </c>
      <c r="AA642" s="28" t="str">
        <f t="shared" si="94"/>
        <v/>
      </c>
      <c r="AB642" s="28" t="str">
        <f t="shared" ref="AB642:AB654" si="100">IF(S642="","",IF(IFERROR(SEARCH("select",S642)&gt;0,0),IF(U642="",IF(MID(S642,SEARCH(H642,S642)-4,1)=" ",MID(S642,SEARCH(H642,S642)-2,LEN(O651)+2),MID(S642,SEARCH(H642,S642)-3,LEN(H642)+3)),U642&amp;"."&amp;H642),S642))</f>
        <v/>
      </c>
      <c r="AC642" s="28" t="str">
        <f t="shared" si="92"/>
        <v/>
      </c>
      <c r="AD642" s="28" t="str">
        <f t="shared" ref="AD642:AD665" si="101">IF(T642="","",IF(IFERROR(SEARCH("select",T642)&gt;0,0),IF(U642="",IF(MID(T642,SEARCH(H642,T642)-4,1)=" ",MID(T642,SEARCH(H642,T642)-2,LEN(O651)+2),MID(T642,SEARCH(H642,T642)-3,LEN(H642)+3)),U642&amp;"."&amp;H642),T642))</f>
        <v/>
      </c>
      <c r="AE642" t="str">
        <f t="shared" si="99"/>
        <v>[Seeking a teaching post]</v>
      </c>
    </row>
    <row r="643" spans="1:32" ht="32" x14ac:dyDescent="0.2">
      <c r="A643">
        <v>100507</v>
      </c>
      <c r="B643" s="11" t="str">
        <f>DataItems3[[#This Row],[Field]]&amp;IF(DataItems3[[#This Row],[Options for supplying the Field]]="",""," "&amp;DataItems3[[#This Row],[Options for supplying the Field]])</f>
        <v>Self-employment - Standard Industrial Classification (SIC) 2007⁽¹⁾ (4 digit) [XBUS2007SIC]</v>
      </c>
      <c r="C643">
        <v>100507</v>
      </c>
      <c r="D643" s="3" t="s">
        <v>151</v>
      </c>
      <c r="F643" s="3" t="str">
        <f>"Self-employment - Standard Industrial Classification (SIC) 2007"&amp;"⁽"&amp;CHAR(185)&amp;"⁾"</f>
        <v>Self-employment - Standard Industrial Classification (SIC) 2007⁽¹⁾</v>
      </c>
      <c r="G643" s="13" t="s">
        <v>2243</v>
      </c>
      <c r="H643" s="3" t="s">
        <v>2244</v>
      </c>
      <c r="J643" s="3">
        <v>1</v>
      </c>
      <c r="K643" s="3">
        <v>4</v>
      </c>
      <c r="L643" s="3">
        <v>2</v>
      </c>
      <c r="M643" s="3">
        <v>0</v>
      </c>
      <c r="P643" s="3" t="s">
        <v>323</v>
      </c>
      <c r="Q643" s="16" t="s">
        <v>2245</v>
      </c>
      <c r="R643" s="3" t="s">
        <v>93</v>
      </c>
      <c r="S643" s="16" t="s">
        <v>2246</v>
      </c>
      <c r="U643" s="3" t="s">
        <v>2244</v>
      </c>
      <c r="V643" s="3" t="s">
        <v>93</v>
      </c>
      <c r="W643" s="57" t="s">
        <v>2909</v>
      </c>
      <c r="X643" t="str">
        <f>DataItems3[[#This Row],[Collection]]&amp;DataItems3[[#This Row],[Field]]&amp;DataItems3[[#This Row],[Options for supplying the Field]]&amp;DataItems3[[#This Row],[Fieldname]]&amp;DataItems3[[#This Row],[Parent]]</f>
        <v>Graduate OutcomesSelf-employment - Standard Industrial Classification (SIC) 2007⁽¹⁾(4 digit) [XBUS2007SIC]XBUS2007SICProvider &gt; Derived Field</v>
      </c>
      <c r="Y643" s="15">
        <v>43550</v>
      </c>
      <c r="Z643" t="s">
        <v>159</v>
      </c>
      <c r="AA643" s="28" t="str">
        <f t="shared" si="94"/>
        <v>CASE WHEN ISNULL(g.ZRESPSTATUS, '02')='02' OR ISNULL(g.XACTIVITY, '99')='99' THEN 'Not in GO publication population' WHEN isnull(g.XBUS2007SIC,'9999') IN ('$$$$','9999') THEN 'NA/UNK' else ISNULL(g.XBUS2007SIC,'NA/UNK') end</v>
      </c>
      <c r="AB643" s="28" t="str">
        <f t="shared" si="100"/>
        <v>CASE WHEN ISNULL(g.ZRESPSTATUS, '02')='02' OR ISNULL(g.XACTIVITY, '99')='99' THEN 'Not in GO publication population' WHEN isnull(g.XBUS2007SIC,'9999') IN ('$$$$','9999') THEN 'NA/UNK' else ISNULL(XBUS2007SIC.label,'NA/UNK') end</v>
      </c>
      <c r="AC643" s="28" t="str">
        <f t="shared" si="92"/>
        <v/>
      </c>
      <c r="AD643" s="28" t="str">
        <f t="shared" si="101"/>
        <v/>
      </c>
      <c r="AE643" t="str">
        <f t="shared" si="99"/>
        <v>[Self-employment - Standard Industrial Classification (SIC) 2007]</v>
      </c>
    </row>
    <row r="644" spans="1:32" ht="32" x14ac:dyDescent="0.2">
      <c r="A644">
        <v>100508</v>
      </c>
      <c r="B644" s="11" t="str">
        <f>DataItems3[[#This Row],[Field]]&amp;IF(DataItems3[[#This Row],[Options for supplying the Field]]="",""," "&amp;DataItems3[[#This Row],[Options for supplying the Field]])</f>
        <v>Self-employment - Standard Industrial Classification (SIC) 2007⁽¹⁾ (1 digit) [XBUS2007SIC1]</v>
      </c>
      <c r="C644">
        <v>100508</v>
      </c>
      <c r="D644" s="3" t="s">
        <v>151</v>
      </c>
      <c r="F644" s="3" t="str">
        <f>"Self-employment - Standard Industrial Classification (SIC) 2007"&amp;"⁽"&amp;CHAR(185)&amp;"⁾"</f>
        <v>Self-employment - Standard Industrial Classification (SIC) 2007⁽¹⁾</v>
      </c>
      <c r="G644" s="13" t="s">
        <v>2247</v>
      </c>
      <c r="H644" s="3" t="s">
        <v>2248</v>
      </c>
      <c r="J644" s="3">
        <v>1</v>
      </c>
      <c r="K644" s="3">
        <v>3</v>
      </c>
      <c r="L644" s="3">
        <v>0</v>
      </c>
      <c r="M644" s="3">
        <v>0</v>
      </c>
      <c r="P644" s="3" t="s">
        <v>323</v>
      </c>
      <c r="Q644" s="16" t="s">
        <v>2249</v>
      </c>
      <c r="R644" s="3" t="s">
        <v>93</v>
      </c>
      <c r="S644" s="16" t="s">
        <v>2250</v>
      </c>
      <c r="U644" s="3" t="s">
        <v>2248</v>
      </c>
      <c r="V644" s="3" t="s">
        <v>93</v>
      </c>
      <c r="W644" s="57" t="s">
        <v>2909</v>
      </c>
      <c r="X644" t="str">
        <f>DataItems3[[#This Row],[Collection]]&amp;DataItems3[[#This Row],[Field]]&amp;DataItems3[[#This Row],[Options for supplying the Field]]&amp;DataItems3[[#This Row],[Fieldname]]&amp;DataItems3[[#This Row],[Parent]]</f>
        <v>Graduate OutcomesSelf-employment - Standard Industrial Classification (SIC) 2007⁽¹⁾(1 digit) [XBUS2007SIC1]XBUS2007SIC1Provider &gt; Derived Field</v>
      </c>
      <c r="Y644" s="15">
        <v>43550</v>
      </c>
      <c r="Z644" t="s">
        <v>159</v>
      </c>
      <c r="AA644" s="28" t="str">
        <f t="shared" si="94"/>
        <v>CASE WHEN ISNULL(g.ZRESPSTATUS, '02')='02' OR ISNULL(g.XACTIVITY, '99')='99' THEN 'Not in GO publication population'  WHEN isnull(g.XBUS2007SIC1,'9') IN ('$','9','_') THEN 'V' else ISNULL(g.XBUS2007SIC1,'NA/UNK') end</v>
      </c>
      <c r="AB644" s="28" t="str">
        <f t="shared" si="100"/>
        <v>CASE WHEN ISNULL(g.ZRESPSTATUS, '02')='02' OR ISNULL(g.XACTIVITY, '99')='99' THEN 'Not in GO publication population'  WHEN isnull(g.XBUS2007SIC1,'9') IN ('$','9','_') THEN 'Not known' else ISNULL(XBUS2007SIC1.label,'NA/UNK') end</v>
      </c>
      <c r="AC644" s="28" t="str">
        <f t="shared" si="92"/>
        <v/>
      </c>
      <c r="AD644" s="28" t="str">
        <f t="shared" si="101"/>
        <v/>
      </c>
      <c r="AE644" t="str">
        <f t="shared" si="99"/>
        <v>[Self-employment - Standard Industrial Classification (SIC) 2007]</v>
      </c>
    </row>
    <row r="645" spans="1:32" ht="32" x14ac:dyDescent="0.2">
      <c r="A645">
        <v>100509</v>
      </c>
      <c r="B645" s="11" t="str">
        <f>DataItems3[[#This Row],[Field]]&amp;IF(DataItems3[[#This Row],[Options for supplying the Field]]="",""," "&amp;DataItems3[[#This Row],[Options for supplying the Field]])</f>
        <v>Self-employment - Standard Industrial Classification (SIC) 2007⁽¹⁾ (2 digit) [XBUS2007SIC2]</v>
      </c>
      <c r="C645">
        <v>100509</v>
      </c>
      <c r="D645" s="3" t="s">
        <v>151</v>
      </c>
      <c r="F645" s="3" t="str">
        <f>"Self-employment - Standard Industrial Classification (SIC) 2007"&amp;"⁽"&amp;CHAR(185)&amp;"⁾"</f>
        <v>Self-employment - Standard Industrial Classification (SIC) 2007⁽¹⁾</v>
      </c>
      <c r="G645" s="13" t="s">
        <v>2251</v>
      </c>
      <c r="H645" s="3" t="s">
        <v>2252</v>
      </c>
      <c r="J645" s="3">
        <v>1</v>
      </c>
      <c r="K645" s="3">
        <v>3</v>
      </c>
      <c r="L645" s="3">
        <v>0</v>
      </c>
      <c r="M645" s="3">
        <v>0</v>
      </c>
      <c r="P645" s="3" t="s">
        <v>323</v>
      </c>
      <c r="Q645" s="16" t="s">
        <v>2253</v>
      </c>
      <c r="R645" s="3" t="s">
        <v>93</v>
      </c>
      <c r="S645" s="16" t="s">
        <v>2254</v>
      </c>
      <c r="U645" s="3" t="s">
        <v>2252</v>
      </c>
      <c r="V645" s="3" t="s">
        <v>93</v>
      </c>
      <c r="W645" s="57" t="s">
        <v>2909</v>
      </c>
      <c r="X645" t="str">
        <f>DataItems3[[#This Row],[Collection]]&amp;DataItems3[[#This Row],[Field]]&amp;DataItems3[[#This Row],[Options for supplying the Field]]&amp;DataItems3[[#This Row],[Fieldname]]&amp;DataItems3[[#This Row],[Parent]]</f>
        <v>Graduate OutcomesSelf-employment - Standard Industrial Classification (SIC) 2007⁽¹⁾(2 digit) [XBUS2007SIC2]XBUS2007SIC2Provider &gt; Derived Field</v>
      </c>
      <c r="Y645" s="15">
        <v>43550</v>
      </c>
      <c r="Z645" t="s">
        <v>159</v>
      </c>
      <c r="AA645" s="28" t="str">
        <f t="shared" si="94"/>
        <v>CASE WHEN ISNULL(g.ZRESPSTATUS, '02')='02' OR ISNULL(g.XACTIVITY, '99')='99' THEN 'Not in GO publication population' WHEN isnull(g.XBUS2007SIC2,'$$') IN ('$$','__') THEN 'NA/UNK' else ISNULL(g.XBUS2007SIC2,'NA/UNK') end</v>
      </c>
      <c r="AB645" s="28" t="str">
        <f t="shared" si="100"/>
        <v>CASE WHEN ISNULL(g.ZRESPSTATUS, '02')='02' OR ISNULL(g.XACTIVITY, '99')='99' THEN 'Not in GO publication population' WHEN isnull(g.XBUS2007SIC2,'$$') IN ('$$','__') THEN 'NA/UNK' else ISNULL(XBUS2007SIC2.label,'NA/UNK') end</v>
      </c>
      <c r="AC645" s="28" t="str">
        <f t="shared" si="92"/>
        <v/>
      </c>
      <c r="AD645" s="28" t="str">
        <f t="shared" si="101"/>
        <v/>
      </c>
      <c r="AE645" t="str">
        <f t="shared" si="99"/>
        <v>[Self-employment - Standard Industrial Classification (SIC) 2007]</v>
      </c>
    </row>
    <row r="646" spans="1:32" ht="32" x14ac:dyDescent="0.2">
      <c r="A646">
        <v>100510</v>
      </c>
      <c r="B646" s="11" t="str">
        <f>DataItems3[[#This Row],[Field]]&amp;IF(DataItems3[[#This Row],[Options for supplying the Field]]="",""," "&amp;DataItems3[[#This Row],[Options for supplying the Field]])</f>
        <v>Self-employment - Standard Occupational Classification (SOC) 2010⁽¹⁾ (5 digit) [XBUS2010SOC]</v>
      </c>
      <c r="C646">
        <v>100510</v>
      </c>
      <c r="D646" s="3" t="s">
        <v>151</v>
      </c>
      <c r="F646" s="3" t="str">
        <f>"Self-employment - Standard Occupational Classification (SOC) 2010"&amp;"⁽"&amp;CHAR(185)&amp;"⁾"</f>
        <v>Self-employment - Standard Occupational Classification (SOC) 2010⁽¹⁾</v>
      </c>
      <c r="G646" s="13" t="s">
        <v>2255</v>
      </c>
      <c r="H646" s="3" t="s">
        <v>2256</v>
      </c>
      <c r="J646" s="3">
        <v>1</v>
      </c>
      <c r="K646" s="3">
        <v>4</v>
      </c>
      <c r="L646" s="3">
        <v>4</v>
      </c>
      <c r="M646" s="3">
        <v>2</v>
      </c>
      <c r="P646" s="3" t="s">
        <v>323</v>
      </c>
      <c r="Q646" s="16" t="s">
        <v>3210</v>
      </c>
      <c r="R646" s="3" t="s">
        <v>93</v>
      </c>
      <c r="S646" s="16" t="s">
        <v>3211</v>
      </c>
      <c r="U646" s="3" t="s">
        <v>2256</v>
      </c>
      <c r="V646" s="3" t="s">
        <v>93</v>
      </c>
      <c r="W646" s="57" t="s">
        <v>2909</v>
      </c>
      <c r="X646" t="str">
        <f>DataItems3[[#This Row],[Collection]]&amp;DataItems3[[#This Row],[Field]]&amp;DataItems3[[#This Row],[Options for supplying the Field]]&amp;DataItems3[[#This Row],[Fieldname]]&amp;DataItems3[[#This Row],[Parent]]</f>
        <v>Graduate OutcomesSelf-employment - Standard Occupational Classification (SOC) 2010⁽¹⁾(5 digit) [XBUS2010SOC]XBUS2010SOCProvider &gt; Derived Field</v>
      </c>
      <c r="Y646" s="15">
        <v>43550</v>
      </c>
      <c r="Z646" t="s">
        <v>159</v>
      </c>
      <c r="AA646" s="28" t="str">
        <f t="shared" si="94"/>
        <v>CASE WHEN ISNULL(g.ZRESPSTATUS, '02')='02' OR ISNULL(g.XACTIVITY, '99')='99' THEN 'Not in GO publication population' when g.DW_FromDate &gt;= 20180801 THEN 'Not applicable 2018/19 onwards' when g.XBUS2010SOC IN ('00010','$$$$$','-3') THEN 'NA/UNK' else ISNULL(g.XBUS2010SOC,'NA/UNK') end</v>
      </c>
      <c r="AB646" s="28" t="str">
        <f t="shared" si="100"/>
        <v>CASE WHEN ISNULL(g.ZRESPSTATUS, '02')='02' OR ISNULL(g.XACTIVITY, '99')='99' THEN 'Not in GO publication population' when g.DW_FromDate &gt;= 20180801 THEN 'Not applicable 2018/19 onwards'  WHEN g.XBUS2010SOC IN ('00010','$$$$$','-3') THEN 'Unknown/ not applicable' else ISNULL(XBUS2010SOC.label,'Unknown/ not applicable') end</v>
      </c>
      <c r="AC646" s="28" t="str">
        <f t="shared" si="92"/>
        <v/>
      </c>
      <c r="AD646" s="28" t="str">
        <f t="shared" si="101"/>
        <v/>
      </c>
      <c r="AE646" t="str">
        <f t="shared" si="99"/>
        <v>[Self-employment - Standard Occupational Classification (SOC) 2010]</v>
      </c>
    </row>
    <row r="647" spans="1:32" ht="32" x14ac:dyDescent="0.2">
      <c r="A647">
        <v>100511</v>
      </c>
      <c r="B647" s="11" t="str">
        <f>DataItems3[[#This Row],[Field]]&amp;IF(DataItems3[[#This Row],[Options for supplying the Field]]="",""," "&amp;DataItems3[[#This Row],[Options for supplying the Field]])</f>
        <v>Self-employment - Standard Occupational Classification (SOC) 2010⁽¹⁾ (major grouping) [XBUS2010SOC1]</v>
      </c>
      <c r="C647">
        <v>100511</v>
      </c>
      <c r="D647" s="3" t="s">
        <v>151</v>
      </c>
      <c r="F647" s="3" t="str">
        <f>"Self-employment - Standard Occupational Classification (SOC) 2010"&amp;"⁽"&amp;CHAR(185)&amp;"⁾"</f>
        <v>Self-employment - Standard Occupational Classification (SOC) 2010⁽¹⁾</v>
      </c>
      <c r="G647" s="13" t="s">
        <v>2257</v>
      </c>
      <c r="H647" s="3" t="s">
        <v>2258</v>
      </c>
      <c r="J647" s="3">
        <v>1</v>
      </c>
      <c r="K647" s="3">
        <v>2</v>
      </c>
      <c r="L647" s="3">
        <v>0</v>
      </c>
      <c r="M647" s="3">
        <v>0</v>
      </c>
      <c r="P647" s="3" t="s">
        <v>323</v>
      </c>
      <c r="Q647" s="16" t="s">
        <v>2259</v>
      </c>
      <c r="R647" s="3" t="s">
        <v>93</v>
      </c>
      <c r="S647" s="16" t="s">
        <v>2260</v>
      </c>
      <c r="U647" s="3" t="s">
        <v>2258</v>
      </c>
      <c r="V647" s="3" t="s">
        <v>93</v>
      </c>
      <c r="W647" s="57" t="s">
        <v>2909</v>
      </c>
      <c r="X647" t="str">
        <f>DataItems3[[#This Row],[Collection]]&amp;DataItems3[[#This Row],[Field]]&amp;DataItems3[[#This Row],[Options for supplying the Field]]&amp;DataItems3[[#This Row],[Fieldname]]&amp;DataItems3[[#This Row],[Parent]]</f>
        <v>Graduate OutcomesSelf-employment - Standard Occupational Classification (SOC) 2010⁽¹⁾(major grouping) [XBUS2010SOC1]XBUS2010SOC1Provider &gt; Derived Field</v>
      </c>
      <c r="Y647" s="15">
        <v>43550</v>
      </c>
      <c r="Z647" t="s">
        <v>159</v>
      </c>
      <c r="AA647" s="28" t="str">
        <f t="shared" si="94"/>
        <v>CASE WHEN ISNULL(g.ZRESPSTATUS, '02')='02' OR ISNULL(g.XACTIVITY, '99')='99' THEN 'Not in GO publication population' WHEN g.DW_FromDate &gt;= 20180801 THEN 'Not applicable 2018/19 onwards' WHEN g.XBUS2010SOC1 = '-3' THEN 'X ' else g.XBUS2010SOC1 end</v>
      </c>
      <c r="AB647" s="28" t="str">
        <f t="shared" si="100"/>
        <v>CASE WHEN ISNULL(g.ZRESPSTATUS, '02')='02' OR ISNULL(g.XACTIVITY, '99')='99' THEN 'Not in GO publication population' WHEN g.DW_FromDate &gt;= 20180801 THEN 'Not applicable 2018/19 onwards' WHEN g.XBUS2010SOC1 = '-3' THEN 'Not known/Not applicable' else XBUS2010SOC1.label end</v>
      </c>
      <c r="AC647" s="28" t="str">
        <f t="shared" si="92"/>
        <v/>
      </c>
      <c r="AD647" s="28" t="str">
        <f t="shared" si="101"/>
        <v/>
      </c>
      <c r="AE647" t="str">
        <f t="shared" si="99"/>
        <v>[Self-employment - Standard Occupational Classification (SOC) 2010]</v>
      </c>
    </row>
    <row r="648" spans="1:32" ht="32" x14ac:dyDescent="0.2">
      <c r="A648">
        <v>100512</v>
      </c>
      <c r="B648" s="11" t="str">
        <f>DataItems3[[#This Row],[Field]]&amp;IF(DataItems3[[#This Row],[Options for supplying the Field]]="",""," "&amp;DataItems3[[#This Row],[Options for supplying the Field]])</f>
        <v>Self-employment - Standard Occupational Classification (SOC) 2010⁽¹⁾ (minor grouping) [XBUS2010SOC3]</v>
      </c>
      <c r="C648">
        <v>100512</v>
      </c>
      <c r="D648" s="3" t="s">
        <v>151</v>
      </c>
      <c r="F648" s="3" t="str">
        <f>"Self-employment - Standard Occupational Classification (SOC) 2010"&amp;"⁽"&amp;CHAR(185)&amp;"⁾"</f>
        <v>Self-employment - Standard Occupational Classification (SOC) 2010⁽¹⁾</v>
      </c>
      <c r="G648" s="13" t="s">
        <v>2261</v>
      </c>
      <c r="H648" s="3" t="s">
        <v>2262</v>
      </c>
      <c r="J648" s="3">
        <v>1</v>
      </c>
      <c r="K648" s="3">
        <v>3</v>
      </c>
      <c r="L648" s="3">
        <v>0</v>
      </c>
      <c r="M648" s="3">
        <v>0</v>
      </c>
      <c r="P648" s="3" t="s">
        <v>323</v>
      </c>
      <c r="Q648" s="16" t="s">
        <v>2263</v>
      </c>
      <c r="R648" s="3" t="s">
        <v>93</v>
      </c>
      <c r="S648" s="16" t="s">
        <v>2264</v>
      </c>
      <c r="U648" s="3" t="s">
        <v>2262</v>
      </c>
      <c r="V648" s="3" t="s">
        <v>93</v>
      </c>
      <c r="W648" s="57" t="s">
        <v>2909</v>
      </c>
      <c r="X648" t="str">
        <f>DataItems3[[#This Row],[Collection]]&amp;DataItems3[[#This Row],[Field]]&amp;DataItems3[[#This Row],[Options for supplying the Field]]&amp;DataItems3[[#This Row],[Fieldname]]&amp;DataItems3[[#This Row],[Parent]]</f>
        <v>Graduate OutcomesSelf-employment - Standard Occupational Classification (SOC) 2010⁽¹⁾(minor grouping) [XBUS2010SOC3]XBUS2010SOC3Provider &gt; Derived Field</v>
      </c>
      <c r="Y648" s="15">
        <v>43550</v>
      </c>
      <c r="Z648" t="s">
        <v>159</v>
      </c>
      <c r="AA648" s="28" t="str">
        <f t="shared" si="94"/>
        <v>CASE WHEN ISNULL(g.ZRESPSTATUS, '02')='02' OR ISNULL(g.XACTIVITY, '99')='99' THEN 'Not in GO publication population' WHEN g.DW_FromDate &gt;= 20180801 THEN 'Not applicable 2018/19 onwards'  WHEN g.XBUS2010SOC3 IN ('$$$','___','3') THEN 'NA/UNK' else ISNULL(g.XBUS2010SOC3,'NA/UNK') end</v>
      </c>
      <c r="AB648" s="28" t="str">
        <f t="shared" si="100"/>
        <v>CASE WHEN ISNULL(g.ZRESPSTATUS, '02')='02' OR ISNULL(g.XACTIVITY, '99')='99' THEN 'Not in GO publication population' WHEN g.DW_FromDate &gt;= 20180801 THEN 'Not applicable 2018/19 onwards'  WHEN g.XBUS2010SOC3 IN ('$$$','___','-3') THEN 'Unknown/ not applicable' else ISNULL(XBUS2010SOC3.label,'Unknown/ not applicable') end</v>
      </c>
      <c r="AC648" s="28" t="str">
        <f t="shared" si="92"/>
        <v/>
      </c>
      <c r="AD648" s="28" t="str">
        <f t="shared" si="101"/>
        <v/>
      </c>
      <c r="AE648" t="str">
        <f t="shared" si="99"/>
        <v>[Self-employment - Standard Occupational Classification (SOC) 2010]</v>
      </c>
    </row>
    <row r="649" spans="1:32" ht="32" x14ac:dyDescent="0.2">
      <c r="A649">
        <v>100821</v>
      </c>
      <c r="B649" s="11" t="str">
        <f>DataItems3[[#This Row],[Field]]&amp;IF(DataItems3[[#This Row],[Options for supplying the Field]]="",""," "&amp;DataItems3[[#This Row],[Options for supplying the Field]])</f>
        <v>Self-employment - Standard Occupational Classification (SOC) 2020⁽¹⁾ (4 digit) [XBUS2020SOC]</v>
      </c>
      <c r="C649">
        <v>100821</v>
      </c>
      <c r="D649" s="3" t="s">
        <v>151</v>
      </c>
      <c r="F649" s="3" t="s">
        <v>2265</v>
      </c>
      <c r="G649" s="13" t="s">
        <v>2266</v>
      </c>
      <c r="H649" s="14" t="s">
        <v>2267</v>
      </c>
      <c r="J649" s="3">
        <v>1</v>
      </c>
      <c r="K649" s="3">
        <v>4</v>
      </c>
      <c r="L649" s="3">
        <v>3</v>
      </c>
      <c r="M649" s="3">
        <v>2</v>
      </c>
      <c r="N649" s="3" t="s">
        <v>89</v>
      </c>
      <c r="Q649" s="16" t="s">
        <v>2268</v>
      </c>
      <c r="S649" s="16" t="s">
        <v>2269</v>
      </c>
      <c r="U649" s="3" t="s">
        <v>2270</v>
      </c>
      <c r="W649" s="57" t="s">
        <v>2909</v>
      </c>
      <c r="X649" t="str">
        <f>DataItems3[[#This Row],[Collection]]&amp;DataItems3[[#This Row],[Field]]&amp;DataItems3[[#This Row],[Options for supplying the Field]]&amp;DataItems3[[#This Row],[Fieldname]]&amp;DataItems3[[#This Row],[Parent]]</f>
        <v>Graduate OutcomesSelf-employment - Standard Occupational Classification (SOC) 2020⁽¹⁾(4 digit) [XBUS2020SOC]F_XBUS2020SOC</v>
      </c>
      <c r="Y649" s="4">
        <v>44404</v>
      </c>
      <c r="Z649" t="s">
        <v>56</v>
      </c>
      <c r="AA649" s="28" t="str">
        <f t="shared" si="94"/>
        <v xml:space="preserve">CASE WHEN ISNULL(g.ZRESPSTATUS, '02')='02'   OR ISNULL(g.XACTIVITY, '99')='99' THEN 'Not in GO publication population'   WHEN ISNULL(g.Xbus2020SOC, '$') IN ('$', '_','$$','__','$$$$','____','0001') THEN 'NA/UNK'   ELSE ISNULL(g.Xbus2020SOC, 'NA/UNK')END </v>
      </c>
      <c r="AB649" s="28" t="str">
        <f t="shared" si="100"/>
        <v xml:space="preserve">CASE WHEN ISNULL(g.ZRESPSTATUS, '02')='02'   OR ISNULL(g.XACTIVITY, '99')='99' THEN 'Not in GO publication population'   WHEN ISNULL(g.Xbus2020SOC, '$') IN ('$', '_','$$','__','$$$$','____','0001') THEN 'NA/UNK'   ELSE ISNULL(Xbus2020SOC.label, 'NA/UNK')END </v>
      </c>
      <c r="AC649" s="28" t="str">
        <f t="shared" si="92"/>
        <v/>
      </c>
      <c r="AD649" s="28" t="str">
        <f t="shared" si="101"/>
        <v/>
      </c>
      <c r="AE649" t="str">
        <f t="shared" si="99"/>
        <v>[Self-employment - Standard Occupational Classification (SOC) 2020]</v>
      </c>
    </row>
    <row r="650" spans="1:32" ht="32" x14ac:dyDescent="0.2">
      <c r="A650">
        <v>100822</v>
      </c>
      <c r="B650" s="11" t="str">
        <f>DataItems3[[#This Row],[Field]]&amp;IF(DataItems3[[#This Row],[Options for supplying the Field]]="",""," "&amp;DataItems3[[#This Row],[Options for supplying the Field]])</f>
        <v>Self-employment - Standard Occupational Classification (SOC) 2020⁽¹⁾ (major grouping) [XBUS2020SOC1]</v>
      </c>
      <c r="C650">
        <v>100822</v>
      </c>
      <c r="D650" s="3" t="s">
        <v>151</v>
      </c>
      <c r="F650" s="3" t="s">
        <v>2265</v>
      </c>
      <c r="G650" s="13" t="s">
        <v>2271</v>
      </c>
      <c r="H650" s="14" t="s">
        <v>2272</v>
      </c>
      <c r="J650" s="3">
        <v>1</v>
      </c>
      <c r="K650" s="3">
        <v>2</v>
      </c>
      <c r="L650" s="3">
        <v>0</v>
      </c>
      <c r="M650" s="3">
        <v>0</v>
      </c>
      <c r="N650" s="3" t="s">
        <v>89</v>
      </c>
      <c r="Q650" s="16" t="s">
        <v>2273</v>
      </c>
      <c r="S650" s="16" t="s">
        <v>2274</v>
      </c>
      <c r="U650" s="3" t="s">
        <v>2275</v>
      </c>
      <c r="W650" s="57" t="s">
        <v>2909</v>
      </c>
      <c r="X650" t="str">
        <f>DataItems3[[#This Row],[Collection]]&amp;DataItems3[[#This Row],[Field]]&amp;DataItems3[[#This Row],[Options for supplying the Field]]&amp;DataItems3[[#This Row],[Fieldname]]&amp;DataItems3[[#This Row],[Parent]]</f>
        <v>Graduate OutcomesSelf-employment - Standard Occupational Classification (SOC) 2020⁽¹⁾(major grouping) [XBUS2020SOC1]F_XBUS2020SOC1</v>
      </c>
      <c r="Y650" s="4">
        <v>44404</v>
      </c>
      <c r="Z650" t="s">
        <v>56</v>
      </c>
      <c r="AA650" s="28" t="str">
        <f t="shared" si="94"/>
        <v xml:space="preserve">CASE WHEN ISNULL(g.ZRESPSTATUS, '02')='02'   OR ISNULL(g.XACTIVITY, '99')='99' THEN 'Not in GO publication population'  WHEN ISNULL(g.Xbus2020SOC1, '$') IN ('$', '_','$$','__','X') THEN 'NA/UNK'  ELSE ISNULL(g.Xbus2020SOC1, 'NA/UNK')END </v>
      </c>
      <c r="AB650" s="28" t="str">
        <f t="shared" si="100"/>
        <v xml:space="preserve">CASE WHEN ISNULL(g.ZRESPSTATUS, '02')='02'   OR ISNULL(g.XACTIVITY, '99')='99' THEN 'Not in GO publication population'  WHEN ISNULL(g.Xbus2020SOC1, '$') IN ('$', '_','$$','__','X') THEN 'NA/UNK'  ELSE ISNULL(Xbus2020SOC1.label, 'NA/UNK')END </v>
      </c>
      <c r="AC650" s="28" t="str">
        <f t="shared" si="92"/>
        <v/>
      </c>
      <c r="AD650" s="28" t="str">
        <f t="shared" si="101"/>
        <v/>
      </c>
      <c r="AE650" t="str">
        <f t="shared" si="99"/>
        <v>[Self-employment - Standard Occupational Classification (SOC) 2020]</v>
      </c>
    </row>
    <row r="651" spans="1:32" ht="32" x14ac:dyDescent="0.2">
      <c r="A651">
        <v>100823</v>
      </c>
      <c r="B651" s="11" t="str">
        <f>DataItems3[[#This Row],[Field]]&amp;IF(DataItems3[[#This Row],[Options for supplying the Field]]="",""," "&amp;DataItems3[[#This Row],[Options for supplying the Field]])</f>
        <v>Self-employment - Standard Occupational Classification (SOC) 2020⁽¹⁾ (minor grouping) [XBUS2020SOC3]</v>
      </c>
      <c r="C651">
        <v>100823</v>
      </c>
      <c r="D651" s="3" t="s">
        <v>151</v>
      </c>
      <c r="F651" s="3" t="s">
        <v>2265</v>
      </c>
      <c r="G651" s="13" t="s">
        <v>2276</v>
      </c>
      <c r="H651" s="14" t="s">
        <v>2277</v>
      </c>
      <c r="J651" s="3">
        <v>1</v>
      </c>
      <c r="K651" s="3">
        <v>3</v>
      </c>
      <c r="L651" s="3">
        <v>0</v>
      </c>
      <c r="M651" s="3">
        <v>0</v>
      </c>
      <c r="N651" s="3" t="s">
        <v>89</v>
      </c>
      <c r="Q651" s="16" t="s">
        <v>2278</v>
      </c>
      <c r="S651" s="16" t="s">
        <v>2279</v>
      </c>
      <c r="U651" s="3" t="s">
        <v>2280</v>
      </c>
      <c r="W651" s="57" t="s">
        <v>2909</v>
      </c>
      <c r="X651" t="str">
        <f>DataItems3[[#This Row],[Collection]]&amp;DataItems3[[#This Row],[Field]]&amp;DataItems3[[#This Row],[Options for supplying the Field]]&amp;DataItems3[[#This Row],[Fieldname]]&amp;DataItems3[[#This Row],[Parent]]</f>
        <v>Graduate OutcomesSelf-employment - Standard Occupational Classification (SOC) 2020⁽¹⁾(minor grouping) [XBUS2020SOC3]F_XBUS2020SOC3</v>
      </c>
      <c r="Y651" s="4">
        <v>44404</v>
      </c>
      <c r="Z651" t="s">
        <v>56</v>
      </c>
      <c r="AA651" s="28" t="str">
        <f t="shared" si="94"/>
        <v xml:space="preserve">CASE WHEN ISNULL(g.ZRESPSTATUS, '02')='02'   OR ISNULL(g.XACTIVITY, '99')='99' THEN 'Not in GO publication population'   WHEN ISNULL(g.Xbus2020SOC3, '$') IN ('$', '_','$$','__','$$$','___') THEN 'NA/UNK'   ELSE ISNULL(g.Xbus2020SOC3, 'NA/UNK')END </v>
      </c>
      <c r="AB651" s="28" t="str">
        <f t="shared" si="100"/>
        <v xml:space="preserve">CASE WHEN ISNULL(g.ZRESPSTATUS, '02')='02'   OR ISNULL(g.XACTIVITY, '99')='99' THEN 'Not in GO publication population'   WHEN ISNULL(g.Xbus2020SOC3, '$') IN ('$', '_','$$','__','$$$','___') THEN 'NA/UNK'   ELSE ISNULL(Xbus2020SOC3.label, 'NA/UNK')END </v>
      </c>
      <c r="AC651" s="28" t="str">
        <f t="shared" si="92"/>
        <v/>
      </c>
      <c r="AD651" s="28" t="str">
        <f t="shared" si="101"/>
        <v/>
      </c>
      <c r="AE651" t="str">
        <f t="shared" si="99"/>
        <v>[Self-employment - Standard Occupational Classification (SOC) 2020]</v>
      </c>
    </row>
    <row r="652" spans="1:32" ht="16" x14ac:dyDescent="0.2">
      <c r="A652">
        <v>100637</v>
      </c>
      <c r="B652" s="19" t="str">
        <f>DataItems3[[#This Row],[Field]]&amp;IF(DataItems3[[#This Row],[Options for supplying the Field]]="",""," "&amp;DataItems3[[#This Row],[Options for supplying the Field]])</f>
        <v>Self-employment marker [XBUSMARKER]</v>
      </c>
      <c r="C652">
        <v>100637</v>
      </c>
      <c r="D652" s="3" t="s">
        <v>151</v>
      </c>
      <c r="F652" s="3" t="s">
        <v>2281</v>
      </c>
      <c r="G652" s="13" t="str">
        <f>"["&amp;H652&amp;"]"</f>
        <v>[XBUSMARKER]</v>
      </c>
      <c r="H652" s="3" t="s">
        <v>2282</v>
      </c>
      <c r="J652" s="3">
        <v>1</v>
      </c>
      <c r="K652" s="3">
        <v>1</v>
      </c>
      <c r="L652" s="3">
        <v>0</v>
      </c>
      <c r="M652" s="3">
        <v>0</v>
      </c>
      <c r="P652" s="3" t="s">
        <v>2283</v>
      </c>
      <c r="Q652" s="16" t="s">
        <v>2284</v>
      </c>
      <c r="R652" s="3" t="s">
        <v>93</v>
      </c>
      <c r="S652" s="16" t="s">
        <v>2285</v>
      </c>
      <c r="U652" s="3" t="s">
        <v>2286</v>
      </c>
      <c r="V652" s="3" t="s">
        <v>93</v>
      </c>
      <c r="W652" s="57" t="s">
        <v>2909</v>
      </c>
      <c r="X652" t="str">
        <f>DataItems3[[#This Row],[Collection]]&amp;DataItems3[[#This Row],[Field]]&amp;DataItems3[[#This Row],[Options for supplying the Field]]&amp;DataItems3[[#This Row],[Fieldname]]&amp;DataItems3[[#This Row],[Parent]]</f>
        <v>Graduate OutcomesSelf-employment marker[XBUSMARKER]XBUSMARKERProvider &gt; Official Stats Derived Field &gt; Self-employed</v>
      </c>
      <c r="Y652" s="15">
        <v>44008</v>
      </c>
      <c r="Z652" t="s">
        <v>159</v>
      </c>
      <c r="AA652" s="28" t="str">
        <f t="shared" si="94"/>
        <v>CASE WHEN ISNULL(g.ZRESPSTATUS, '02')='02' OR ISNULL(g.XACTIVITY, '99')='99' THEN 'Not in GO publication population' else isnull(g.XBUSMARKER,'NA/UNK') end</v>
      </c>
      <c r="AB652" s="28" t="str">
        <f t="shared" si="100"/>
        <v>CASE WHEN ISNULL(g.ZRESPSTATUS, '02')='02' OR ISNULL(g.XACTIVITY, '99')='99' THEN 'Not in GO publication population' else isnull(BUSMARKER.label,'NA/UNK') end</v>
      </c>
      <c r="AC652" s="28" t="str">
        <f t="shared" si="92"/>
        <v/>
      </c>
      <c r="AD652" s="28" t="str">
        <f t="shared" si="101"/>
        <v/>
      </c>
      <c r="AE652" t="str">
        <f t="shared" si="99"/>
        <v>[Self-employment marker]</v>
      </c>
    </row>
    <row r="653" spans="1:32" ht="48" x14ac:dyDescent="0.2">
      <c r="A653">
        <v>100513</v>
      </c>
      <c r="B653" s="11" t="str">
        <f>DataItems3[[#This Row],[Field]]&amp;IF(DataItems3[[#This Row],[Options for supplying the Field]]="",""," "&amp;DataItems3[[#This Row],[Options for supplying the Field]])</f>
        <v>Senior management marker (Senior manager/ Not a senior manager) - 2011/12 and prior</v>
      </c>
      <c r="C653">
        <v>100513</v>
      </c>
      <c r="D653" s="3" t="s">
        <v>100</v>
      </c>
      <c r="F653" s="3" t="s">
        <v>2287</v>
      </c>
      <c r="G653" s="13" t="s">
        <v>2288</v>
      </c>
      <c r="H653" s="14" t="s">
        <v>2289</v>
      </c>
      <c r="J653" s="3">
        <v>5</v>
      </c>
      <c r="K653" s="3">
        <v>1</v>
      </c>
      <c r="L653" s="3">
        <v>0</v>
      </c>
      <c r="M653" s="3">
        <v>0</v>
      </c>
      <c r="N653" s="3" t="s">
        <v>106</v>
      </c>
      <c r="Q653" s="16" t="s">
        <v>3212</v>
      </c>
      <c r="R653" s="3" t="s">
        <v>93</v>
      </c>
      <c r="S653" s="16" t="s">
        <v>3213</v>
      </c>
      <c r="U653" s="3" t="s">
        <v>2289</v>
      </c>
      <c r="V653" s="3" t="s">
        <v>93</v>
      </c>
      <c r="W653" s="57" t="s">
        <v>2909</v>
      </c>
      <c r="X653" t="str">
        <f>DataItems3[[#This Row],[Collection]]&amp;DataItems3[[#This Row],[Field]]&amp;DataItems3[[#This Row],[Options for supplying the Field]]&amp;DataItems3[[#This Row],[Fieldname]]&amp;DataItems3[[#This Row],[Parent]]</f>
        <v>StaffSenior management marker(Senior manager/ Not a senior manager) - 2011/12 and priorSMPH</v>
      </c>
      <c r="Y653" s="15">
        <v>43441</v>
      </c>
      <c r="Z653" t="s">
        <v>95</v>
      </c>
      <c r="AA653" s="28" t="str">
        <f t="shared" si="94"/>
        <v>CASE WHEN c.DW_FromDate &gt;= 20120801 THEN 'Not applicable (2012/13 onwards)' ELSE CAST(c.F_SMPH AS VARCHAR) END</v>
      </c>
      <c r="AB653" s="28" t="str">
        <f t="shared" si="100"/>
        <v>CASE WHEN c.DW_FromDate &gt;= 20120801 THEN 'Not applicable (2012/13 onwards)' ELSE SMPH.label END</v>
      </c>
      <c r="AC653" s="28" t="str">
        <f t="shared" si="92"/>
        <v/>
      </c>
      <c r="AD653" s="28" t="str">
        <f t="shared" si="101"/>
        <v/>
      </c>
      <c r="AE653" t="str">
        <f t="shared" si="99"/>
        <v>[Senior management marker]</v>
      </c>
    </row>
    <row r="654" spans="1:32" ht="16" x14ac:dyDescent="0.2">
      <c r="A654">
        <v>100853</v>
      </c>
      <c r="B654" s="11" t="str">
        <f>DataItems3[[#This Row],[Field]]&amp;IF(DataItems3[[#This Row],[Options for supplying the Field]]="",""," "&amp;DataItems3[[#This Row],[Options for supplying the Field]])</f>
        <v>Service Leaver</v>
      </c>
      <c r="C654">
        <v>100853</v>
      </c>
      <c r="D654" s="3" t="s">
        <v>86</v>
      </c>
      <c r="F654" s="3" t="s">
        <v>2290</v>
      </c>
      <c r="G654" s="13"/>
      <c r="H654" s="3" t="s">
        <v>2291</v>
      </c>
      <c r="J654" s="3">
        <v>3</v>
      </c>
      <c r="K654" s="3">
        <v>2</v>
      </c>
      <c r="L654" s="3">
        <v>2</v>
      </c>
      <c r="M654" s="3">
        <v>6</v>
      </c>
      <c r="Q654" s="16" t="s">
        <v>2292</v>
      </c>
      <c r="S654" s="16" t="s">
        <v>2292</v>
      </c>
      <c r="U654" s="3" t="s">
        <v>341</v>
      </c>
      <c r="W654" s="57" t="s">
        <v>2908</v>
      </c>
      <c r="X654" t="str">
        <f>DataItems3[[#This Row],[Collection]]&amp;DataItems3[[#This Row],[Field]]&amp;DataItems3[[#This Row],[Options for supplying the Field]]&amp;DataItems3[[#This Row],[Fieldname]]&amp;DataItems3[[#This Row],[Parent]]</f>
        <v>StudentService LeaverF_SERLEAVE</v>
      </c>
      <c r="Y654" s="4">
        <v>44638</v>
      </c>
      <c r="Z654" t="s">
        <v>135</v>
      </c>
      <c r="AA654" s="28" t="str">
        <f t="shared" si="94"/>
        <v>case when s.dw_fromdate &lt; 20200801 then 'Not applicable before 2020/21' else isnull(stu.f_serleave,'99') end</v>
      </c>
      <c r="AB654" s="28" t="str">
        <f t="shared" si="100"/>
        <v>case when s.dw_fromdate &lt; 20200801 then 'Not applicable before 2020/21' else isnull(stu.f_serleave,'99') end</v>
      </c>
      <c r="AC654" s="28" t="str">
        <f t="shared" si="92"/>
        <v/>
      </c>
      <c r="AD654" s="28" t="str">
        <f t="shared" si="101"/>
        <v/>
      </c>
      <c r="AE654" t="str">
        <f t="shared" si="99"/>
        <v>[Service Leaver]</v>
      </c>
      <c r="AF654">
        <v>100929</v>
      </c>
    </row>
    <row r="655" spans="1:32" ht="16" x14ac:dyDescent="0.2">
      <c r="A655">
        <v>100929</v>
      </c>
      <c r="B655" s="29" t="str">
        <f>DataItems3[[#This Row],[Field]]&amp;IF(DataItems3[[#This Row],[Options for supplying the Field]]="",""," "&amp;DataItems3[[#This Row],[Options for supplying the Field]])</f>
        <v>Service leaver (DF)</v>
      </c>
      <c r="C655">
        <v>100929</v>
      </c>
      <c r="D655" s="3" t="s">
        <v>2992</v>
      </c>
      <c r="F655" s="3" t="s">
        <v>3214</v>
      </c>
      <c r="G655" s="13" t="s">
        <v>2994</v>
      </c>
      <c r="H655" s="13" t="s">
        <v>3215</v>
      </c>
      <c r="I655" s="13"/>
      <c r="J655" s="13"/>
      <c r="Q655" s="3" t="s">
        <v>3216</v>
      </c>
      <c r="R655" s="16"/>
      <c r="S655" s="66" t="s">
        <v>3216</v>
      </c>
      <c r="T655" s="16"/>
      <c r="W655" s="59" t="s">
        <v>150</v>
      </c>
      <c r="X655" t="str">
        <f>DataItems3[[#This Row],[Collection]]&amp;DataItems3[[#This Row],[Field]]&amp;DataItems3[[#This Row],[Options for supplying the Field]]&amp;DataItems3[[#This Row],[Fieldname]]&amp;DataItems3[[#This Row],[Parent]]</f>
        <v>Data FuturesService leaver(DF)Z_SERLEAVE</v>
      </c>
      <c r="Y655" s="15">
        <v>45018</v>
      </c>
      <c r="Z655" t="s">
        <v>2997</v>
      </c>
      <c r="AA655" s="28" t="str">
        <f t="shared" si="94"/>
        <v>df.SERLEAVE</v>
      </c>
      <c r="AB655" s="28" t="str">
        <f>IF(S655="","",IF(IFERROR(SEARCH("select",S655)&gt;0,0),IF(W655="",IF(MID(S655,SEARCH(H655,S655)-4,1)=" ",MID(S655,SEARCH(H655,S655)-2,LEN(O664)+2),MID(S655,SEARCH(H655,S655)-3,LEN(H655)+3)),W655&amp;"."&amp;H655),S655))</f>
        <v>df.SERLEAVE</v>
      </c>
      <c r="AC655" s="28" t="str">
        <f t="shared" si="92"/>
        <v/>
      </c>
      <c r="AD655" s="28" t="str">
        <f t="shared" si="101"/>
        <v/>
      </c>
      <c r="AE655" t="str">
        <f t="shared" si="99"/>
        <v>[Service leaver]</v>
      </c>
    </row>
    <row r="656" spans="1:32" ht="16" x14ac:dyDescent="0.2">
      <c r="A656">
        <v>100908</v>
      </c>
      <c r="B656" s="11" t="str">
        <f>DataItems3[[#This Row],[Field]]&amp;IF(DataItems3[[#This Row],[Options for supplying the Field]]="",""," "&amp;DataItems3[[#This Row],[Options for supplying the Field]])</f>
        <v>Service student</v>
      </c>
      <c r="C656">
        <v>100908</v>
      </c>
      <c r="D656" s="3" t="s">
        <v>86</v>
      </c>
      <c r="F656" s="3" t="s">
        <v>3217</v>
      </c>
      <c r="G656" s="13"/>
      <c r="H656" s="14" t="s">
        <v>3218</v>
      </c>
      <c r="I656" s="3" t="s">
        <v>3219</v>
      </c>
      <c r="J656" s="3">
        <v>1</v>
      </c>
      <c r="K656" s="3">
        <v>1</v>
      </c>
      <c r="L656" s="3">
        <v>0</v>
      </c>
      <c r="M656" s="3">
        <v>2</v>
      </c>
      <c r="N656" s="3" t="s">
        <v>89</v>
      </c>
      <c r="Q656" s="24" t="s">
        <v>3220</v>
      </c>
      <c r="S656" s="16" t="s">
        <v>3221</v>
      </c>
      <c r="T656" s="24"/>
      <c r="W656" s="57" t="s">
        <v>2661</v>
      </c>
      <c r="X656" t="str">
        <f>DataItems3[[#This Row],[Collection]]&amp;DataItems3[[#This Row],[Field]]&amp;DataItems3[[#This Row],[Options for supplying the Field]]&amp;DataItems3[[#This Row],[Fieldname]]&amp;DataItems3[[#This Row],[Parent]]</f>
        <v>StudentService studentSERSTU</v>
      </c>
      <c r="Y656" s="4">
        <v>44908</v>
      </c>
      <c r="Z656" t="s">
        <v>3080</v>
      </c>
      <c r="AA656" s="28" t="str">
        <f t="shared" si="94"/>
        <v>CASE WHEN s.DW_FromDate&lt;=20200801 then 'Not applicable' WHEN s.f_SERSTU in ('98','99') then '99' else isnull(s.F_SERSTU,'99') end F_SERSTU</v>
      </c>
      <c r="AB656" s="28" t="str">
        <f>IF(S656="","",IF(IFERROR(SEARCH("select",S656)&gt;0,0),IF(U656="",IF(MID(S656,SEARCH(H656,S656)-4,1)=" ",MID(S656,SEARCH(H656,S656)-2,LEN(O665)+2),MID(S656,SEARCH(H656,S656)-3,LEN(H656)+3)),U656&amp;"."&amp;H656),S656))</f>
        <v>CASE WHEN s.DW_FromDate&lt;=20200801 then 'Not applicable before 2021/22'  WHEN s.F_SERSTU='01' then 'Service student' WHEN s.F_SERSTU='02' then 'Not a service student' else 'Unknown/Not applicable' end F_SERSTU</v>
      </c>
      <c r="AC656" s="28" t="str">
        <f t="shared" si="92"/>
        <v/>
      </c>
      <c r="AD656" s="28" t="str">
        <f t="shared" si="101"/>
        <v/>
      </c>
      <c r="AE656" t="str">
        <f t="shared" si="99"/>
        <v>[Service student]</v>
      </c>
      <c r="AF656">
        <v>100930</v>
      </c>
    </row>
    <row r="657" spans="1:32" ht="16" x14ac:dyDescent="0.2">
      <c r="A657">
        <v>100930</v>
      </c>
      <c r="B657" s="29" t="str">
        <f>DataItems3[[#This Row],[Field]]&amp;IF(DataItems3[[#This Row],[Options for supplying the Field]]="",""," "&amp;DataItems3[[#This Row],[Options for supplying the Field]])</f>
        <v>Service student (DF)</v>
      </c>
      <c r="C657">
        <v>100930</v>
      </c>
      <c r="D657" s="3" t="s">
        <v>2992</v>
      </c>
      <c r="F657" s="3" t="s">
        <v>3217</v>
      </c>
      <c r="G657" s="13" t="s">
        <v>2994</v>
      </c>
      <c r="H657" s="13" t="s">
        <v>3222</v>
      </c>
      <c r="I657" s="13"/>
      <c r="J657" s="13"/>
      <c r="Q657" s="3" t="s">
        <v>3223</v>
      </c>
      <c r="R657" s="16"/>
      <c r="S657" s="66" t="s">
        <v>3223</v>
      </c>
      <c r="T657" s="16"/>
      <c r="W657" s="59" t="s">
        <v>150</v>
      </c>
      <c r="X657" t="str">
        <f>DataItems3[[#This Row],[Collection]]&amp;DataItems3[[#This Row],[Field]]&amp;DataItems3[[#This Row],[Options for supplying the Field]]&amp;DataItems3[[#This Row],[Fieldname]]&amp;DataItems3[[#This Row],[Parent]]</f>
        <v>Data FuturesService student(DF)Z_SERSTU</v>
      </c>
      <c r="Y657" s="15">
        <v>45019</v>
      </c>
      <c r="Z657" t="s">
        <v>2997</v>
      </c>
      <c r="AA657" s="28" t="str">
        <f t="shared" si="94"/>
        <v>df.SERSTU</v>
      </c>
      <c r="AB657" s="28" t="str">
        <f>IF(S657="","",IF(IFERROR(SEARCH("select",S657)&gt;0,0),IF(W657="",IF(MID(S657,SEARCH(H657,S657)-4,1)=" ",MID(S657,SEARCH(H657,S657)-2,LEN(O666)+2),MID(S657,SEARCH(H657,S657)-3,LEN(H657)+3)),W657&amp;"."&amp;H657),S657))</f>
        <v>df.SERSTU</v>
      </c>
      <c r="AC657" s="28" t="str">
        <f t="shared" si="92"/>
        <v/>
      </c>
      <c r="AD657" s="28" t="str">
        <f t="shared" si="101"/>
        <v/>
      </c>
      <c r="AE657" t="str">
        <f t="shared" si="99"/>
        <v>[Service student]</v>
      </c>
    </row>
    <row r="658" spans="1:32" ht="16" x14ac:dyDescent="0.2">
      <c r="A658">
        <v>100516</v>
      </c>
      <c r="B658" s="11" t="str">
        <f>DataItems3[[#This Row],[Field]]&amp;IF(DataItems3[[#This Row],[Options for supplying the Field]]="",""," "&amp;DataItems3[[#This Row],[Options for supplying the Field]])</f>
        <v>Sex</v>
      </c>
      <c r="C658">
        <v>100516</v>
      </c>
      <c r="D658" s="3" t="s">
        <v>86</v>
      </c>
      <c r="E658" s="3" t="s">
        <v>106</v>
      </c>
      <c r="F658" s="3" t="s">
        <v>2295</v>
      </c>
      <c r="G658" s="13"/>
      <c r="H658" s="14" t="s">
        <v>2296</v>
      </c>
      <c r="J658" s="3">
        <v>1</v>
      </c>
      <c r="K658" s="3">
        <v>1</v>
      </c>
      <c r="L658" s="3">
        <v>0</v>
      </c>
      <c r="M658" s="3">
        <v>2</v>
      </c>
      <c r="N658" s="3" t="s">
        <v>106</v>
      </c>
      <c r="Q658" s="16" t="s">
        <v>2297</v>
      </c>
      <c r="R658" s="3" t="s">
        <v>2297</v>
      </c>
      <c r="S658" s="16" t="s">
        <v>2298</v>
      </c>
      <c r="T658" s="16" t="s">
        <v>2298</v>
      </c>
      <c r="U658" s="3" t="s">
        <v>93</v>
      </c>
      <c r="V658" s="3" t="s">
        <v>93</v>
      </c>
      <c r="W658" s="57" t="s">
        <v>94</v>
      </c>
      <c r="X658" t="str">
        <f>DataItems3[[#This Row],[Collection]]&amp;DataItems3[[#This Row],[Field]]&amp;DataItems3[[#This Row],[Options for supplying the Field]]&amp;DataItems3[[#This Row],[Fieldname]]&amp;DataItems3[[#This Row],[Parent]]</f>
        <v>StudentSexF_SEXID</v>
      </c>
      <c r="Y658" s="15"/>
      <c r="AA658" s="28" t="str">
        <f t="shared" si="94"/>
        <v>ISNULL(CAST(s.F_SEXID AS VARCHAR(7)),'Unknown')</v>
      </c>
      <c r="AB658" s="28" t="str">
        <f>IF(S658="","",IF(IFERROR(SEARCH("select",S658)&gt;0,0),IF(U658="",IF(MID(S658,SEARCH(H658,S658)-4,1)=" ",MID(S658,SEARCH(H658,S658)-2,LEN(O667)+2),MID(S658,SEARCH(H658,S658)-3,LEN(H658)+3)),U658&amp;"."&amp;H658),S658))</f>
        <v xml:space="preserve"> s.f_sexid</v>
      </c>
      <c r="AC658" s="28" t="str">
        <f t="shared" si="92"/>
        <v>ISNULL(CAST(s.F_SEXID AS VARCHAR(7)),'Unknown')</v>
      </c>
      <c r="AD658" s="28" t="str">
        <f t="shared" si="101"/>
        <v xml:space="preserve"> s.f_sexid</v>
      </c>
      <c r="AE658" t="str">
        <f t="shared" si="99"/>
        <v>[Sex]</v>
      </c>
      <c r="AF658">
        <v>100931</v>
      </c>
    </row>
    <row r="659" spans="1:32" ht="16" x14ac:dyDescent="0.2">
      <c r="A659">
        <v>100517</v>
      </c>
      <c r="B659" s="11" t="str">
        <f>DataItems3[[#This Row],[Field]]&amp;IF(DataItems3[[#This Row],[Options for supplying the Field]]="",""," "&amp;DataItems3[[#This Row],[Options for supplying the Field]])</f>
        <v>Sex (Staff)</v>
      </c>
      <c r="C659">
        <v>100517</v>
      </c>
      <c r="D659" s="3" t="s">
        <v>100</v>
      </c>
      <c r="F659" s="3" t="s">
        <v>2299</v>
      </c>
      <c r="G659" s="13"/>
      <c r="H659" s="14" t="s">
        <v>2296</v>
      </c>
      <c r="J659" s="3">
        <v>1</v>
      </c>
      <c r="K659" s="3">
        <v>1</v>
      </c>
      <c r="L659" s="3">
        <v>0</v>
      </c>
      <c r="M659" s="3">
        <v>2</v>
      </c>
      <c r="Q659" s="16" t="s">
        <v>2300</v>
      </c>
      <c r="R659" s="3" t="s">
        <v>93</v>
      </c>
      <c r="S659" s="16" t="s">
        <v>2301</v>
      </c>
      <c r="U659" s="3" t="s">
        <v>93</v>
      </c>
      <c r="V659" s="3" t="s">
        <v>93</v>
      </c>
      <c r="W659" s="57" t="s">
        <v>109</v>
      </c>
      <c r="X659" t="str">
        <f>DataItems3[[#This Row],[Collection]]&amp;DataItems3[[#This Row],[Field]]&amp;DataItems3[[#This Row],[Options for supplying the Field]]&amp;DataItems3[[#This Row],[Fieldname]]&amp;DataItems3[[#This Row],[Parent]]</f>
        <v>StaffSex (Staff)F_SEXID</v>
      </c>
      <c r="Y659" s="15">
        <v>43684</v>
      </c>
      <c r="Z659" t="s">
        <v>95</v>
      </c>
      <c r="AA659" s="28" t="str">
        <f t="shared" si="94"/>
        <v>CASE WHEN p.DW_FromDate &lt;= 20070801 AND p.F_SEXID = 'M' THEN '1' WHEN p.DW_FromDate &lt;= 20070801 AND p.F_SEXID = 'F' THEN '2' WHEN p.DW_FromDate &lt;= 20070801 AND p.F_SEXID IN ('U', 'X') THEN 'U' WHEN ISNULL(p.F_SEXID, '0') = '0' THEN 'U' WHEN ISNULL(p.F_SEXID, '0') = '9' THEN '3' ELSE CAST(P.F_SEXID AS VARCHAR(1)) END</v>
      </c>
      <c r="AB659" s="28" t="str">
        <f>IF(S659="","",IF(IFERROR(SEARCH("select",S659)&gt;0,0),IF(U659="",IF(MID(S659,SEARCH(H659,S659)-4,1)=" ",MID(S659,SEARCH(H659,S659)-2,LEN(O668)+2),MID(S659,SEARCH(H659,S659)-3,LEN(H659)+3)),U659&amp;"."&amp;H659),S659))</f>
        <v>CASE WHEN p.DW_FromDate &lt;= 20070801 AND p.F_SEXID = 'M' THEN 'Male' WHEN p.DW_FromDate &lt;= 20070801 AND p.F_SEXID = 'F' THEN 'Female' WHEN p.DW_FromDate &lt;= 20070801 AND p.F_SEXID IN ('U', 'X') THEN 'Unknown' WHEN ISNULL(p.F_SEXID, '0') = '0' THEN 'Unknown' WHEN ISNULL(p.F_SEXID, '0') = '9' THEN 'Other' WHEN ISNULL(p.F_SEXID, '0') = '1' THEN 'Male' WHEN ISNULL(p.F_SEXID, '0') = '2' THEN 'Female' WHEN ISNULL(p.F_SEXID, '0') = '3' THEN 'Other' ELSE 'ERROR' END</v>
      </c>
      <c r="AC659" s="28" t="str">
        <f t="shared" si="92"/>
        <v/>
      </c>
      <c r="AD659" s="28" t="str">
        <f t="shared" si="101"/>
        <v/>
      </c>
      <c r="AE659" t="str">
        <f t="shared" si="99"/>
        <v>[Sex (Staff)]</v>
      </c>
    </row>
    <row r="660" spans="1:32" ht="16" x14ac:dyDescent="0.2">
      <c r="A660">
        <v>100931</v>
      </c>
      <c r="B660" s="29" t="str">
        <f>DataItems3[[#This Row],[Field]]&amp;IF(DataItems3[[#This Row],[Options for supplying the Field]]="",""," "&amp;DataItems3[[#This Row],[Options for supplying the Field]])</f>
        <v>Sex (DF)</v>
      </c>
      <c r="C660">
        <v>100931</v>
      </c>
      <c r="D660" s="3" t="s">
        <v>2992</v>
      </c>
      <c r="F660" s="3" t="s">
        <v>2295</v>
      </c>
      <c r="G660" s="13" t="s">
        <v>2994</v>
      </c>
      <c r="H660" s="13" t="s">
        <v>3224</v>
      </c>
      <c r="I660" s="13"/>
      <c r="J660" s="13"/>
      <c r="Q660" s="3" t="s">
        <v>3225</v>
      </c>
      <c r="R660" s="16"/>
      <c r="S660" s="3" t="s">
        <v>3225</v>
      </c>
      <c r="T660" s="16"/>
      <c r="W660" s="59" t="s">
        <v>150</v>
      </c>
      <c r="X660" t="str">
        <f>DataItems3[[#This Row],[Collection]]&amp;DataItems3[[#This Row],[Field]]&amp;DataItems3[[#This Row],[Options for supplying the Field]]&amp;DataItems3[[#This Row],[Fieldname]]&amp;DataItems3[[#This Row],[Parent]]</f>
        <v>Data FuturesSex(DF)Z_SEXID</v>
      </c>
      <c r="Y660" s="15">
        <v>45020</v>
      </c>
      <c r="Z660" t="s">
        <v>2997</v>
      </c>
      <c r="AA660" s="28" t="str">
        <f t="shared" si="94"/>
        <v>df.SEXID</v>
      </c>
      <c r="AB660" s="28" t="str">
        <f>IF(S660="","",IF(IFERROR(SEARCH("select",S660)&gt;0,0),IF(W660="",IF(MID(S660,SEARCH(H660,S660)-4,1)=" ",MID(S660,SEARCH(H660,S660)-2,LEN(O669)+2),MID(S660,SEARCH(H660,S660)-3,LEN(H660)+3)),W660&amp;"."&amp;H660),S660))</f>
        <v>df.SEXID</v>
      </c>
      <c r="AC660" s="28" t="str">
        <f t="shared" si="92"/>
        <v/>
      </c>
      <c r="AD660" s="28" t="str">
        <f t="shared" si="101"/>
        <v/>
      </c>
      <c r="AE660" t="str">
        <f t="shared" si="99"/>
        <v>[Sex]</v>
      </c>
    </row>
    <row r="661" spans="1:32" ht="16" x14ac:dyDescent="0.2">
      <c r="A661">
        <v>100518</v>
      </c>
      <c r="B661" s="11" t="str">
        <f>DataItems3[[#This Row],[Field]]&amp;IF(DataItems3[[#This Row],[Options for supplying the Field]]="",""," "&amp;DataItems3[[#This Row],[Options for supplying the Field]])</f>
        <v>Sexual orientation (Full)</v>
      </c>
      <c r="C661">
        <v>100518</v>
      </c>
      <c r="D661" s="3" t="s">
        <v>86</v>
      </c>
      <c r="F661" s="3" t="s">
        <v>2302</v>
      </c>
      <c r="G661" s="13" t="s">
        <v>277</v>
      </c>
      <c r="H661" s="14" t="s">
        <v>2303</v>
      </c>
      <c r="I661" s="3" t="s">
        <v>729</v>
      </c>
      <c r="J661" s="3">
        <v>1</v>
      </c>
      <c r="K661" s="17">
        <v>2</v>
      </c>
      <c r="L661" s="3">
        <v>2</v>
      </c>
      <c r="M661" s="3">
        <v>8</v>
      </c>
      <c r="N661" s="3" t="s">
        <v>89</v>
      </c>
      <c r="P661" s="17"/>
      <c r="Q661" s="16" t="s">
        <v>3226</v>
      </c>
      <c r="R661" s="3" t="s">
        <v>91</v>
      </c>
      <c r="S661" s="16" t="s">
        <v>3227</v>
      </c>
      <c r="U661" s="3" t="s">
        <v>2304</v>
      </c>
      <c r="V661" s="3" t="s">
        <v>93</v>
      </c>
      <c r="W661" s="57" t="s">
        <v>3019</v>
      </c>
      <c r="X661" t="str">
        <f>DataItems3[[#This Row],[Collection]]&amp;DataItems3[[#This Row],[Field]]&amp;DataItems3[[#This Row],[Options for supplying the Field]]&amp;DataItems3[[#This Row],[Fieldname]]&amp;DataItems3[[#This Row],[Parent]]</f>
        <v>StudentSexual orientation(Full)F_SEXORT</v>
      </c>
      <c r="Y661" s="15">
        <v>43441</v>
      </c>
      <c r="Z661" t="s">
        <v>95</v>
      </c>
      <c r="AA661" s="28" t="str">
        <f t="shared" si="94"/>
        <v>CASE WHEN s.F_SEXORT IN ('', ' ','99') THEN 'Unknown/Not available' ELSE ISNULL(s.F_SEXORT, 'Unknown/Not applicable')END</v>
      </c>
      <c r="AB661" s="28" t="str">
        <f>IF(S661="","",IF(IFERROR(SEARCH("select",S661)&gt;0,0),IF(U661="",IF(MID(S661,SEARCH(H661,S661)-4,1)=" ",MID(S661,SEARCH(H661,S661)-2,LEN(O670)+2),MID(S661,SEARCH(H661,S661)-3,LEN(H661)+3)),U661&amp;"."&amp;H661),S661))</f>
        <v>CASE WHEN isnull(s.F_SEXORT,'') IN ('', ' ','99') THEN 'Unknown/Not applicable' ELSE SEXORT.dw_currentlabel END</v>
      </c>
      <c r="AC661" s="28" t="str">
        <f t="shared" si="92"/>
        <v xml:space="preserve"> </v>
      </c>
      <c r="AD661" s="28" t="str">
        <f t="shared" si="101"/>
        <v/>
      </c>
      <c r="AE661" t="str">
        <f t="shared" si="99"/>
        <v>[Sexual orientation]</v>
      </c>
      <c r="AF661">
        <v>100932</v>
      </c>
    </row>
    <row r="662" spans="1:32" ht="16" x14ac:dyDescent="0.2">
      <c r="A662">
        <v>100932</v>
      </c>
      <c r="B662" s="29" t="str">
        <f>DataItems3[[#This Row],[Field]]&amp;IF(DataItems3[[#This Row],[Options for supplying the Field]]="",""," "&amp;DataItems3[[#This Row],[Options for supplying the Field]])</f>
        <v>Sexual orientation (DF)</v>
      </c>
      <c r="C662">
        <v>100932</v>
      </c>
      <c r="D662" s="3" t="s">
        <v>2992</v>
      </c>
      <c r="F662" s="3" t="s">
        <v>2302</v>
      </c>
      <c r="G662" s="13" t="s">
        <v>2994</v>
      </c>
      <c r="H662" s="13" t="s">
        <v>3228</v>
      </c>
      <c r="I662" s="13"/>
      <c r="J662" s="13"/>
      <c r="Q662" s="3" t="s">
        <v>3229</v>
      </c>
      <c r="R662" s="16"/>
      <c r="S662" s="66" t="s">
        <v>3229</v>
      </c>
      <c r="T662" s="16"/>
      <c r="W662" s="59" t="s">
        <v>3088</v>
      </c>
      <c r="X662" t="str">
        <f>DataItems3[[#This Row],[Collection]]&amp;DataItems3[[#This Row],[Field]]&amp;DataItems3[[#This Row],[Options for supplying the Field]]&amp;DataItems3[[#This Row],[Fieldname]]&amp;DataItems3[[#This Row],[Parent]]</f>
        <v>Data FuturesSexual orientation(DF)Z_SEXORT</v>
      </c>
      <c r="Y662" s="15">
        <v>45021</v>
      </c>
      <c r="Z662" t="s">
        <v>2997</v>
      </c>
      <c r="AA662" s="28" t="str">
        <f t="shared" si="94"/>
        <v>CASE WHEN df.SEXORT IN ('', ' ','99') THEN 'Unknown/Not available' ELSE ISNULL(df.SEXORT, 'Unknown/Not available')END</v>
      </c>
      <c r="AB662" s="28" t="str">
        <f>IF(S662="","",IF(IFERROR(SEARCH("select",S662)&gt;0,0),IF(W662="",IF(MID(S662,SEARCH(H662,S662)-4,1)=" ",MID(S662,SEARCH(H662,S662)-2,LEN(O671)+2),MID(S662,SEARCH(H662,S662)-3,LEN(H662)+3)),W662&amp;"."&amp;H662),S662))</f>
        <v>CASE WHEN df.SEXORT IN ('', ' ','99') THEN 'Unknown/Not available' ELSE ISNULL(df.SEXORT, 'Unknown/Not available')END</v>
      </c>
      <c r="AC662" s="28" t="str">
        <f t="shared" si="92"/>
        <v/>
      </c>
      <c r="AD662" s="28" t="str">
        <f t="shared" si="101"/>
        <v/>
      </c>
      <c r="AE662" t="str">
        <f t="shared" si="99"/>
        <v>[Sexual orientation]</v>
      </c>
    </row>
    <row r="663" spans="1:32" ht="16" x14ac:dyDescent="0.2">
      <c r="A663">
        <v>100892</v>
      </c>
      <c r="B663" s="29" t="str">
        <f>DataItems3[[#This Row],[Field]]&amp;IF(DataItems3[[#This Row],[Options for supplying the Field]]="",""," "&amp;DataItems3[[#This Row],[Options for supplying the Field]])</f>
        <v>Sexual orientation 2012/13 onwards (full) (staff)</v>
      </c>
      <c r="C663">
        <v>100892</v>
      </c>
      <c r="D663" s="3" t="s">
        <v>100</v>
      </c>
      <c r="F663" s="3" t="s">
        <v>3230</v>
      </c>
      <c r="G663" s="13" t="s">
        <v>3231</v>
      </c>
      <c r="H663" s="13" t="s">
        <v>2303</v>
      </c>
      <c r="I663" s="13"/>
      <c r="J663" s="3">
        <v>1</v>
      </c>
      <c r="K663" s="3">
        <v>2</v>
      </c>
      <c r="L663" s="3">
        <v>2</v>
      </c>
      <c r="M663" s="3">
        <v>8</v>
      </c>
      <c r="Q663" s="16" t="s">
        <v>3232</v>
      </c>
      <c r="S663" s="16" t="s">
        <v>3233</v>
      </c>
      <c r="U663" s="3" t="s">
        <v>3234</v>
      </c>
      <c r="W663" s="57" t="s">
        <v>94</v>
      </c>
      <c r="X663" t="str">
        <f>DataItems3[[#This Row],[Collection]]&amp;DataItems3[[#This Row],[Field]]&amp;DataItems3[[#This Row],[Options for supplying the Field]]&amp;DataItems3[[#This Row],[Fieldname]]&amp;DataItems3[[#This Row],[Parent]]</f>
        <v>StaffSexual orientation 2012/13 onwards(full) (staff)F_SEXORT</v>
      </c>
      <c r="Y663" s="4">
        <v>44853</v>
      </c>
      <c r="Z663" t="s">
        <v>2875</v>
      </c>
      <c r="AA663" s="28" t="str">
        <f t="shared" si="94"/>
        <v>CASE  WHEN cc.DW_FromDate &lt;= 20110801 THEN 'NA_1112' WHEN p.F_SEXORT IN ('98', '99', '', ' ') THEN 'U' ELSE ISNULL(p.F_SEXORT,'U') END</v>
      </c>
      <c r="AB663" s="28" t="str">
        <f>IF(S663="","",IF(IFERROR(SEARCH("select",S663)&gt;0,0),IF(U663="",IF(MID(S663,SEARCH(H663,S663)-4,1)=" ",MID(S663,SEARCH(H663,S663)-2,LEN(O685)+2),MID(S663,SEARCH(H663,S663)-3,LEN(H663)+3)),U663&amp;"."&amp;H663),S663))</f>
        <v>CASE  WHEN cc.DW_FromDate &lt;= 20110801 THEN 'Not applicable (2011/12 and prior)' WHEN p.F_SEXORT IN ('98', '99', '', ' ') THEN 'Unknown/Not applicable' ELSE ISNULL(SEXORT_STAFF.DW_CurrentLabel,'Unknown/Not applicable') END</v>
      </c>
      <c r="AC663" s="28" t="str">
        <f t="shared" si="92"/>
        <v/>
      </c>
      <c r="AD663" s="28" t="str">
        <f t="shared" si="101"/>
        <v/>
      </c>
      <c r="AE663" t="str">
        <f t="shared" si="99"/>
        <v>[Sexual orientation 2012/13 onwards]</v>
      </c>
    </row>
    <row r="664" spans="1:32" ht="16" x14ac:dyDescent="0.2">
      <c r="A664">
        <v>100642</v>
      </c>
      <c r="B664" s="19" t="str">
        <f>DataItems3[[#This Row],[Field]]&amp;IF(DataItems3[[#This Row],[Options for supplying the Field]]="",""," "&amp;DataItems3[[#This Row],[Options for supplying the Field]])</f>
        <v>Significant interim study since graduation [F_XINTSTUDY]</v>
      </c>
      <c r="C664">
        <v>100642</v>
      </c>
      <c r="D664" s="3" t="s">
        <v>151</v>
      </c>
      <c r="F664" s="3" t="s">
        <v>2305</v>
      </c>
      <c r="G664" s="13" t="str">
        <f>"["&amp;H664&amp;"]"</f>
        <v>[F_XINTSTUDY]</v>
      </c>
      <c r="H664" s="3" t="s">
        <v>2306</v>
      </c>
      <c r="J664" s="3">
        <v>1</v>
      </c>
      <c r="K664" s="3">
        <v>1</v>
      </c>
      <c r="L664" s="3">
        <v>0</v>
      </c>
      <c r="M664" s="3">
        <v>0</v>
      </c>
      <c r="P664" s="3" t="s">
        <v>1197</v>
      </c>
      <c r="Q664" s="16" t="s">
        <v>2307</v>
      </c>
      <c r="R664" s="3" t="s">
        <v>93</v>
      </c>
      <c r="S664" s="16" t="s">
        <v>2308</v>
      </c>
      <c r="U664" s="3" t="s">
        <v>2309</v>
      </c>
      <c r="V664" s="3" t="s">
        <v>93</v>
      </c>
      <c r="W664" s="57" t="s">
        <v>2909</v>
      </c>
      <c r="X664" t="str">
        <f>DataItems3[[#This Row],[Collection]]&amp;DataItems3[[#This Row],[Field]]&amp;DataItems3[[#This Row],[Options for supplying the Field]]&amp;DataItems3[[#This Row],[Fieldname]]&amp;DataItems3[[#This Row],[Parent]]</f>
        <v>Graduate OutcomesSignificant interim study since graduation[F_XINTSTUDY]F_XINTSTUDYProvider &gt; Graduate &gt; Previous Study:</v>
      </c>
      <c r="Y664" s="15">
        <v>44008</v>
      </c>
      <c r="Z664" t="s">
        <v>159</v>
      </c>
      <c r="AA664" s="28" t="str">
        <f t="shared" si="94"/>
        <v>CASE WHEN ISNULL(g.ZRESPSTATUS, '02')='02'          OR ISNULL(g.XACTIVITY, '99')='99' THEN 'Not in GO publication population'    else isnull(g.XINTSTUDY,'NA/UNK') ENd</v>
      </c>
      <c r="AB664" s="28" t="str">
        <f>IF(S664="","",IF(IFERROR(SEARCH("select",S664)&gt;0,0),IF(U664="",IF(MID(S664,SEARCH(H664,S664)-4,1)=" ",MID(S664,SEARCH(H664,S664)-2,LEN(O673)+2),MID(S664,SEARCH(H664,S664)-3,LEN(H664)+3)),U664&amp;"."&amp;H664),S664))</f>
        <v>CASE WHEN ISNULL(g.ZRESPSTATUS, '02')='02' OR ISNULL(g.XACTIVITY, '99')='99' THEN 'Not in GO publication population' else isnull(XINTSTUDY.label,'NA/UNK') end</v>
      </c>
      <c r="AC664" s="28" t="str">
        <f t="shared" si="92"/>
        <v/>
      </c>
      <c r="AD664" s="28" t="str">
        <f t="shared" si="101"/>
        <v/>
      </c>
      <c r="AE664" t="str">
        <f t="shared" si="99"/>
        <v>[Significant interim study since graduation]</v>
      </c>
    </row>
    <row r="665" spans="1:32" x14ac:dyDescent="0.2">
      <c r="A665">
        <v>100832</v>
      </c>
      <c r="B665" t="str">
        <f>DataItems3[[#This Row],[Field]]&amp;IF(DataItems3[[#This Row],[Options for supplying the Field]]="",""," "&amp;DataItems3[[#This Row],[Options for supplying the Field]])</f>
        <v>Significant responsibility   - 2018/19 onwards</v>
      </c>
      <c r="C665">
        <v>100832</v>
      </c>
      <c r="D665" s="3" t="s">
        <v>100</v>
      </c>
      <c r="F665" s="3" t="s">
        <v>2310</v>
      </c>
      <c r="G665" s="3" t="s">
        <v>2311</v>
      </c>
      <c r="H665" s="3" t="s">
        <v>2312</v>
      </c>
      <c r="J665" s="13">
        <v>1</v>
      </c>
      <c r="K665" s="3">
        <v>2</v>
      </c>
      <c r="L665" s="3">
        <v>0</v>
      </c>
      <c r="M665" s="3">
        <v>0</v>
      </c>
      <c r="Q665" s="16" t="s">
        <v>2313</v>
      </c>
      <c r="R665" s="27"/>
      <c r="S665" s="16" t="s">
        <v>2314</v>
      </c>
      <c r="W665" s="57" t="s">
        <v>2907</v>
      </c>
      <c r="X665" t="str">
        <f>DataItems3[[#This Row],[Collection]]&amp;DataItems3[[#This Row],[Field]]&amp;DataItems3[[#This Row],[Options for supplying the Field]]&amp;DataItems3[[#This Row],[Fieldname]]&amp;DataItems3[[#This Row],[Parent]]</f>
        <v>StaffSignificant responsibility  - 2018/19 onwardsSIGRES</v>
      </c>
      <c r="Y665" s="4">
        <v>44480</v>
      </c>
      <c r="Z665" t="s">
        <v>135</v>
      </c>
      <c r="AA665" s="28" t="str">
        <f t="shared" si="94"/>
        <v>CASE WHEN cc.DW_FromDate &gt;= 20180801 THEN ISNULL(CAST(C.F_SIGRES AS VARCHAR), 'Unknown') ELSE 'Not applicable (2017/18 and prior)' END</v>
      </c>
      <c r="AB665" s="28" t="str">
        <f>IF(S665="","",IF(IFERROR(SEARCH("select",S665)&gt;0,0),IF(U665="",IF(MID(S665,SEARCH(H665,S665)-4,1)=" ",MID(S665,SEARCH(H665,S665)-2,LEN(O674)+2),MID(S665,SEARCH(H665,S665)-3,LEN(H665)+3)),U665&amp;"."&amp;H665),S665))</f>
        <v>case WHEN cc.DW_FromDate &lt;= 20170801 THEN 'Not applicable (2017/18 and prior)' when c.f_sigres=1 then 'Yes' when  c.f_sigres=2 then 'No' else isnull(cast(c.f_sigres as varchar),'Unknown') end</v>
      </c>
      <c r="AC665" s="28" t="str">
        <f t="shared" ref="AC665:AC685" si="102">IF(R665="","",R665)</f>
        <v/>
      </c>
      <c r="AD665" s="28" t="str">
        <f t="shared" si="101"/>
        <v/>
      </c>
      <c r="AE665" t="str">
        <f t="shared" si="99"/>
        <v>[Significant responsibility ]</v>
      </c>
    </row>
    <row r="666" spans="1:32" ht="16" x14ac:dyDescent="0.2">
      <c r="A666">
        <v>100875</v>
      </c>
      <c r="B666" s="11" t="str">
        <f>DataItems3[[#This Row],[Field]]&amp;IF(DataItems3[[#This Row],[Options for supplying the Field]]="",""," "&amp;DataItems3[[#This Row],[Options for supplying the Field]])</f>
        <v>SIMD deciles</v>
      </c>
      <c r="C666">
        <v>100875</v>
      </c>
      <c r="D666" s="3" t="s">
        <v>86</v>
      </c>
      <c r="E666" s="3" t="s">
        <v>106</v>
      </c>
      <c r="F666" s="3" t="s">
        <v>2315</v>
      </c>
      <c r="G666" s="13"/>
      <c r="H666" s="3" t="s">
        <v>2316</v>
      </c>
      <c r="J666" s="3">
        <v>1</v>
      </c>
      <c r="K666" s="3">
        <v>1</v>
      </c>
      <c r="L666" s="3">
        <v>0</v>
      </c>
      <c r="M666" s="3">
        <v>0</v>
      </c>
      <c r="Q666" s="16" t="s">
        <v>2317</v>
      </c>
      <c r="R666" s="16" t="s">
        <v>2317</v>
      </c>
      <c r="S666" s="16" t="s">
        <v>2317</v>
      </c>
      <c r="T666" s="16" t="s">
        <v>2317</v>
      </c>
      <c r="U666" s="3" t="s">
        <v>2318</v>
      </c>
      <c r="W666" s="57" t="s">
        <v>764</v>
      </c>
      <c r="X666" t="str">
        <f>DataItems3[[#This Row],[Collection]]&amp;DataItems3[[#This Row],[Field]]&amp;DataItems3[[#This Row],[Options for supplying the Field]]&amp;DataItems3[[#This Row],[Fieldname]]&amp;DataItems3[[#This Row],[Parent]]</f>
        <v>StudentSIMD decilesSIMD_Decile</v>
      </c>
      <c r="Y666" s="4">
        <v>44729</v>
      </c>
      <c r="Z666" t="s">
        <v>135</v>
      </c>
      <c r="AA666" s="28" t="str">
        <f t="shared" si="94"/>
        <v>ISNULL(simd.IMD_Decile,'N/A')</v>
      </c>
      <c r="AB666" s="28" t="str">
        <f>IF(S666="","",IF(IFERROR(SEARCH("select",S666)&gt;0,0),IF(U666="",IF(MID(S666,SEARCH(H666,S666)-4,1)=" ",MID(S666,SEARCH(H666,S666)-2,LEN(#REF!)+2),MID(S666,SEARCH(H666,S666)-3,LEN(H666)+3)),U666&amp;"."&amp;H666),S666))</f>
        <v>ISNULL(simd.IMD_Decile,'N/A')</v>
      </c>
      <c r="AC666" s="28" t="str">
        <f t="shared" si="102"/>
        <v>ISNULL(simd.IMD_Decile,'N/A')</v>
      </c>
      <c r="AD666" s="28" t="str">
        <f>IF(T666="","",IF(IFERROR(SEARCH("select",T666)&gt;0,0),IF(U666="",IF(MID(T666,SEARCH(H666,T666)-4,1)=" ",MID(T666,SEARCH(H666,T666)-2,LEN(#REF!)+2),MID(T666,SEARCH(H666,T666)-3,LEN(H666)+3)),U666&amp;"."&amp;H666),T666))</f>
        <v>ISNULL(simd.IMD_Decile,'N/A')</v>
      </c>
      <c r="AE666" t="str">
        <f t="shared" si="99"/>
        <v>[SIMD deciles]</v>
      </c>
    </row>
    <row r="667" spans="1:32" ht="16" x14ac:dyDescent="0.2">
      <c r="A667">
        <v>100874</v>
      </c>
      <c r="B667" s="11" t="str">
        <f>DataItems3[[#This Row],[Field]]&amp;IF(DataItems3[[#This Row],[Options for supplying the Field]]="",""," "&amp;DataItems3[[#This Row],[Options for supplying the Field]])</f>
        <v>SIMD quintiles</v>
      </c>
      <c r="C667">
        <v>100874</v>
      </c>
      <c r="D667" s="3" t="s">
        <v>86</v>
      </c>
      <c r="E667" s="3" t="s">
        <v>106</v>
      </c>
      <c r="F667" s="3" t="s">
        <v>2319</v>
      </c>
      <c r="G667" s="13"/>
      <c r="H667" s="3" t="s">
        <v>2320</v>
      </c>
      <c r="J667" s="3">
        <v>1</v>
      </c>
      <c r="K667" s="3">
        <v>1</v>
      </c>
      <c r="L667" s="3">
        <v>0</v>
      </c>
      <c r="M667" s="3">
        <v>0</v>
      </c>
      <c r="Q667" s="16" t="s">
        <v>2317</v>
      </c>
      <c r="R667" s="16" t="s">
        <v>2321</v>
      </c>
      <c r="S667" s="16" t="s">
        <v>2321</v>
      </c>
      <c r="T667" s="16" t="s">
        <v>2321</v>
      </c>
      <c r="U667" s="3" t="s">
        <v>2318</v>
      </c>
      <c r="W667" s="57" t="s">
        <v>145</v>
      </c>
      <c r="X667" t="str">
        <f>DataItems3[[#This Row],[Collection]]&amp;DataItems3[[#This Row],[Field]]&amp;DataItems3[[#This Row],[Options for supplying the Field]]&amp;DataItems3[[#This Row],[Fieldname]]&amp;DataItems3[[#This Row],[Parent]]</f>
        <v>StudentSIMD quintilesSIMD_Quintile</v>
      </c>
      <c r="Y667" s="4">
        <v>44729</v>
      </c>
      <c r="Z667" t="s">
        <v>135</v>
      </c>
      <c r="AA667" s="28" t="str">
        <f t="shared" si="94"/>
        <v>ISNULL(simd.IMD_Decile,'N/A')</v>
      </c>
      <c r="AB667" s="28" t="str">
        <f>IF(S667="","",IF(IFERROR(SEARCH("select",S667)&gt;0,0),IF(U667="",IF(MID(S667,SEARCH(H667,S667)-4,1)=" ",MID(S667,SEARCH(H667,S667)-2,LEN(O675)+2),MID(S667,SEARCH(H667,S667)-3,LEN(H667)+3)),U667&amp;"."&amp;H667),S667))</f>
        <v>case when simd.IMD_Decile in (1,2) then '1'  when simd.IMD_Decile in (3,4) then '2' when simd.IMD_Decile in (5,6) then '3' when simd.IMD_Decile in (7,8) then '4' when simd.IMD_Decile in (9,10) then '5' else 'N/A' end</v>
      </c>
      <c r="AC667" s="28" t="str">
        <f t="shared" si="102"/>
        <v>case when simd.IMD_Decile in (1,2) then '1'  when simd.IMD_Decile in (3,4) then '2' when simd.IMD_Decile in (5,6) then '3' when simd.IMD_Decile in (7,8) then '4' when simd.IMD_Decile in (9,10) then '5' else 'N/A' end</v>
      </c>
      <c r="AD667" s="28" t="str">
        <f t="shared" ref="AD667:AD674" si="103">IF(T667="","",IF(IFERROR(SEARCH("select",T667)&gt;0,0),IF(U667="",IF(MID(T667,SEARCH(H667,T667)-4,1)=" ",MID(T667,SEARCH(H667,T667)-2,LEN(O675)+2),MID(T667,SEARCH(H667,T667)-3,LEN(H667)+3)),U667&amp;"."&amp;H667),T667))</f>
        <v>case when simd.IMD_Decile in (1,2) then '1'  when simd.IMD_Decile in (3,4) then '2' when simd.IMD_Decile in (5,6) then '3' when simd.IMD_Decile in (7,8) then '4' when simd.IMD_Decile in (9,10) then '5' else 'N/A' end</v>
      </c>
      <c r="AE667" t="str">
        <f t="shared" si="99"/>
        <v>[SIMD quintiles]</v>
      </c>
    </row>
    <row r="668" spans="1:32" ht="16" x14ac:dyDescent="0.2">
      <c r="A668">
        <v>100519</v>
      </c>
      <c r="B668" s="11" t="str">
        <f>DataItems3[[#This Row],[Field]]&amp;IF(DataItems3[[#This Row],[Options for supplying the Field]]="",""," "&amp;DataItems3[[#This Row],[Options for supplying the Field]])</f>
        <v>Socio-economic Classification</v>
      </c>
      <c r="C668">
        <v>100519</v>
      </c>
      <c r="D668" s="3" t="s">
        <v>86</v>
      </c>
      <c r="E668" s="3" t="s">
        <v>106</v>
      </c>
      <c r="F668" s="3" t="s">
        <v>2322</v>
      </c>
      <c r="G668" s="13"/>
      <c r="H668" s="14" t="s">
        <v>2323</v>
      </c>
      <c r="J668" s="3">
        <v>1</v>
      </c>
      <c r="K668" s="3">
        <v>3</v>
      </c>
      <c r="L668" s="3">
        <v>1</v>
      </c>
      <c r="M668" s="3">
        <v>2</v>
      </c>
      <c r="N668" s="3" t="s">
        <v>89</v>
      </c>
      <c r="Q668" s="16" t="s">
        <v>2324</v>
      </c>
      <c r="R668" s="16" t="s">
        <v>2324</v>
      </c>
      <c r="S668" s="16" t="s">
        <v>2325</v>
      </c>
      <c r="T668" s="16" t="s">
        <v>2325</v>
      </c>
      <c r="U668" s="3" t="s">
        <v>93</v>
      </c>
      <c r="V668" s="3" t="s">
        <v>93</v>
      </c>
      <c r="W668" s="57" t="s">
        <v>114</v>
      </c>
      <c r="X668" t="str">
        <f>DataItems3[[#This Row],[Collection]]&amp;DataItems3[[#This Row],[Field]]&amp;DataItems3[[#This Row],[Options for supplying the Field]]&amp;DataItems3[[#This Row],[Fieldname]]&amp;DataItems3[[#This Row],[Parent]]</f>
        <v>StudentSocio-economic ClassificationF_SEC</v>
      </c>
      <c r="Y668" s="15">
        <v>43004</v>
      </c>
      <c r="Z668" t="s">
        <v>1301</v>
      </c>
      <c r="AA668" s="28" t="str">
        <f t="shared" si="94"/>
        <v>CASE WHEN ISNULL(s.F_SEC,'') IN (' ', '-1') THEN 'UNK'
ELSE CAST(CAST(s.F_SEC AS INT) AS varchar) END</v>
      </c>
      <c r="AB668" s="28" t="str">
        <f>IF(S668="","",IF(IFERROR(SEARCH("select",S668)&gt;0,0),IF(U668="",IF(MID(S668,SEARCH(H668,S668)-4,1)=" ",MID(S668,SEARCH(H668,S668)-2,LEN(O677)+2),MID(S668,SEARCH(H668,S668)-3,LEN(H668)+3)),U668&amp;"."&amp;H668),S668))</f>
        <v xml:space="preserve"> s.F_SEC</v>
      </c>
      <c r="AC668" s="28" t="str">
        <f t="shared" si="102"/>
        <v>CASE WHEN ISNULL(s.F_SEC,'') IN (' ', '-1') THEN 'UNK'
ELSE CAST(CAST(s.F_SEC AS INT) AS varchar) END</v>
      </c>
      <c r="AD668" s="28" t="str">
        <f t="shared" si="103"/>
        <v xml:space="preserve"> s.F_SEC</v>
      </c>
      <c r="AE668" t="str">
        <f t="shared" si="99"/>
        <v>[Socio-economic Classification]</v>
      </c>
    </row>
    <row r="669" spans="1:32" ht="16" x14ac:dyDescent="0.2">
      <c r="A669">
        <v>100520</v>
      </c>
      <c r="B669" s="11" t="str">
        <f>DataItems3[[#This Row],[Field]]&amp;IF(DataItems3[[#This Row],[Options for supplying the Field]]="",""," "&amp;DataItems3[[#This Row],[Options for supplying the Field]])</f>
        <v>Source of basic salary  - 2013/14 onwards</v>
      </c>
      <c r="C669">
        <v>100520</v>
      </c>
      <c r="D669" s="3" t="s">
        <v>100</v>
      </c>
      <c r="F669" s="3" t="s">
        <v>2326</v>
      </c>
      <c r="G669" s="13" t="s">
        <v>2327</v>
      </c>
      <c r="H669" s="14" t="s">
        <v>2328</v>
      </c>
      <c r="J669" s="3">
        <v>2</v>
      </c>
      <c r="K669" s="3">
        <v>3</v>
      </c>
      <c r="L669" s="3">
        <v>0</v>
      </c>
      <c r="M669" s="3">
        <v>0</v>
      </c>
      <c r="N669" s="3" t="s">
        <v>2329</v>
      </c>
      <c r="Q669" s="16" t="s">
        <v>2330</v>
      </c>
      <c r="R669" s="3" t="s">
        <v>93</v>
      </c>
      <c r="S669" s="16" t="s">
        <v>2331</v>
      </c>
      <c r="U669" s="3" t="s">
        <v>93</v>
      </c>
      <c r="V669" s="3" t="s">
        <v>93</v>
      </c>
      <c r="W669" s="57" t="s">
        <v>2907</v>
      </c>
      <c r="X669" t="str">
        <f>DataItems3[[#This Row],[Collection]]&amp;DataItems3[[#This Row],[Field]]&amp;DataItems3[[#This Row],[Options for supplying the Field]]&amp;DataItems3[[#This Row],[Fieldname]]&amp;DataItems3[[#This Row],[Parent]]</f>
        <v>StaffSource of basic salary - 2013/14 onwardsF_XSOBS01</v>
      </c>
      <c r="Y669" s="15">
        <v>43395</v>
      </c>
      <c r="Z669" t="s">
        <v>102</v>
      </c>
      <c r="AA669" s="28" t="str">
        <f t="shared" si="94"/>
        <v>CASE WHEN cc.DW_FromDate &lt;= 20120801 THEN 'Not applicable (2012/13 and prior)' ELSE CAST(C.F_XSOBS01 AS VARCHAR) END</v>
      </c>
      <c r="AB669" s="28" t="str">
        <f>IF(S669="","",IF(IFERROR(SEARCH("select",S669)&gt;0,0),IF(U669="",IF(MID(S669,SEARCH(H669,S669)-4,1)=" ",MID(S669,SEARCH(H669,S669)-2,LEN(O678)+2),MID(S669,SEARCH(H669,S669)-3,LEN(H669)+3)),U669&amp;"."&amp;H669),S669))</f>
        <v>CASE WHEN cc.DW_FromDate &lt;= 20120801 THEN 'Not applicable (2012/13 and prior)' ELSE XSOBS01.dw_currentlabel END</v>
      </c>
      <c r="AC669" s="28" t="str">
        <f t="shared" si="102"/>
        <v/>
      </c>
      <c r="AD669" s="28" t="str">
        <f t="shared" si="103"/>
        <v/>
      </c>
      <c r="AE669" t="str">
        <f t="shared" si="99"/>
        <v>[Source of basic salary]</v>
      </c>
    </row>
    <row r="670" spans="1:32" ht="16" x14ac:dyDescent="0.2">
      <c r="A670">
        <v>100771</v>
      </c>
      <c r="B670" s="11" t="str">
        <f>DataItems3[[#This Row],[Field]]&amp;IF(DataItems3[[#This Row],[Options for supplying the Field]]="",""," "&amp;DataItems3[[#This Row],[Options for supplying the Field]])</f>
        <v>Source of basic salary 1  - 2013/14 onwards</v>
      </c>
      <c r="C670">
        <v>100771</v>
      </c>
      <c r="D670" s="3" t="s">
        <v>100</v>
      </c>
      <c r="F670" s="3" t="s">
        <v>2332</v>
      </c>
      <c r="G670" s="13" t="s">
        <v>2327</v>
      </c>
      <c r="H670" s="14" t="s">
        <v>2333</v>
      </c>
      <c r="J670" s="3">
        <v>2</v>
      </c>
      <c r="K670" s="3">
        <v>2</v>
      </c>
      <c r="L670" s="3">
        <v>0</v>
      </c>
      <c r="M670" s="3">
        <v>0</v>
      </c>
      <c r="Q670" s="16" t="s">
        <v>2334</v>
      </c>
      <c r="S670" s="16" t="s">
        <v>2335</v>
      </c>
      <c r="U670" s="3" t="s">
        <v>2336</v>
      </c>
      <c r="W670" s="57" t="s">
        <v>150</v>
      </c>
      <c r="X670" t="str">
        <f>DataItems3[[#This Row],[Collection]]&amp;DataItems3[[#This Row],[Field]]&amp;DataItems3[[#This Row],[Options for supplying the Field]]&amp;DataItems3[[#This Row],[Fieldname]]&amp;DataItems3[[#This Row],[Parent]]</f>
        <v>StaffSource of basic salary 1 - 2013/14 onwardsF_SOBS1</v>
      </c>
      <c r="Y670" s="4">
        <v>44253</v>
      </c>
      <c r="Z670" t="s">
        <v>135</v>
      </c>
      <c r="AA670" s="28" t="str">
        <f t="shared" si="94"/>
        <v>CASE WHEN cc.DW_FromDate &lt;= 20120801 THEN 'Not applicable (2012/13 and prior)' ELSE ISNULL(C.F_SOBS1,'Not applicable') END</v>
      </c>
      <c r="AB670" s="28" t="str">
        <f>IF(S670="","",IF(IFERROR(SEARCH("select",S670)&gt;0,0),IF(U670="",IF(MID(S670,SEARCH(H670,S670)-4,1)=" ",MID(S670,SEARCH(H670,S670)-2,LEN(O679)+2),MID(S670,SEARCH(H670,S670)-3,LEN(H670)+3)),U670&amp;"."&amp;H670),S670))</f>
        <v>CASE WHEN cc.DW_FromDate &lt;= 20120801 THEN 'Not applicable (2012/13 and prior)' ELSE SOBS1.dw_currentlabel END</v>
      </c>
      <c r="AC670" s="28" t="str">
        <f t="shared" si="102"/>
        <v/>
      </c>
      <c r="AD670" s="28" t="str">
        <f t="shared" si="103"/>
        <v/>
      </c>
      <c r="AE670" t="str">
        <f t="shared" si="99"/>
        <v>[Source of basic salary 1]</v>
      </c>
    </row>
    <row r="671" spans="1:32" ht="16" x14ac:dyDescent="0.2">
      <c r="A671">
        <v>100770</v>
      </c>
      <c r="B671" s="11" t="str">
        <f>DataItems3[[#This Row],[Field]]&amp;IF(DataItems3[[#This Row],[Options for supplying the Field]]="",""," "&amp;DataItems3[[#This Row],[Options for supplying the Field]])</f>
        <v>Source of basic salary 2  - 2013/14 onwards</v>
      </c>
      <c r="C671">
        <v>100770</v>
      </c>
      <c r="D671" s="3" t="s">
        <v>100</v>
      </c>
      <c r="F671" s="3" t="s">
        <v>2337</v>
      </c>
      <c r="G671" s="13" t="s">
        <v>2327</v>
      </c>
      <c r="H671" s="14" t="s">
        <v>2338</v>
      </c>
      <c r="J671" s="3">
        <v>0</v>
      </c>
      <c r="K671" s="3">
        <v>0</v>
      </c>
      <c r="L671" s="3">
        <v>0</v>
      </c>
      <c r="M671" s="3">
        <v>0</v>
      </c>
      <c r="Q671" s="16" t="s">
        <v>2339</v>
      </c>
      <c r="S671" s="16" t="s">
        <v>2340</v>
      </c>
      <c r="U671" s="3" t="s">
        <v>2341</v>
      </c>
      <c r="W671" s="57" t="s">
        <v>150</v>
      </c>
      <c r="X671" t="str">
        <f>DataItems3[[#This Row],[Collection]]&amp;DataItems3[[#This Row],[Field]]&amp;DataItems3[[#This Row],[Options for supplying the Field]]&amp;DataItems3[[#This Row],[Fieldname]]&amp;DataItems3[[#This Row],[Parent]]</f>
        <v>StaffSource of basic salary 2 - 2013/14 onwardsF_SOBS2</v>
      </c>
      <c r="Y671" s="4">
        <v>44253</v>
      </c>
      <c r="Z671" t="s">
        <v>135</v>
      </c>
      <c r="AA671" s="28" t="str">
        <f t="shared" si="94"/>
        <v>CASE WHEN cc.DW_FromDate &lt;= 20120801 THEN 'Not applicable (2012/13 and prior)' ELSE ISNULL(C.F_SOBS2,'Not applicable') END</v>
      </c>
      <c r="AB671" s="28" t="str">
        <f>IF(S671="","",IF(IFERROR(SEARCH("select",S671)&gt;0,0),IF(U671="",IF(MID(S671,SEARCH(H671,S671)-4,1)=" ",MID(S671,SEARCH(H671,S671)-2,LEN(O680)+2),MID(S671,SEARCH(H671,S671)-3,LEN(H671)+3)),U671&amp;"."&amp;H671),S671))</f>
        <v>CASE WHEN cc.DW_FromDate &lt;= 20120801 THEN 'Not applicable (2012/13 and prior)' ELSE SOBS2.dw_currentlabel END</v>
      </c>
      <c r="AC671" s="28" t="str">
        <f t="shared" si="102"/>
        <v/>
      </c>
      <c r="AD671" s="28" t="str">
        <f t="shared" si="103"/>
        <v/>
      </c>
      <c r="AE671" t="str">
        <f t="shared" si="99"/>
        <v>[Source of basic salary 2]</v>
      </c>
    </row>
    <row r="672" spans="1:32" ht="16" x14ac:dyDescent="0.2">
      <c r="A672">
        <v>100769</v>
      </c>
      <c r="B672" s="11" t="str">
        <f>DataItems3[[#This Row],[Field]]&amp;IF(DataItems3[[#This Row],[Options for supplying the Field]]="",""," "&amp;DataItems3[[#This Row],[Options for supplying the Field]])</f>
        <v>Source of basic salary 3  - 2013/14 onwards</v>
      </c>
      <c r="C672">
        <v>100769</v>
      </c>
      <c r="D672" s="3" t="s">
        <v>100</v>
      </c>
      <c r="F672" s="3" t="s">
        <v>2342</v>
      </c>
      <c r="G672" s="13" t="s">
        <v>2327</v>
      </c>
      <c r="H672" s="14" t="s">
        <v>2343</v>
      </c>
      <c r="J672" s="3">
        <v>0</v>
      </c>
      <c r="K672" s="3">
        <v>0</v>
      </c>
      <c r="L672" s="3">
        <v>0</v>
      </c>
      <c r="M672" s="3">
        <v>0</v>
      </c>
      <c r="Q672" s="16" t="s">
        <v>2344</v>
      </c>
      <c r="S672" s="16" t="s">
        <v>2345</v>
      </c>
      <c r="U672" s="3" t="s">
        <v>2346</v>
      </c>
      <c r="W672" s="57" t="s">
        <v>150</v>
      </c>
      <c r="X672" t="str">
        <f>DataItems3[[#This Row],[Collection]]&amp;DataItems3[[#This Row],[Field]]&amp;DataItems3[[#This Row],[Options for supplying the Field]]&amp;DataItems3[[#This Row],[Fieldname]]&amp;DataItems3[[#This Row],[Parent]]</f>
        <v>StaffSource of basic salary 3 - 2013/14 onwardsF_SOBS3</v>
      </c>
      <c r="Y672" s="4">
        <v>44253</v>
      </c>
      <c r="Z672" t="s">
        <v>135</v>
      </c>
      <c r="AA672" s="28" t="str">
        <f t="shared" si="94"/>
        <v>CASE WHEN cc.DW_FromDate &lt;= 20120801 THEN 'Not applicable (2012/13 and prior)' ELSE ISNULL(C.F_SOBS3,'Not applicable') END</v>
      </c>
      <c r="AB672" s="28" t="str">
        <f>IF(S672="","",IF(IFERROR(SEARCH("select",S672)&gt;0,0),IF(U672="",IF(MID(S672,SEARCH(H672,S672)-4,1)=" ",MID(S672,SEARCH(H672,S672)-2,LEN(O681)+2),MID(S672,SEARCH(H672,S672)-3,LEN(H672)+3)),U672&amp;"."&amp;H672),S672))</f>
        <v>CASE WHEN cc.DW_FromDate &lt;= 20120801 THEN 'Not applicable (2012/13 and prior)' ELSE SOBS3.dw_currentlabel END</v>
      </c>
      <c r="AC672" s="28" t="str">
        <f t="shared" si="102"/>
        <v/>
      </c>
      <c r="AD672" s="28" t="str">
        <f t="shared" si="103"/>
        <v/>
      </c>
      <c r="AE672" t="str">
        <f t="shared" si="99"/>
        <v>[Source of basic salary 3]</v>
      </c>
    </row>
    <row r="673" spans="1:32" ht="16" x14ac:dyDescent="0.2">
      <c r="A673">
        <v>100521</v>
      </c>
      <c r="B673" s="11" t="str">
        <f>DataItems3[[#This Row],[Field]]&amp;IF(DataItems3[[#This Row],[Options for supplying the Field]]="",""," "&amp;DataItems3[[#This Row],[Options for supplying the Field]])</f>
        <v>Special fee indicator</v>
      </c>
      <c r="C673">
        <v>100521</v>
      </c>
      <c r="D673" s="3" t="s">
        <v>86</v>
      </c>
      <c r="F673" s="3" t="s">
        <v>2347</v>
      </c>
      <c r="G673" s="13"/>
      <c r="H673" s="14" t="s">
        <v>2348</v>
      </c>
      <c r="J673" s="3">
        <v>1</v>
      </c>
      <c r="K673" s="3">
        <v>2</v>
      </c>
      <c r="L673" s="3">
        <v>0</v>
      </c>
      <c r="M673" s="3">
        <v>0</v>
      </c>
      <c r="N673" s="3" t="s">
        <v>89</v>
      </c>
      <c r="Q673" s="16" t="s">
        <v>2349</v>
      </c>
      <c r="R673" s="3" t="s">
        <v>91</v>
      </c>
      <c r="S673" s="16" t="s">
        <v>2350</v>
      </c>
      <c r="U673" s="3" t="s">
        <v>2351</v>
      </c>
      <c r="V673" s="3" t="s">
        <v>93</v>
      </c>
      <c r="W673" s="57" t="s">
        <v>145</v>
      </c>
      <c r="X673" t="str">
        <f>DataItems3[[#This Row],[Collection]]&amp;DataItems3[[#This Row],[Field]]&amp;DataItems3[[#This Row],[Options for supplying the Field]]&amp;DataItems3[[#This Row],[Fieldname]]&amp;DataItems3[[#This Row],[Parent]]</f>
        <v>StudentSpecial fee indicatorF_SPECFEE</v>
      </c>
      <c r="Y673" s="15">
        <v>43440</v>
      </c>
      <c r="Z673" t="s">
        <v>588</v>
      </c>
      <c r="AA673" s="28" t="str">
        <f t="shared" si="94"/>
        <v>CASE WHEN s.F_SPECFEE IN ('',' ','-1') THEN 'unk' ELSE ISNULL(s.F_SPECFEE,'unk') END</v>
      </c>
      <c r="AB673" s="28" t="str">
        <f>IF(S673="","",IF(IFERROR(SEARCH("select",S673)&gt;0,0),IF(U673="",IF(MID(S673,SEARCH(H673,S673)-4,1)=" ",MID(S673,SEARCH(H673,S673)-2,LEN(O683)+2),MID(S673,SEARCH(H673,S673)-3,LEN(H673)+3)),U673&amp;"."&amp;H673),S673))</f>
        <v>SOBS3.F_SPECFEE</v>
      </c>
      <c r="AC673" s="28" t="str">
        <f t="shared" si="102"/>
        <v xml:space="preserve"> </v>
      </c>
      <c r="AD673" s="28" t="str">
        <f t="shared" si="103"/>
        <v/>
      </c>
      <c r="AE673" t="str">
        <f t="shared" si="99"/>
        <v>[Special fee indicator]</v>
      </c>
      <c r="AF673">
        <v>100933</v>
      </c>
    </row>
    <row r="674" spans="1:32" ht="16" x14ac:dyDescent="0.2">
      <c r="A674">
        <v>100933</v>
      </c>
      <c r="B674" s="29" t="str">
        <f>DataItems3[[#This Row],[Field]]&amp;IF(DataItems3[[#This Row],[Options for supplying the Field]]="",""," "&amp;DataItems3[[#This Row],[Options for supplying the Field]])</f>
        <v>Special or non-regulated fee category for Engagement (DF)</v>
      </c>
      <c r="C674">
        <v>100933</v>
      </c>
      <c r="D674" s="3" t="s">
        <v>2992</v>
      </c>
      <c r="F674" s="3" t="s">
        <v>3235</v>
      </c>
      <c r="G674" s="13" t="s">
        <v>2994</v>
      </c>
      <c r="H674" s="13" t="s">
        <v>3236</v>
      </c>
      <c r="I674" s="3" t="s">
        <v>3237</v>
      </c>
      <c r="J674" s="13"/>
      <c r="Q674" s="3" t="s">
        <v>3238</v>
      </c>
      <c r="R674" s="16"/>
      <c r="S674" s="3" t="s">
        <v>3238</v>
      </c>
      <c r="T674" s="16"/>
      <c r="W674" s="59" t="s">
        <v>150</v>
      </c>
      <c r="X674" t="str">
        <f>DataItems3[[#This Row],[Collection]]&amp;DataItems3[[#This Row],[Field]]&amp;DataItems3[[#This Row],[Options for supplying the Field]]&amp;DataItems3[[#This Row],[Fieldname]]&amp;DataItems3[[#This Row],[Parent]]</f>
        <v>Data FuturesSpecial or non-regulated fee category for Engagement(DF)Z_FEESPECIAL</v>
      </c>
      <c r="Y674" s="15">
        <v>45022</v>
      </c>
      <c r="Z674" t="s">
        <v>2997</v>
      </c>
      <c r="AA674" s="28" t="str">
        <f t="shared" ref="AA674:AA737" si="104">IF(Q674="","",Q674)</f>
        <v>df.Z_FEESPECIAL</v>
      </c>
      <c r="AB674" s="28" t="str">
        <f>IF(S674="","",IF(IFERROR(SEARCH("select",S674)&gt;0,0),IF(W674="",IF(MID(S674,SEARCH(H674,S674)-4,1)=" ",MID(S674,SEARCH(H674,S674)-2,LEN(O682)+2),MID(S674,SEARCH(H674,S674)-3,LEN(H674)+3)),W674&amp;"."&amp;H674),S674))</f>
        <v>df.Z_FEESPECIAL</v>
      </c>
      <c r="AC674" s="28" t="str">
        <f t="shared" si="102"/>
        <v/>
      </c>
      <c r="AD674" s="28" t="str">
        <f t="shared" si="103"/>
        <v/>
      </c>
      <c r="AE674" t="str">
        <f t="shared" si="99"/>
        <v>[Special or non-regulated fee category for Engagement]</v>
      </c>
    </row>
    <row r="675" spans="1:32" ht="16" x14ac:dyDescent="0.2">
      <c r="A675">
        <v>100522</v>
      </c>
      <c r="B675" s="11" t="str">
        <f>DataItems3[[#This Row],[Field]]&amp;IF(DataItems3[[#This Row],[Options for supplying the Field]]="",""," "&amp;DataItems3[[#This Row],[Options for supplying the Field]])</f>
        <v>Staff contract population</v>
      </c>
      <c r="C675">
        <v>100522</v>
      </c>
      <c r="D675" s="3" t="s">
        <v>100</v>
      </c>
      <c r="F675" s="3" t="s">
        <v>2352</v>
      </c>
      <c r="G675" s="13"/>
      <c r="H675" s="14" t="s">
        <v>2353</v>
      </c>
      <c r="J675" s="3">
        <v>1</v>
      </c>
      <c r="K675" s="3">
        <v>1</v>
      </c>
      <c r="L675" s="3">
        <v>0</v>
      </c>
      <c r="M675" s="3">
        <v>0</v>
      </c>
      <c r="N675" s="3" t="s">
        <v>89</v>
      </c>
      <c r="Q675" s="16" t="s">
        <v>2354</v>
      </c>
      <c r="R675" s="3" t="s">
        <v>93</v>
      </c>
      <c r="S675" s="16" t="s">
        <v>2355</v>
      </c>
      <c r="U675" s="3" t="s">
        <v>93</v>
      </c>
      <c r="V675" s="3" t="s">
        <v>93</v>
      </c>
      <c r="W675" s="57" t="s">
        <v>109</v>
      </c>
      <c r="X675" t="str">
        <f>DataItems3[[#This Row],[Collection]]&amp;DataItems3[[#This Row],[Field]]&amp;DataItems3[[#This Row],[Options for supplying the Field]]&amp;DataItems3[[#This Row],[Fieldname]]&amp;DataItems3[[#This Row],[Parent]]</f>
        <v>StaffStaff contract populationF_XPOPC01</v>
      </c>
      <c r="Y675" s="15">
        <v>43482</v>
      </c>
      <c r="Z675" t="s">
        <v>225</v>
      </c>
      <c r="AA675" s="28" t="str">
        <f t="shared" si="104"/>
        <v>CAST(C.F_XPOPC01 AS VARCHAR(1))</v>
      </c>
      <c r="AB675" s="28" t="str">
        <f>IF(S675="","",IF(IFERROR(SEARCH("select",S675)&gt;0,0),IF(U675="",IF(MID(S675,SEARCH(H675,S675)-4,1)=" ",MID(S675,SEARCH(H675,S675)-2,LEN(O686)+2),MID(S675,SEARCH(H675,S675)-3,LEN(H675)+3)),U675&amp;"."&amp;H675),S675))</f>
        <v xml:space="preserve"> c.F_XPOPC01</v>
      </c>
      <c r="AC675" s="28" t="str">
        <f t="shared" si="102"/>
        <v/>
      </c>
      <c r="AD675" s="28" t="str">
        <f>IF(T675="","",IF(IFERROR(SEARCH("select",T675)&gt;0,0),IF(U675="",IF(MID(T675,SEARCH(H675,T675)-4,1)=" ",MID(T675,SEARCH(H675,T675)-2,LEN(O684)+2),MID(T675,SEARCH(H675,T675)-3,LEN(H675)+3)),U675&amp;"."&amp;H675),T675))</f>
        <v/>
      </c>
      <c r="AE675" t="str">
        <f t="shared" si="99"/>
        <v>[Staff contract population]</v>
      </c>
    </row>
    <row r="676" spans="1:32" ht="16" x14ac:dyDescent="0.2">
      <c r="A676">
        <v>100523</v>
      </c>
      <c r="B676" s="11" t="str">
        <f>DataItems3[[#This Row],[Field]]&amp;IF(DataItems3[[#This Row],[Options for supplying the Field]]="",""," "&amp;DataItems3[[#This Row],[Options for supplying the Field]])</f>
        <v>Staff contract session population</v>
      </c>
      <c r="C676">
        <v>100523</v>
      </c>
      <c r="D676" s="3" t="s">
        <v>100</v>
      </c>
      <c r="F676" s="3" t="s">
        <v>2356</v>
      </c>
      <c r="G676" s="13"/>
      <c r="H676" s="14" t="s">
        <v>2357</v>
      </c>
      <c r="J676" s="3">
        <v>1</v>
      </c>
      <c r="K676" s="3">
        <v>1</v>
      </c>
      <c r="L676" s="3">
        <v>0</v>
      </c>
      <c r="M676" s="3">
        <v>0</v>
      </c>
      <c r="N676" s="3" t="s">
        <v>89</v>
      </c>
      <c r="Q676" s="16" t="s">
        <v>2358</v>
      </c>
      <c r="R676" s="3" t="s">
        <v>93</v>
      </c>
      <c r="S676" s="16" t="s">
        <v>2359</v>
      </c>
      <c r="U676" s="3" t="s">
        <v>93</v>
      </c>
      <c r="V676" s="3" t="s">
        <v>93</v>
      </c>
      <c r="W676" s="57" t="s">
        <v>114</v>
      </c>
      <c r="X676" t="str">
        <f>DataItems3[[#This Row],[Collection]]&amp;DataItems3[[#This Row],[Field]]&amp;DataItems3[[#This Row],[Options for supplying the Field]]&amp;DataItems3[[#This Row],[Fieldname]]&amp;DataItems3[[#This Row],[Parent]]</f>
        <v>StaffStaff contract session populationF_XPSESC01</v>
      </c>
      <c r="Y676" s="15">
        <v>43482</v>
      </c>
      <c r="Z676" t="s">
        <v>225</v>
      </c>
      <c r="AA676" s="28" t="str">
        <f t="shared" si="104"/>
        <v>cast(c.F_XPSESC01 as varchar)</v>
      </c>
      <c r="AB676" s="28" t="str">
        <f>IF(S676="","",IF(IFERROR(SEARCH("select",S676)&gt;0,0),IF(U676="",IF(MID(S676,SEARCH(H676,S676)-4,1)=" ",MID(S676,SEARCH(H676,S676)-2,LEN(O687)+2),MID(S676,SEARCH(H676,S676)-3,LEN(H676)+3)),U676&amp;"."&amp;H676),S676))</f>
        <v xml:space="preserve"> c.F_XPSESC01</v>
      </c>
      <c r="AC676" s="28" t="str">
        <f t="shared" si="102"/>
        <v/>
      </c>
      <c r="AD676" s="28" t="str">
        <f>IF(T676="","",IF(IFERROR(SEARCH("select",T676)&gt;0,0),IF(U676="",IF(MID(T676,SEARCH(H676,T676)-4,1)=" ",MID(T676,SEARCH(H676,T676)-2,LEN(O685)+2),MID(T676,SEARCH(H676,T676)-3,LEN(H676)+3)),U676&amp;"."&amp;H676),T676))</f>
        <v/>
      </c>
      <c r="AE676" t="str">
        <f t="shared" si="99"/>
        <v>[Staff contract session population]</v>
      </c>
    </row>
    <row r="677" spans="1:32" ht="16" x14ac:dyDescent="0.2">
      <c r="A677">
        <v>100525</v>
      </c>
      <c r="B677" s="11" t="str">
        <f>DataItems3[[#This Row],[Field]]&amp;IF(DataItems3[[#This Row],[Options for supplying the Field]]="",""," "&amp;DataItems3[[#This Row],[Options for supplying the Field]])</f>
        <v>Standard Industrial Classification (SIC)⁽¹⁾ (2 digit)</v>
      </c>
      <c r="C677">
        <v>100525</v>
      </c>
      <c r="D677" s="3" t="s">
        <v>146</v>
      </c>
      <c r="F677" s="3" t="str">
        <f>"Standard Industrial Classification (SIC)"&amp;"⁽"&amp;CHAR(185)&amp;"⁾"</f>
        <v>Standard Industrial Classification (SIC)⁽¹⁾</v>
      </c>
      <c r="G677" s="13" t="s">
        <v>2365</v>
      </c>
      <c r="H677" s="14" t="s">
        <v>93</v>
      </c>
      <c r="J677" s="3">
        <v>2</v>
      </c>
      <c r="K677" s="3">
        <v>4</v>
      </c>
      <c r="L677" s="3">
        <v>0</v>
      </c>
      <c r="M677" s="3">
        <v>0</v>
      </c>
      <c r="N677" s="3" t="s">
        <v>106</v>
      </c>
      <c r="Q677" s="16" t="s">
        <v>93</v>
      </c>
      <c r="R677" s="3" t="s">
        <v>93</v>
      </c>
      <c r="S677" s="16" t="s">
        <v>93</v>
      </c>
      <c r="U677" s="3" t="s">
        <v>93</v>
      </c>
      <c r="V677" s="3" t="s">
        <v>93</v>
      </c>
      <c r="W677" s="57" t="s">
        <v>2926</v>
      </c>
      <c r="X677" t="str">
        <f>DataItems3[[#This Row],[Collection]]&amp;DataItems3[[#This Row],[Field]]&amp;DataItems3[[#This Row],[Options for supplying the Field]]&amp;DataItems3[[#This Row],[Fieldname]]&amp;DataItems3[[#This Row],[Parent]]</f>
        <v>DLHEStandard Industrial Classification (SIC)⁽¹⁾(2 digit)</v>
      </c>
      <c r="Y677" s="15">
        <v>43416</v>
      </c>
      <c r="Z677" t="s">
        <v>95</v>
      </c>
      <c r="AA677" s="28" t="str">
        <f t="shared" si="104"/>
        <v/>
      </c>
      <c r="AB677" s="28" t="str">
        <f>IF(S677="","",IF(IFERROR(SEARCH("select",S677)&gt;0,0),IF(U677="",IF(MID(S677,SEARCH(H677,S677)-4,1)=" ",MID(S677,SEARCH(H677,S677)-2,LEN(O687)+2),MID(S677,SEARCH(H677,S677)-3,LEN(H677)+3)),U677&amp;"."&amp;H677),S677))</f>
        <v/>
      </c>
      <c r="AC677" s="28" t="str">
        <f t="shared" si="102"/>
        <v/>
      </c>
      <c r="AD677" s="28" t="str">
        <f>IF(T677="","",IF(IFERROR(SEARCH("select",T677)&gt;0,0),IF(U677="",IF(MID(T677,SEARCH(H677,T677)-4,1)=" ",MID(T677,SEARCH(H677,T677)-2,LEN(O686)+2),MID(T677,SEARCH(H677,T677)-3,LEN(H677)+3)),U677&amp;"."&amp;H677),T677))</f>
        <v/>
      </c>
      <c r="AE677" t="str">
        <f t="shared" si="99"/>
        <v>[Standard Industrial Classification (SIC)]</v>
      </c>
    </row>
    <row r="678" spans="1:32" ht="16" x14ac:dyDescent="0.2">
      <c r="A678">
        <v>100526</v>
      </c>
      <c r="B678" s="11" t="str">
        <f>DataItems3[[#This Row],[Field]]&amp;IF(DataItems3[[#This Row],[Options for supplying the Field]]="",""," "&amp;DataItems3[[#This Row],[Options for supplying the Field]])</f>
        <v>Standard Industrial Classification (SIC)⁽¹⁾ (4 digit)</v>
      </c>
      <c r="C678">
        <v>100526</v>
      </c>
      <c r="D678" s="3" t="s">
        <v>146</v>
      </c>
      <c r="F678" s="3" t="str">
        <f>"Standard Industrial Classification (SIC)"&amp;"⁽"&amp;CHAR(185)&amp;"⁾"</f>
        <v>Standard Industrial Classification (SIC)⁽¹⁾</v>
      </c>
      <c r="G678" s="13" t="s">
        <v>2366</v>
      </c>
      <c r="H678" s="14" t="s">
        <v>93</v>
      </c>
      <c r="J678" s="3">
        <v>2</v>
      </c>
      <c r="K678" s="3">
        <v>4</v>
      </c>
      <c r="L678" s="3">
        <v>2</v>
      </c>
      <c r="M678" s="3">
        <v>0</v>
      </c>
      <c r="N678" s="3" t="s">
        <v>89</v>
      </c>
      <c r="Q678" s="16" t="s">
        <v>93</v>
      </c>
      <c r="R678" s="3" t="s">
        <v>93</v>
      </c>
      <c r="S678" s="16" t="s">
        <v>93</v>
      </c>
      <c r="U678" s="3" t="s">
        <v>93</v>
      </c>
      <c r="V678" s="3" t="s">
        <v>93</v>
      </c>
      <c r="W678" s="57" t="s">
        <v>2926</v>
      </c>
      <c r="X678" t="str">
        <f>DataItems3[[#This Row],[Collection]]&amp;DataItems3[[#This Row],[Field]]&amp;DataItems3[[#This Row],[Options for supplying the Field]]&amp;DataItems3[[#This Row],[Fieldname]]&amp;DataItems3[[#This Row],[Parent]]</f>
        <v>DLHEStandard Industrial Classification (SIC)⁽¹⁾(4 digit)</v>
      </c>
      <c r="Y678" s="15">
        <v>43416</v>
      </c>
      <c r="Z678" t="s">
        <v>95</v>
      </c>
      <c r="AA678" s="28" t="str">
        <f t="shared" si="104"/>
        <v/>
      </c>
      <c r="AB678" s="28" t="str">
        <f>IF(S678="","",IF(IFERROR(SEARCH("select",S678)&gt;0,0),IF(U678="",IF(MID(S678,SEARCH(H678,S678)-4,1)=" ",MID(S678,SEARCH(H678,S678)-2,LEN(O688)+2),MID(S678,SEARCH(H678,S678)-3,LEN(H678)+3)),U678&amp;"."&amp;H678),S678))</f>
        <v/>
      </c>
      <c r="AC678" s="28" t="str">
        <f t="shared" si="102"/>
        <v/>
      </c>
      <c r="AD678" s="28" t="str">
        <f>IF(T678="","",IF(IFERROR(SEARCH("select",T678)&gt;0,0),IF(U678="",IF(MID(T678,SEARCH(H678,T678)-4,1)=" ",MID(T678,SEARCH(H678,T678)-2,LEN(O687)+2),MID(T678,SEARCH(H678,T678)-3,LEN(H678)+3)),U678&amp;"."&amp;H678),T678))</f>
        <v/>
      </c>
      <c r="AE678" t="str">
        <f t="shared" si="99"/>
        <v>[Standard Industrial Classification (SIC)]</v>
      </c>
    </row>
    <row r="679" spans="1:32" ht="16" x14ac:dyDescent="0.2">
      <c r="A679">
        <v>100524</v>
      </c>
      <c r="B679" s="11" t="str">
        <f>DataItems3[[#This Row],[Field]]&amp;IF(DataItems3[[#This Row],[Options for supplying the Field]]="",""," "&amp;DataItems3[[#This Row],[Options for supplying the Field]])</f>
        <v>Standard Industrial Classification (SIC)⁽¹⁾ (1 digit) (2007/08-2010/11)</v>
      </c>
      <c r="C679">
        <v>100524</v>
      </c>
      <c r="D679" s="3" t="s">
        <v>146</v>
      </c>
      <c r="F679" s="3" t="str">
        <f>"Standard Industrial Classification (SIC)"&amp;"⁽"&amp;CHAR(185)&amp;"⁾"</f>
        <v>Standard Industrial Classification (SIC)⁽¹⁾</v>
      </c>
      <c r="G679" s="3" t="s">
        <v>2360</v>
      </c>
      <c r="H679" s="14" t="s">
        <v>2361</v>
      </c>
      <c r="J679" s="3">
        <v>2</v>
      </c>
      <c r="K679" s="3">
        <v>3</v>
      </c>
      <c r="L679" s="3">
        <v>0</v>
      </c>
      <c r="M679" s="3">
        <v>0</v>
      </c>
      <c r="N679" s="3" t="s">
        <v>106</v>
      </c>
      <c r="Q679" s="16" t="s">
        <v>3239</v>
      </c>
      <c r="R679" s="3" t="s">
        <v>93</v>
      </c>
      <c r="S679" s="16" t="s">
        <v>3239</v>
      </c>
      <c r="U679" s="3" t="s">
        <v>93</v>
      </c>
      <c r="V679" s="3" t="s">
        <v>93</v>
      </c>
      <c r="W679" s="57" t="s">
        <v>2362</v>
      </c>
      <c r="X679" t="str">
        <f>DataItems3[[#This Row],[Collection]]&amp;DataItems3[[#This Row],[Field]]&amp;DataItems3[[#This Row],[Options for supplying the Field]]&amp;DataItems3[[#This Row],[Fieldname]]&amp;DataItems3[[#This Row],[Parent]]</f>
        <v>DLHEStandard Industrial Classification (SIC)⁽¹⁾(1 digit) (2007/08-2010/11)F_XSICD02</v>
      </c>
      <c r="Y679" s="15">
        <v>43416</v>
      </c>
      <c r="Z679" t="s">
        <v>2055</v>
      </c>
      <c r="AA679" s="28" t="str">
        <f t="shared" si="104"/>
        <v>CASE WHEN s.DW_FromDate &gt;=20110801 THEN 'N/A year'  WHEN s.F_XPDLHE02!='1' AND ISNULL(dh.F_XPDLHE,'0')!='1' AND ISNULL(dh.F_XACTIV01,'X')='X' THEN 'NDLHE'   ELSE dh.F_XSICD02 END</v>
      </c>
      <c r="AB679" s="28" t="str">
        <f>IF(S679="","",IF(IFERROR(SEARCH("select",S679)&gt;0,0),IF(U679="",IF(MID(S679,SEARCH(H679,S679)-4,1)=" ",MID(S679,SEARCH(H679,S679)-2,LEN(#REF!)+2),MID(S679,SEARCH(H679,S679)-3,LEN(H679)+3)),U679&amp;"."&amp;H679),S679))</f>
        <v>CASE WHEN s.DW_FromDate &gt;=20110801 THEN 'N/A year'  WHEN s.F_XPDLHE02!='1' AND ISNULL(dh.F_XPDLHE,'0')!='1' AND ISNULL(dh.F_XACTIV01,'X')='X' THEN 'NDLHE'   ELSE dh.F_XSICD02 END</v>
      </c>
      <c r="AC679" s="28" t="str">
        <f t="shared" si="102"/>
        <v/>
      </c>
      <c r="AD679" s="28" t="str">
        <f>IF(T679="","",IF(IFERROR(SEARCH("select",T679)&gt;0,0),IF(U679="",IF(MID(T679,SEARCH(H679,T679)-4,1)=" ",MID(T679,SEARCH(H679,T679)-2,LEN(O688)+2),MID(T679,SEARCH(H679,T679)-3,LEN(H679)+3)),U679&amp;"."&amp;H679),T679))</f>
        <v/>
      </c>
      <c r="AE679" t="str">
        <f t="shared" si="99"/>
        <v>[Standard Industrial Classification (SIC)]</v>
      </c>
    </row>
    <row r="680" spans="1:32" ht="16" x14ac:dyDescent="0.2">
      <c r="A680">
        <v>100884</v>
      </c>
      <c r="B680" s="11" t="str">
        <f>DataItems3[[#This Row],[Field]]&amp;IF(DataItems3[[#This Row],[Options for supplying the Field]]="",""," "&amp;DataItems3[[#This Row],[Options for supplying the Field]])</f>
        <v>Standard Industrial Classification (SIC)⁽¹⁾ (1 digit) (2011/12-2016/17)</v>
      </c>
      <c r="C680">
        <v>100884</v>
      </c>
      <c r="D680" s="3" t="s">
        <v>146</v>
      </c>
      <c r="F680" s="3" t="str">
        <f>"Standard Industrial Classification (SIC)"&amp;"⁽"&amp;CHAR(185)&amp;"⁾"</f>
        <v>Standard Industrial Classification (SIC)⁽¹⁾</v>
      </c>
      <c r="G680" s="3" t="s">
        <v>2363</v>
      </c>
      <c r="H680" s="14" t="s">
        <v>2364</v>
      </c>
      <c r="J680" s="3">
        <v>2</v>
      </c>
      <c r="K680" s="3">
        <v>3</v>
      </c>
      <c r="L680" s="3">
        <v>0</v>
      </c>
      <c r="M680" s="3">
        <v>0</v>
      </c>
      <c r="N680" s="3" t="s">
        <v>106</v>
      </c>
      <c r="Q680" s="16" t="s">
        <v>3240</v>
      </c>
      <c r="S680" s="16" t="s">
        <v>3240</v>
      </c>
      <c r="W680" s="57" t="s">
        <v>2362</v>
      </c>
      <c r="X680" t="str">
        <f>DataItems3[[#This Row],[Collection]]&amp;DataItems3[[#This Row],[Field]]&amp;DataItems3[[#This Row],[Options for supplying the Field]]&amp;DataItems3[[#This Row],[Fieldname]]&amp;DataItems3[[#This Row],[Parent]]</f>
        <v>DLHEStandard Industrial Classification (SIC)⁽¹⁾(1 digit) (2011/12-2016/17)F_XSICD02NEW</v>
      </c>
      <c r="Y680" s="4">
        <v>44840</v>
      </c>
      <c r="Z680" t="s">
        <v>2055</v>
      </c>
      <c r="AA680" s="28" t="str">
        <f t="shared" si="104"/>
        <v>CASE WHEN s.DW_FromDate &lt;20110801 THEN 'N/A year' WHEN s.f_xpdlhe02 != '1'AND ISNULL(dh.f_xpubpopd01, '0') != '1' AND ISNULL(dh.f_xactiv02, 'XX') = 'XX' THEN 'NDLHE' ELSE dh.F_XSICD02 END</v>
      </c>
      <c r="AB680" s="28" t="str">
        <f>IF(S680="","",IF(IFERROR(SEARCH("select",S680)&gt;0,0),IF(U680="",IF(MID(S680,SEARCH(H680,S680)-4,1)=" ",MID(S680,SEARCH(H680,S680)-2,LEN(#REF!)+2),MID(S680,SEARCH(H680,S680)-3,LEN(H680)+3)),U680&amp;"."&amp;H680),S680))</f>
        <v>CASE WHEN s.DW_FromDate &lt;20110801 THEN 'N/A year' WHEN s.f_xpdlhe02 != '1'AND ISNULL(dh.f_xpubpopd01, '0') != '1' AND ISNULL(dh.f_xactiv02, 'XX') = 'XX' THEN 'NDLHE' ELSE dh.F_XSICD02 END</v>
      </c>
      <c r="AC680" s="28" t="str">
        <f t="shared" si="102"/>
        <v/>
      </c>
      <c r="AD680" s="28" t="str">
        <f>IF(T680="","",IF(IFERROR(SEARCH("select",T680)&gt;0,0),IF(U680="",IF(MID(T680,SEARCH(H680,T680)-4,1)=" ",MID(T680,SEARCH(H680,T680)-2,LEN(#REF!)+2),MID(T680,SEARCH(H680,T680)-3,LEN(H680)+3)),U680&amp;"."&amp;H680),T680))</f>
        <v/>
      </c>
      <c r="AE680" t="str">
        <f t="shared" si="99"/>
        <v>[Standard Industrial Classification (SIC)]</v>
      </c>
    </row>
    <row r="681" spans="1:32" ht="64" x14ac:dyDescent="0.2">
      <c r="A681">
        <v>100527</v>
      </c>
      <c r="B681" s="11" t="str">
        <f>DataItems3[[#This Row],[Field]]&amp;IF(DataItems3[[#This Row],[Options for supplying the Field]]="",""," "&amp;DataItems3[[#This Row],[Options for supplying the Field]])</f>
        <v>Standard Occupational Classification (SOC)⁽¹⁾ ( marker (Relevant SIC/ Not relevant SIC/ [Unknown/Not applicable])</v>
      </c>
      <c r="C681">
        <v>100527</v>
      </c>
      <c r="D681" s="3" t="s">
        <v>146</v>
      </c>
      <c r="F681" s="3" t="str">
        <f>"Standard Occupational Classification (SOC)"&amp;"⁽"&amp;CHAR(185)&amp;"⁾"</f>
        <v>Standard Occupational Classification (SOC)⁽¹⁾</v>
      </c>
      <c r="G681" s="13" t="s">
        <v>2367</v>
      </c>
      <c r="H681" s="14" t="s">
        <v>93</v>
      </c>
      <c r="J681" s="3">
        <v>10</v>
      </c>
      <c r="K681" s="3">
        <v>2</v>
      </c>
      <c r="L681" s="3">
        <v>0</v>
      </c>
      <c r="M681" s="3">
        <v>0</v>
      </c>
      <c r="Q681" s="32" t="s">
        <v>93</v>
      </c>
      <c r="R681" s="3" t="s">
        <v>93</v>
      </c>
      <c r="S681" s="16" t="s">
        <v>93</v>
      </c>
      <c r="U681" s="3" t="s">
        <v>93</v>
      </c>
      <c r="V681" s="3" t="s">
        <v>93</v>
      </c>
      <c r="W681" s="57" t="s">
        <v>2926</v>
      </c>
      <c r="X681" t="str">
        <f>DataItems3[[#This Row],[Collection]]&amp;DataItems3[[#This Row],[Field]]&amp;DataItems3[[#This Row],[Options for supplying the Field]]&amp;DataItems3[[#This Row],[Fieldname]]&amp;DataItems3[[#This Row],[Parent]]</f>
        <v>DLHEStandard Occupational Classification (SOC)⁽¹⁾( marker (Relevant SIC/ Not relevant SIC/ [Unknown/Not applicable])</v>
      </c>
      <c r="Y681" s="15">
        <v>43861</v>
      </c>
      <c r="Z681" t="s">
        <v>577</v>
      </c>
      <c r="AA681" s="28" t="str">
        <f t="shared" si="104"/>
        <v/>
      </c>
      <c r="AB681" s="28" t="str">
        <f>IF(S681="","",IF(IFERROR(SEARCH("select",S681)&gt;0,0),IF(U681="",IF(MID(S681,SEARCH(H681,S681)-4,1)=" ",MID(S681,SEARCH(H681,S681)-2,LEN(O689)+2),MID(S681,SEARCH(H681,S681)-3,LEN(H681)+3)),U681&amp;"."&amp;H681),S681))</f>
        <v/>
      </c>
      <c r="AC681" s="28" t="str">
        <f t="shared" si="102"/>
        <v/>
      </c>
      <c r="AD681" s="28" t="str">
        <f>IF(T681="","",IF(IFERROR(SEARCH("select",T681)&gt;0,0),IF(U681="",IF(MID(T681,SEARCH(H681,T681)-4,1)=" ",MID(T681,SEARCH(H681,T681)-2,LEN(#REF!)+2),MID(T681,SEARCH(H681,T681)-3,LEN(H681)+3)),U681&amp;"."&amp;H681),T681))</f>
        <v/>
      </c>
      <c r="AE681" t="str">
        <f t="shared" si="99"/>
        <v>[Standard Occupational Classification (SOC)]</v>
      </c>
    </row>
    <row r="682" spans="1:32" ht="16" x14ac:dyDescent="0.2">
      <c r="A682">
        <v>100528</v>
      </c>
      <c r="B682" s="11" t="str">
        <f>DataItems3[[#This Row],[Field]]&amp;IF(DataItems3[[#This Row],[Options for supplying the Field]]="",""," "&amp;DataItems3[[#This Row],[Options for supplying the Field]])</f>
        <v>Standard Occupational Classification (SOC)⁽¹⁾ (1 digit)</v>
      </c>
      <c r="C682">
        <v>100528</v>
      </c>
      <c r="D682" s="3" t="s">
        <v>146</v>
      </c>
      <c r="F682" s="3" t="str">
        <f>"Standard Occupational Classification (SOC)"&amp;"⁽"&amp;CHAR(185)&amp;"⁾"</f>
        <v>Standard Occupational Classification (SOC)⁽¹⁾</v>
      </c>
      <c r="G682" s="13" t="s">
        <v>2368</v>
      </c>
      <c r="H682" s="14" t="s">
        <v>93</v>
      </c>
      <c r="J682" s="3">
        <v>2</v>
      </c>
      <c r="K682" s="3">
        <v>2</v>
      </c>
      <c r="L682" s="3">
        <v>0</v>
      </c>
      <c r="M682" s="3">
        <v>0</v>
      </c>
      <c r="N682" s="3" t="s">
        <v>106</v>
      </c>
      <c r="Q682" s="16" t="s">
        <v>93</v>
      </c>
      <c r="R682" s="3" t="s">
        <v>93</v>
      </c>
      <c r="S682" s="16" t="s">
        <v>93</v>
      </c>
      <c r="U682" s="3" t="s">
        <v>93</v>
      </c>
      <c r="V682" s="3" t="s">
        <v>93</v>
      </c>
      <c r="W682" s="57" t="s">
        <v>2926</v>
      </c>
      <c r="X682" t="str">
        <f>DataItems3[[#This Row],[Collection]]&amp;DataItems3[[#This Row],[Field]]&amp;DataItems3[[#This Row],[Options for supplying the Field]]&amp;DataItems3[[#This Row],[Fieldname]]&amp;DataItems3[[#This Row],[Parent]]</f>
        <v>DLHEStandard Occupational Classification (SOC)⁽¹⁾(1 digit)</v>
      </c>
      <c r="Y682" s="15">
        <v>43416</v>
      </c>
      <c r="Z682" t="s">
        <v>95</v>
      </c>
      <c r="AA682" s="28" t="str">
        <f t="shared" si="104"/>
        <v/>
      </c>
      <c r="AB682" s="28" t="str">
        <f>IF(S682="","",IF(IFERROR(SEARCH("select",S682)&gt;0,0),IF(U682="",IF(MID(S682,SEARCH(H682,S682)-4,1)=" ",MID(S682,SEARCH(H682,S682)-2,LEN(O690)+2),MID(S682,SEARCH(H682,S682)-3,LEN(H682)+3)),U682&amp;"."&amp;H682),S682))</f>
        <v/>
      </c>
      <c r="AC682" s="28" t="str">
        <f t="shared" si="102"/>
        <v/>
      </c>
      <c r="AD682" s="28" t="str">
        <f>IF(T682="","",IF(IFERROR(SEARCH("select",T682)&gt;0,0),IF(U682="",IF(MID(T682,SEARCH(H682,T682)-4,1)=" ",MID(T682,SEARCH(H682,T682)-2,LEN(O689)+2),MID(T682,SEARCH(H682,T682)-3,LEN(H682)+3)),U682&amp;"."&amp;H682),T682))</f>
        <v/>
      </c>
      <c r="AE682" t="str">
        <f t="shared" si="99"/>
        <v>[Standard Occupational Classification (SOC)]</v>
      </c>
    </row>
    <row r="683" spans="1:32" ht="32" x14ac:dyDescent="0.2">
      <c r="A683">
        <v>100530</v>
      </c>
      <c r="B683" s="11" t="str">
        <f>DataItems3[[#This Row],[Field]]&amp;IF(DataItems3[[#This Row],[Options for supplying the Field]]="",""," "&amp;DataItems3[[#This Row],[Options for supplying the Field]])</f>
        <v>Standard Occupational Classification (SOC)⁽¹⁾ (3 digit) (2007/08-2010/11)</v>
      </c>
      <c r="C683">
        <v>100530</v>
      </c>
      <c r="D683" s="3" t="s">
        <v>146</v>
      </c>
      <c r="F683" s="3" t="str">
        <f>"Standard Occupational Classification (SOC)"&amp;"⁽"&amp;CHAR(185)&amp;"⁾"</f>
        <v>Standard Occupational Classification (SOC)⁽¹⁾</v>
      </c>
      <c r="G683" s="13" t="s">
        <v>2369</v>
      </c>
      <c r="H683" s="14" t="s">
        <v>93</v>
      </c>
      <c r="J683" s="3">
        <v>2</v>
      </c>
      <c r="K683" s="3">
        <v>4</v>
      </c>
      <c r="L683" s="3">
        <v>2</v>
      </c>
      <c r="M683" s="3">
        <v>2</v>
      </c>
      <c r="N683" s="3" t="s">
        <v>106</v>
      </c>
      <c r="Q683" s="16" t="s">
        <v>3241</v>
      </c>
      <c r="R683" s="3" t="s">
        <v>93</v>
      </c>
      <c r="S683" s="16" t="s">
        <v>3241</v>
      </c>
      <c r="U683" s="3" t="s">
        <v>93</v>
      </c>
      <c r="V683" s="3" t="s">
        <v>93</v>
      </c>
      <c r="W683" s="57" t="s">
        <v>997</v>
      </c>
      <c r="X683" t="str">
        <f>DataItems3[[#This Row],[Collection]]&amp;DataItems3[[#This Row],[Field]]&amp;DataItems3[[#This Row],[Options for supplying the Field]]&amp;DataItems3[[#This Row],[Fieldname]]&amp;DataItems3[[#This Row],[Parent]]</f>
        <v>DLHEStandard Occupational Classification (SOC)⁽¹⁾(3 digit) (2007/08-2010/11)</v>
      </c>
      <c r="Y683" s="15">
        <v>43416</v>
      </c>
      <c r="Z683" t="s">
        <v>2055</v>
      </c>
      <c r="AA683" s="28" t="str">
        <f t="shared" si="104"/>
        <v xml:space="preserve">CASE WHEN s.DW_FromDate &gt;=20110801 THEN 'N/A year' WHEN s.F_XPDLHE02!='1' AND ISNULL(dh.F_XPDLHE,'0')!='1' AND ISNULL(dh.F_XACTIV01,'X')='X' THEN 'NDLHE'   WHEN dh.F_SOCDLHE2000 IN ('00000','00010','00020','XXXXX',NULL,'','     ') THEN 'UNK/NA' ELSE SUBSTRING(dh.F_SOCDLHE2000,1,3) END </v>
      </c>
      <c r="AB683" s="28" t="str">
        <f>IF(S683="","",IF(IFERROR(SEARCH("select",S683)&gt;0,0),IF(U683="",IF(MID(S683,SEARCH(H683,S683)-4,1)=" ",MID(S683,SEARCH(H683,S683)-2,LEN(#REF!)+2),MID(S683,SEARCH(H683,S683)-3,LEN(H683)+3)),U683&amp;"."&amp;H683),S683))</f>
        <v xml:space="preserve">CASE WHEN s.DW_FromDate &gt;=20110801 THEN 'N/A year' WHEN s.F_XPDLHE02!='1' AND ISNULL(dh.F_XPDLHE,'0')!='1' AND ISNULL(dh.F_XACTIV01,'X')='X' THEN 'NDLHE'   WHEN dh.F_SOCDLHE2000 IN ('00000','00010','00020','XXXXX',NULL,'','     ') THEN 'UNK/NA' ELSE SUBSTRING(dh.F_SOCDLHE2000,1,3) END </v>
      </c>
      <c r="AC683" s="28" t="str">
        <f t="shared" si="102"/>
        <v/>
      </c>
      <c r="AD683" s="28" t="str">
        <f>IF(T683="","",IF(IFERROR(SEARCH("select",T683)&gt;0,0),IF(U683="",IF(MID(T683,SEARCH(H683,T683)-4,1)=" ",MID(T683,SEARCH(H683,T683)-2,LEN(O690)+2),MID(T683,SEARCH(H683,T683)-3,LEN(H683)+3)),U683&amp;"."&amp;H683),T683))</f>
        <v/>
      </c>
      <c r="AE683" t="str">
        <f t="shared" si="99"/>
        <v>[Standard Occupational Classification (SOC)]</v>
      </c>
    </row>
    <row r="684" spans="1:32" ht="16" x14ac:dyDescent="0.2">
      <c r="A684">
        <v>100532</v>
      </c>
      <c r="B684" s="11" t="str">
        <f>DataItems3[[#This Row],[Field]]&amp;IF(DataItems3[[#This Row],[Options for supplying the Field]]="",""," "&amp;DataItems3[[#This Row],[Options for supplying the Field]])</f>
        <v>Standard Occupational Classification (SOC)⁽¹⁾ (5 digit)</v>
      </c>
      <c r="C684">
        <v>100532</v>
      </c>
      <c r="D684" s="3" t="s">
        <v>146</v>
      </c>
      <c r="F684" s="3" t="str">
        <f>"Standard Occupational Classification (SOC)"&amp;"⁽"&amp;CHAR(185)&amp;"⁾"</f>
        <v>Standard Occupational Classification (SOC)⁽¹⁾</v>
      </c>
      <c r="G684" s="13" t="s">
        <v>2371</v>
      </c>
      <c r="H684" s="14" t="s">
        <v>93</v>
      </c>
      <c r="J684" s="3">
        <v>2</v>
      </c>
      <c r="K684" s="3">
        <v>4</v>
      </c>
      <c r="L684" s="3">
        <v>2</v>
      </c>
      <c r="M684" s="3">
        <v>2</v>
      </c>
      <c r="N684" s="3" t="s">
        <v>2372</v>
      </c>
      <c r="Q684" s="16" t="s">
        <v>93</v>
      </c>
      <c r="R684" s="3" t="s">
        <v>93</v>
      </c>
      <c r="S684" s="16" t="s">
        <v>93</v>
      </c>
      <c r="U684" s="3" t="s">
        <v>93</v>
      </c>
      <c r="V684" s="3" t="s">
        <v>93</v>
      </c>
      <c r="W684" s="57" t="s">
        <v>2926</v>
      </c>
      <c r="X684" t="str">
        <f>DataItems3[[#This Row],[Collection]]&amp;DataItems3[[#This Row],[Field]]&amp;DataItems3[[#This Row],[Options for supplying the Field]]&amp;DataItems3[[#This Row],[Fieldname]]&amp;DataItems3[[#This Row],[Parent]]</f>
        <v>DLHEStandard Occupational Classification (SOC)⁽¹⁾(5 digit)</v>
      </c>
      <c r="Y684" s="15"/>
      <c r="AA684" s="28" t="str">
        <f t="shared" si="104"/>
        <v/>
      </c>
      <c r="AB684" s="28" t="str">
        <f>IF(S684="","",IF(IFERROR(SEARCH("select",S684)&gt;0,0),IF(U684="",IF(MID(S684,SEARCH(H684,S684)-4,1)=" ",MID(S684,SEARCH(H684,S684)-2,LEN(#REF!)+2),MID(S684,SEARCH(H684,S684)-3,LEN(H684)+3)),U684&amp;"."&amp;H684),S684))</f>
        <v/>
      </c>
      <c r="AC684" s="28" t="str">
        <f t="shared" si="102"/>
        <v/>
      </c>
      <c r="AD684" s="28" t="str">
        <f>IF(T684="","",IF(IFERROR(SEARCH("select",T684)&gt;0,0),IF(U684="",IF(MID(T684,SEARCH(H684,T684)-4,1)=" ",MID(T684,SEARCH(H684,T684)-2,LEN(#REF!)+2),MID(T684,SEARCH(H684,T684)-3,LEN(H684)+3)),U684&amp;"."&amp;H684),T684))</f>
        <v/>
      </c>
      <c r="AE684" t="str">
        <f t="shared" si="99"/>
        <v>[Standard Occupational Classification (SOC)]</v>
      </c>
    </row>
    <row r="685" spans="1:32" ht="32" x14ac:dyDescent="0.2">
      <c r="A685">
        <v>100885</v>
      </c>
      <c r="B685" s="11" t="str">
        <f>DataItems3[[#This Row],[Field]]&amp;IF(DataItems3[[#This Row],[Options for supplying the Field]]="",""," "&amp;DataItems3[[#This Row],[Options for supplying the Field]])</f>
        <v>Standard Occupational Classification (SOC)⁽¹⁾ (3 digit) (2011/12-2016/17)</v>
      </c>
      <c r="C685">
        <v>100885</v>
      </c>
      <c r="D685" s="3" t="s">
        <v>146</v>
      </c>
      <c r="F685" s="3" t="str">
        <f>"Standard Occupational Classification (SOC)"&amp;"⁽"&amp;CHAR(185)&amp;"⁾"</f>
        <v>Standard Occupational Classification (SOC)⁽¹⁾</v>
      </c>
      <c r="G685" s="13" t="s">
        <v>2370</v>
      </c>
      <c r="H685" s="14"/>
      <c r="J685" s="3">
        <v>2</v>
      </c>
      <c r="K685" s="3">
        <v>4</v>
      </c>
      <c r="L685" s="3">
        <v>2</v>
      </c>
      <c r="M685" s="3">
        <v>2</v>
      </c>
      <c r="N685" s="3" t="s">
        <v>106</v>
      </c>
      <c r="Q685" s="16" t="s">
        <v>3242</v>
      </c>
      <c r="S685" s="16" t="s">
        <v>3242</v>
      </c>
      <c r="W685" s="57" t="s">
        <v>997</v>
      </c>
      <c r="X685" t="str">
        <f>DataItems3[[#This Row],[Collection]]&amp;DataItems3[[#This Row],[Field]]&amp;DataItems3[[#This Row],[Options for supplying the Field]]&amp;DataItems3[[#This Row],[Fieldname]]&amp;DataItems3[[#This Row],[Parent]]</f>
        <v>DLHEStandard Occupational Classification (SOC)⁽¹⁾(3 digit) (2011/12-2016/17)</v>
      </c>
      <c r="Y685" s="4">
        <v>44840</v>
      </c>
      <c r="Z685" t="s">
        <v>2055</v>
      </c>
      <c r="AA685" s="28" t="str">
        <f t="shared" si="104"/>
        <v>CASE WHEN s.DW_FromDate &lt;20110801 THEN 'N/A year'  WHEN s.f_xpdlhe02 != '1'AND ISNULL(dh.f_xpubpopd01, '0') != '1' AND ISNULL(dh.f_xactiv02, 'XX') = 'XX' THEN 'NDLHE'   WHEN dh.F_SOCDLHE2010 IN ('00000','00010','00020','XXXXX',NULL,'','     ') THEN 'UNK/NA'    ELSE SUBSTRING(dh.F_SOCDLHE2010,1,3) END</v>
      </c>
      <c r="AB685" s="28" t="str">
        <f>IF(S685="","",IF(IFERROR(SEARCH("select",S685)&gt;0,0),IF(U685="",IF(MID(S685,SEARCH(H685,S685)-4,1)=" ",MID(S685,SEARCH(H685,S685)-2,LEN(O691)+2),MID(S685,SEARCH(H685,S685)-3,LEN(H685)+3)),U685&amp;"."&amp;H685),S685))</f>
        <v>CASE WHEN s.DW_FromDate &lt;20110801 THEN 'N/A year'  WHEN s.f_xpdlhe02 != '1'AND ISNULL(dh.f_xpubpopd01, '0') != '1' AND ISNULL(dh.f_xactiv02, 'XX') = 'XX' THEN 'NDLHE'   WHEN dh.F_SOCDLHE2010 IN ('00000','00010','00020','XXXXX',NULL,'','     ') THEN 'UNK/NA'    ELSE SUBSTRING(dh.F_SOCDLHE2010,1,3) END</v>
      </c>
      <c r="AC685" s="28" t="str">
        <f t="shared" si="102"/>
        <v/>
      </c>
      <c r="AD685" s="28" t="str">
        <f>IF(T685="","",IF(IFERROR(SEARCH("select",T685)&gt;0,0),IF(U685="",IF(MID(T685,SEARCH(H685,T685)-4,1)=" ",MID(T685,SEARCH(H685,T685)-2,LEN(O691)+2),MID(T685,SEARCH(H685,T685)-3,LEN(H685)+3)),U685&amp;"."&amp;H685),T685))</f>
        <v/>
      </c>
      <c r="AE685" t="str">
        <f t="shared" si="99"/>
        <v>[Standard Occupational Classification (SOC)]</v>
      </c>
    </row>
    <row r="686" spans="1:32" ht="16" x14ac:dyDescent="0.2">
      <c r="A686">
        <v>100529</v>
      </c>
      <c r="B686" s="11" t="str">
        <f>DataItems3[[#This Row],[Field]]&amp;IF(DataItems3[[#This Row],[Options for supplying the Field]]="",""," "&amp;DataItems3[[#This Row],[Options for supplying the Field]])</f>
        <v>Standard Occupational Classification (SOC2010)⁽¹⁾ (2 digit)</v>
      </c>
      <c r="C686">
        <v>100529</v>
      </c>
      <c r="D686" s="3" t="s">
        <v>86</v>
      </c>
      <c r="E686" s="3" t="s">
        <v>89</v>
      </c>
      <c r="F686" s="3" t="str">
        <f>"Standard Occupational Classification (SOC2010)"&amp;"⁽"&amp;CHAR(185)&amp;"⁾"</f>
        <v>Standard Occupational Classification (SOC2010)⁽¹⁾</v>
      </c>
      <c r="G686" s="13" t="s">
        <v>2365</v>
      </c>
      <c r="H686" s="14" t="s">
        <v>2375</v>
      </c>
      <c r="J686" s="3">
        <v>2</v>
      </c>
      <c r="K686" s="3">
        <v>3</v>
      </c>
      <c r="L686" s="3">
        <v>0</v>
      </c>
      <c r="M686" s="3">
        <v>0</v>
      </c>
      <c r="N686" s="3" t="s">
        <v>89</v>
      </c>
      <c r="Q686" s="16" t="s">
        <v>2373</v>
      </c>
      <c r="R686" s="14" t="s">
        <v>3000</v>
      </c>
      <c r="S686" s="16" t="s">
        <v>2374</v>
      </c>
      <c r="T686" s="14" t="s">
        <v>3000</v>
      </c>
      <c r="U686" s="3" t="s">
        <v>93</v>
      </c>
      <c r="V686" s="3" t="s">
        <v>93</v>
      </c>
      <c r="W686" s="57" t="s">
        <v>3243</v>
      </c>
      <c r="X686" t="str">
        <f>DataItems3[[#This Row],[Collection]]&amp;DataItems3[[#This Row],[Field]]&amp;DataItems3[[#This Row],[Options for supplying the Field]]&amp;DataItems3[[#This Row],[Fieldname]]&amp;DataItems3[[#This Row],[Parent]]</f>
        <v>StudentStandard Occupational Classification (SOC2010)⁽¹⁾(2 digit)F_SOC2010</v>
      </c>
      <c r="Y686" s="15">
        <v>43434</v>
      </c>
      <c r="Z686" t="s">
        <v>95</v>
      </c>
      <c r="AA686" s="28" t="str">
        <f t="shared" si="104"/>
        <v>CASE WHEN ISNULL(s.F_SOC2010,'-1') IN ('','0000','0001','0009','-1','-3')  THEN 'Unknown/ not applicable' ELSE SUBSTRING(s.f_soc2010,1,2) END</v>
      </c>
      <c r="AB686" s="28" t="str">
        <f>IF(S686="","",IF(IFERROR(SEARCH("select",S686)&gt;0,0),IF(U686="",IF(MID(S686,SEARCH(H686,S686)-4,1)=" ",MID(S686,SEARCH(H686,S686)-2,LEN(#REF!)+2),MID(S686,SEARCH(H686,S686)-3,LEN(H686)+3)),U686&amp;"."&amp;H686),S686))</f>
        <v>CASE WHEN ISNULL(s.F_SOC2010,'-1') IN ('','0000','0001','0009','-1','-3') THEN 'Unknown/ not applicable' WHEN SUBSTRING(s.F_SOC2010,1,2) = '00' THEN '(00) Retired/ unemployed' WHEN SUBSTRING(s.F_SOC2010,1,2) = '11' THEN '(11) Corporate managers and directors' WHEN SUBSTRING(s.F_SOC2010,1,2) = '12' THEN '(12) Other managers and proprietors' WHEN SUBSTRING(s.F_SOC2010,1,2) = '21' THEN '(21) Science, research, engineering and technology professionals' WHEN SUBSTRING(s.F_SOC2010,1,2) = '22' THEN '(22) Health professionals' WHEN SUBSTRING(s.F_SOC2010,1,2) = '23' THEN '(23) Teaching and educational professionals' WHEN SUBSTRING(s.F_SOC2010,1,2) = '24' THEN '(24) Business, media and public service professionals' WHEN SUBSTRING(s.F_SOC2010,1,2) = '31' THEN '(31) Science, engineering and technology associate professionals' WHEN SUBSTRING(s.F_SOC2010,1,2) = '32' THEN '(32) Health and social care associate professionals' WHEN SUBSTRING(s.F_SOC2010,1,2) = '33' THEN '(33) Protective service occupations' WHEN SUBSTRING(s.F_SOC2010,1,2) = '34' THEN '(34) Culture, media and sports occupations' WHEN SUBSTRING(s.F_SOC2010,1,2) = '35' THEN '(35) Business and public service associate professionals' WHEN SUBSTRING(s.F_SOC2010,1,2) = '41' THEN '(41) Administrative occupations' WHEN SUBSTRING(s.F_SOC2010,1,2) = '42' THEN '(42) Secretarial and related occupations' WHEN SUBSTRING(s.F_SOC2010,1,2) = '51' THEN '(51) Skilled agricultural and related trades' WHEN SUBSTRING(s.F_SOC2010,1,2) = '52' THEN '(52) Skilled metal, electrical and electronic trades' WHEN SUBSTRING(s.F_SOC2010,1,2) = '53' THEN '(53) Skilled construction and building trades' WHEN SUBSTRING(s.F_SOC2010,1,2) = '54' THEN '(54) Textiles, printing and other skilled trades' WHEN SUBSTRING(s.F_SOC2010,1,2) = '61' THEN '(61) Caring personal service occupations' WHEN SUBSTRING(s.F_SOC2010,1,2) = '62' THEN '(62) Leisure, travel and related personal service occupations' WHEN SUBSTRING(s.F_SOC2010,1,2) = '71' THEN '(71) Sales occupations' WHEN SUBSTRING(s.F_SOC2010,1,2) = '72' THEN '(72) Customer service occupations' WHEN SUBSTRING(s.F_SOC2010,1,2) = '81' THEN '(81) Process, plant and machine operatives' WHEN SUBSTRING(s.F_SOC2010,1,2) = '82' THEN '(82) Transport and mobile machine drivers and operatives' WHEN SUBSTRING(s.F_SOC2010,1,2) = '91' THEN '(91) Elementary trades and related occupations' WHEN SUBSTRING(s.F_SOC2010,1,2) = '92' THEN '(92) Elementary administration and service occupations' ELSE 'ERROR' END</v>
      </c>
      <c r="AC686" s="28"/>
      <c r="AD686" s="28"/>
      <c r="AE686" t="str">
        <f t="shared" si="99"/>
        <v>[Standard Occupational Classification (SOC2010)]</v>
      </c>
    </row>
    <row r="687" spans="1:32" ht="16" x14ac:dyDescent="0.2">
      <c r="A687">
        <v>100531</v>
      </c>
      <c r="B687" s="11" t="str">
        <f>DataItems3[[#This Row],[Field]]&amp;IF(DataItems3[[#This Row],[Options for supplying the Field]]="",""," "&amp;DataItems3[[#This Row],[Options for supplying the Field]])</f>
        <v>Standard Occupational Classification (SOC2010)⁽¹⁾ (4 digit)</v>
      </c>
      <c r="C687">
        <v>100531</v>
      </c>
      <c r="D687" s="3" t="s">
        <v>86</v>
      </c>
      <c r="E687" s="3" t="s">
        <v>89</v>
      </c>
      <c r="F687" s="3" t="str">
        <f>"Standard Occupational Classification (SOC2010)"&amp;"⁽"&amp;CHAR(185)&amp;"⁾"</f>
        <v>Standard Occupational Classification (SOC2010)⁽¹⁾</v>
      </c>
      <c r="G687" s="13" t="s">
        <v>2366</v>
      </c>
      <c r="H687" s="14" t="s">
        <v>2375</v>
      </c>
      <c r="J687" s="3">
        <v>2</v>
      </c>
      <c r="K687" s="3">
        <v>4</v>
      </c>
      <c r="L687" s="3">
        <v>2</v>
      </c>
      <c r="M687" s="3">
        <v>0</v>
      </c>
      <c r="N687" s="3" t="s">
        <v>89</v>
      </c>
      <c r="Q687" s="32" t="s">
        <v>2376</v>
      </c>
      <c r="R687" s="14" t="s">
        <v>3000</v>
      </c>
      <c r="S687" s="32" t="s">
        <v>2377</v>
      </c>
      <c r="T687" s="14" t="s">
        <v>3000</v>
      </c>
      <c r="U687" s="3" t="s">
        <v>2378</v>
      </c>
      <c r="V687" s="3" t="s">
        <v>93</v>
      </c>
      <c r="W687" s="57" t="s">
        <v>482</v>
      </c>
      <c r="X687" t="str">
        <f>DataItems3[[#This Row],[Collection]]&amp;DataItems3[[#This Row],[Field]]&amp;DataItems3[[#This Row],[Options for supplying the Field]]&amp;DataItems3[[#This Row],[Fieldname]]&amp;DataItems3[[#This Row],[Parent]]</f>
        <v>StudentStandard Occupational Classification (SOC2010)⁽¹⁾(4 digit)F_SOC2010</v>
      </c>
      <c r="Y687" s="15">
        <v>43434</v>
      </c>
      <c r="Z687" t="s">
        <v>95</v>
      </c>
      <c r="AA687" s="28" t="str">
        <f t="shared" si="104"/>
        <v>iif(s.F_SOC2010 IN ('','0000','0001','0009','-1','-3') ,'0000',s.f_soc2010)</v>
      </c>
      <c r="AB687" s="28" t="str">
        <f>IF(S687="","",IF(IFERROR(SEARCH("select",S687)&gt;0,0),IF(U687="",IF(MID(S687,SEARCH(H687,S687)-4,1)=" ",MID(S687,SEARCH(H687,S687)-2,LEN(#REF!)+2),MID(S687,SEARCH(H687,S687)-3,LEN(H687)+3)),U687&amp;"."&amp;H687),S687))</f>
        <v>iif(s.F_SOC2010 IN ('','0000','0001','0009','-1','-3'),'Unknown',soc.dw_currentlabel)</v>
      </c>
      <c r="AC687" s="28"/>
      <c r="AD687" s="28"/>
      <c r="AE687" t="str">
        <f t="shared" si="99"/>
        <v>[Standard Occupational Classification (SOC2010)]</v>
      </c>
    </row>
    <row r="688" spans="1:32" ht="16" x14ac:dyDescent="0.2">
      <c r="A688">
        <v>100533</v>
      </c>
      <c r="B688" s="11" t="str">
        <f>DataItems3[[#This Row],[Field]]&amp;IF(DataItems3[[#This Row],[Options for supplying the Field]]="",""," "&amp;DataItems3[[#This Row],[Options for supplying the Field]])</f>
        <v>Start date of contract (YYYY/MM)</v>
      </c>
      <c r="C688">
        <v>100533</v>
      </c>
      <c r="D688" s="3" t="s">
        <v>100</v>
      </c>
      <c r="F688" s="3" t="s">
        <v>2379</v>
      </c>
      <c r="G688" s="13" t="s">
        <v>488</v>
      </c>
      <c r="H688" s="14" t="s">
        <v>2380</v>
      </c>
      <c r="J688" s="3">
        <v>3</v>
      </c>
      <c r="K688" s="3">
        <v>4</v>
      </c>
      <c r="L688" s="3">
        <v>2</v>
      </c>
      <c r="M688" s="3">
        <v>0</v>
      </c>
      <c r="N688" s="3" t="s">
        <v>89</v>
      </c>
      <c r="Q688" s="32" t="s">
        <v>2381</v>
      </c>
      <c r="R688" s="3" t="s">
        <v>93</v>
      </c>
      <c r="S688" s="32" t="s">
        <v>2381</v>
      </c>
      <c r="U688" s="3" t="s">
        <v>93</v>
      </c>
      <c r="V688" s="3" t="s">
        <v>93</v>
      </c>
      <c r="W688" s="57" t="s">
        <v>94</v>
      </c>
      <c r="X688" t="str">
        <f>DataItems3[[#This Row],[Collection]]&amp;DataItems3[[#This Row],[Field]]&amp;DataItems3[[#This Row],[Options for supplying the Field]]&amp;DataItems3[[#This Row],[Fieldname]]&amp;DataItems3[[#This Row],[Parent]]</f>
        <v>StaffStart date of contract(YYYY/MM)F_STARTCON</v>
      </c>
      <c r="Y688" s="15">
        <v>43395</v>
      </c>
      <c r="Z688" t="s">
        <v>102</v>
      </c>
      <c r="AA688" s="28" t="str">
        <f t="shared" si="104"/>
        <v>IIF(C.F_STARTCON='' OR C.F_STARTCON IS null, '9999/12', SUBSTRING(CAST(C.F_STARTCON AS VARCHAR(10)), 1, 4) + '/' + SUBSTRING(CAST(C.F_STARTCON AS VARCHAR(10)), 6, 2))</v>
      </c>
      <c r="AB688" s="28" t="str">
        <f>IF(S688="","",IF(IFERROR(SEARCH("select",S688)&gt;0,0),IF(U688="",IF(MID(S688,SEARCH(H688,S688)-4,1)=" ",MID(S688,SEARCH(H688,S688)-2,LEN(#REF!)+2),MID(S688,SEARCH(H688,S688)-3,LEN(H688)+3)),U688&amp;"."&amp;H688),S688))</f>
        <v>IIF(C.F_STARTCON='' OR C.F_STARTCON IS null, '9999/12', SUBSTRING(CAST(C.F_STARTCON AS VARCHAR(10)), 1, 4) + '/' + SUBSTRING(CAST(C.F_STARTCON AS VARCHAR(10)), 6, 2))</v>
      </c>
      <c r="AC688" s="28" t="str">
        <f t="shared" ref="AC688:AC711" si="105">IF(R688="","",R688)</f>
        <v/>
      </c>
      <c r="AD688" s="28" t="str">
        <f>IF(T688="","",IF(IFERROR(SEARCH("select",T688)&gt;0,0),IF(U688="",IF(MID(T688,SEARCH(H688,T688)-4,1)=" ",MID(T688,SEARCH(H688,T688)-2,LEN(#REF!)+2),MID(T688,SEARCH(H688,T688)-3,LEN(H688)+3)),U688&amp;"."&amp;H688),T688))</f>
        <v/>
      </c>
      <c r="AE688" t="str">
        <f t="shared" si="99"/>
        <v>[Start date of contract]</v>
      </c>
    </row>
    <row r="689" spans="1:32" ht="16" x14ac:dyDescent="0.2">
      <c r="A689">
        <v>100534</v>
      </c>
      <c r="B689" s="11" t="str">
        <f>DataItems3[[#This Row],[Field]]&amp;IF(DataItems3[[#This Row],[Options for supplying the Field]]="",""," "&amp;DataItems3[[#This Row],[Options for supplying the Field]])</f>
        <v>State school marker</v>
      </c>
      <c r="C689">
        <v>100534</v>
      </c>
      <c r="D689" s="3" t="s">
        <v>86</v>
      </c>
      <c r="E689" s="3" t="s">
        <v>106</v>
      </c>
      <c r="F689" s="3" t="s">
        <v>2382</v>
      </c>
      <c r="G689" s="13"/>
      <c r="H689" s="14" t="s">
        <v>2383</v>
      </c>
      <c r="J689" s="3">
        <v>5</v>
      </c>
      <c r="K689" s="3">
        <v>2</v>
      </c>
      <c r="L689" s="3">
        <v>0</v>
      </c>
      <c r="M689" s="3">
        <v>0</v>
      </c>
      <c r="N689" s="3" t="s">
        <v>89</v>
      </c>
      <c r="Q689" s="32" t="s">
        <v>3244</v>
      </c>
      <c r="R689" s="16" t="s">
        <v>3244</v>
      </c>
      <c r="S689" s="32" t="s">
        <v>3245</v>
      </c>
      <c r="T689" s="16" t="s">
        <v>3245</v>
      </c>
      <c r="U689" s="3" t="s">
        <v>92</v>
      </c>
      <c r="V689" s="3" t="s">
        <v>93</v>
      </c>
      <c r="W689" s="57" t="s">
        <v>109</v>
      </c>
      <c r="X689" t="str">
        <f>DataItems3[[#This Row],[Collection]]&amp;DataItems3[[#This Row],[Field]]&amp;DataItems3[[#This Row],[Options for supplying the Field]]&amp;DataItems3[[#This Row],[Fieldname]]&amp;DataItems3[[#This Row],[Parent]]</f>
        <v>StudentState school markerF_ZSTATE_MARKER</v>
      </c>
      <c r="Y689" s="15">
        <v>42921</v>
      </c>
      <c r="Z689" t="s">
        <v>139</v>
      </c>
      <c r="AA689" s="28" t="str">
        <f t="shared" si="104"/>
        <v>UPPER(d.F_ZSTATE_MARKER)</v>
      </c>
      <c r="AB689" s="28" t="str">
        <f>IF(S689="","",IF(IFERROR(SEARCH("select",S689)&gt;0,0),IF(U689="",IF(MID(S689,SEARCH(H689,S689)-4,1)=" ",MID(S689,SEARCH(H689,S689)-2,LEN(#REF!)+2),MID(S689,SEARCH(H689,S689)-3,LEN(H689)+3)),U689&amp;"."&amp;H689),S689))</f>
        <v>d.F_ZSTATE_MARKER</v>
      </c>
      <c r="AC689" s="28" t="str">
        <f t="shared" si="105"/>
        <v>UPPER(d.F_ZSTATE_MARKER)</v>
      </c>
      <c r="AD689" s="28" t="str">
        <f>IF(T689="","",IF(IFERROR(SEARCH("select",T689)&gt;0,0),IF(U689="",IF(MID(T689,SEARCH(H689,T689)-4,1)=" ",MID(T689,SEARCH(H689,T689)-2,LEN(#REF!)+2),MID(T689,SEARCH(H689,T689)-3,LEN(H689)+3)),U689&amp;"."&amp;H689),T689))</f>
        <v>d.F_ZSTATE_MARKER</v>
      </c>
      <c r="AE689" t="str">
        <f t="shared" si="99"/>
        <v>[State school marker]</v>
      </c>
    </row>
    <row r="690" spans="1:32" ht="32" x14ac:dyDescent="0.2">
      <c r="A690">
        <v>100535</v>
      </c>
      <c r="B690" s="11" t="str">
        <f>DataItems3[[#This Row],[Field]]&amp;IF(DataItems3[[#This Row],[Options for supplying the Field]]="",""," "&amp;DataItems3[[#This Row],[Options for supplying the Field]])</f>
        <v>State-funded or non-state-funded school or college [TEACHFUND] -opt in question</v>
      </c>
      <c r="C690">
        <v>100535</v>
      </c>
      <c r="D690" s="3" t="s">
        <v>151</v>
      </c>
      <c r="F690" s="3" t="s">
        <v>2384</v>
      </c>
      <c r="G690" s="13" t="s">
        <v>2385</v>
      </c>
      <c r="I690" s="3" t="s">
        <v>2991</v>
      </c>
      <c r="J690" s="3">
        <v>1</v>
      </c>
      <c r="K690" s="3">
        <v>2</v>
      </c>
      <c r="L690" s="3">
        <v>0</v>
      </c>
      <c r="M690" s="3">
        <v>0</v>
      </c>
      <c r="P690" s="3" t="s">
        <v>448</v>
      </c>
      <c r="R690" s="3" t="s">
        <v>93</v>
      </c>
      <c r="V690" s="3" t="s">
        <v>93</v>
      </c>
      <c r="W690" s="57" t="s">
        <v>2926</v>
      </c>
      <c r="X690" t="str">
        <f>DataItems3[[#This Row],[Collection]]&amp;DataItems3[[#This Row],[Field]]&amp;DataItems3[[#This Row],[Options for supplying the Field]]&amp;DataItems3[[#This Row],[Fieldname]]&amp;DataItems3[[#This Row],[Parent]]</f>
        <v>Graduate OutcomesState-funded or non-state-funded school or college[TEACHFUND] -opt in questionProvider &gt; Graduate &gt; Opt in questions:</v>
      </c>
      <c r="Y690" s="15">
        <v>43550</v>
      </c>
      <c r="Z690" t="s">
        <v>159</v>
      </c>
      <c r="AA690" s="28" t="str">
        <f t="shared" si="104"/>
        <v/>
      </c>
      <c r="AB690" s="28" t="str">
        <f>IF(S690="","",IF(IFERROR(SEARCH("select",S690)&gt;0,0),IF(U690="",IF(MID(S690,SEARCH(H690,S690)-4,1)=" ",MID(S690,SEARCH(H690,S690)-2,LEN(O692)+2),MID(S690,SEARCH(H690,S690)-3,LEN(H690)+3)),U690&amp;"."&amp;H690),S690))</f>
        <v/>
      </c>
      <c r="AC690" s="28" t="str">
        <f t="shared" si="105"/>
        <v/>
      </c>
      <c r="AD690" s="28" t="str">
        <f>IF(T690="","",IF(IFERROR(SEARCH("select",T690)&gt;0,0),IF(U690="",IF(MID(T690,SEARCH(H690,T690)-4,1)=" ",MID(T690,SEARCH(H690,T690)-2,LEN(O692)+2),MID(T690,SEARCH(H690,T690)-3,LEN(H690)+3)),U690&amp;"."&amp;H690),T690))</f>
        <v/>
      </c>
      <c r="AE690" t="str">
        <f t="shared" si="99"/>
        <v>[State-funded or non-state-funded school or college]</v>
      </c>
    </row>
    <row r="691" spans="1:32" ht="16" x14ac:dyDescent="0.2">
      <c r="A691">
        <v>100938</v>
      </c>
      <c r="B691" s="29" t="str">
        <f>DataItems3[[#This Row],[Field]]&amp;IF(DataItems3[[#This Row],[Options for supplying the Field]]="",""," "&amp;DataItems3[[#This Row],[Options for supplying the Field]])</f>
        <v>Student dormant within the cycle (DF)</v>
      </c>
      <c r="C691">
        <v>100938</v>
      </c>
      <c r="D691" s="3" t="s">
        <v>2992</v>
      </c>
      <c r="F691" s="3" t="s">
        <v>3246</v>
      </c>
      <c r="G691" s="13" t="s">
        <v>2994</v>
      </c>
      <c r="H691" s="13" t="s">
        <v>3247</v>
      </c>
      <c r="I691" s="3" t="s">
        <v>3248</v>
      </c>
      <c r="J691" s="13"/>
      <c r="Q691" s="3" t="s">
        <v>3249</v>
      </c>
      <c r="R691" s="16"/>
      <c r="S691" s="3" t="s">
        <v>3249</v>
      </c>
      <c r="T691" s="16"/>
      <c r="W691" s="59" t="s">
        <v>764</v>
      </c>
      <c r="X691" t="str">
        <f>DataItems3[[#This Row],[Collection]]&amp;DataItems3[[#This Row],[Field]]&amp;DataItems3[[#This Row],[Options for supplying the Field]]&amp;DataItems3[[#This Row],[Fieldname]]&amp;DataItems3[[#This Row],[Parent]]</f>
        <v>Data FuturesStudent dormant within the cycle(DF)Z_ACT_CYC</v>
      </c>
      <c r="Y691" s="15">
        <v>45027</v>
      </c>
      <c r="Z691" t="s">
        <v>2997</v>
      </c>
      <c r="AA691" s="28" t="str">
        <f t="shared" si="104"/>
        <v>case when df.Z_ACT_CYC = '0' then 'Dormant' else 'Not dormant for the entire cycle' end</v>
      </c>
      <c r="AB691" s="28" t="str">
        <f>IF(S691="","",IF(IFERROR(SEARCH("select",S691)&gt;0,0),IF(W691="",IF(MID(S691,SEARCH(H691,S691)-4,1)=" ",MID(S691,SEARCH(H691,S691)-2,LEN(#REF!)+2),MID(S691,SEARCH(H691,S691)-3,LEN(H691)+3)),W691&amp;"."&amp;H691),S691))</f>
        <v>case when df.Z_ACT_CYC = '0' then 'Dormant' else 'Not dormant for the entire cycle' end</v>
      </c>
      <c r="AC691" s="28" t="str">
        <f t="shared" si="105"/>
        <v/>
      </c>
      <c r="AD691" s="28" t="str">
        <f>IF(T691="","",IF(IFERROR(SEARCH("select",T691)&gt;0,0),IF(U691="",IF(MID(T691,SEARCH(H691,T691)-4,1)=" ",MID(T691,SEARCH(H691,T691)-2,LEN(#REF!)+2),MID(T691,SEARCH(H691,T691)-3,LEN(H691)+3)),U691&amp;"."&amp;H691),T691))</f>
        <v/>
      </c>
      <c r="AE691" t="str">
        <f t="shared" si="99"/>
        <v>[Student dormant within the cycle]</v>
      </c>
    </row>
    <row r="692" spans="1:32" s="67" customFormat="1" ht="16" x14ac:dyDescent="0.2">
      <c r="A692" s="67">
        <v>100945</v>
      </c>
      <c r="B692" s="68" t="str">
        <f>DataItems3[[#This Row],[Field]]&amp;IF(DataItems3[[#This Row],[Options for supplying the Field]]="",""," "&amp;DataItems3[[#This Row],[Options for supplying the Field]])</f>
        <v>Student course session status during the cycle (DF)</v>
      </c>
      <c r="C692" s="67">
        <v>100945</v>
      </c>
      <c r="D692" s="66" t="s">
        <v>2992</v>
      </c>
      <c r="E692" s="66"/>
      <c r="F692" s="66" t="s">
        <v>3250</v>
      </c>
      <c r="G692" s="69" t="s">
        <v>2994</v>
      </c>
      <c r="H692" s="69" t="s">
        <v>3251</v>
      </c>
      <c r="I692" s="69"/>
      <c r="J692" s="69"/>
      <c r="K692" s="66"/>
      <c r="L692" s="66"/>
      <c r="M692" s="66"/>
      <c r="N692" s="66"/>
      <c r="O692" s="66"/>
      <c r="P692" s="66"/>
      <c r="Q692" s="70" t="s">
        <v>3252</v>
      </c>
      <c r="R692" s="71"/>
      <c r="S692" s="70" t="s">
        <v>3252</v>
      </c>
      <c r="T692" s="71"/>
      <c r="U692" s="66" t="s">
        <v>3253</v>
      </c>
      <c r="V692" s="3"/>
      <c r="W692" s="72" t="s">
        <v>150</v>
      </c>
      <c r="X692" s="67" t="str">
        <f>DataItems3[[#This Row],[Collection]]&amp;DataItems3[[#This Row],[Field]]&amp;DataItems3[[#This Row],[Options for supplying the Field]]&amp;DataItems3[[#This Row],[Fieldname]]&amp;DataItems3[[#This Row],[Parent]]</f>
        <v>Data FuturesStudent course session status during the cycle(DF)Z_STATUSSCS_CYC</v>
      </c>
      <c r="Y692" s="73">
        <v>45034</v>
      </c>
      <c r="Z692" s="67" t="s">
        <v>2997</v>
      </c>
      <c r="AA692" s="74" t="str">
        <f t="shared" si="104"/>
        <v>ddf.Z_STATUSSCS_CYC</v>
      </c>
      <c r="AB692" s="74" t="str">
        <f>IF(S692="","",IF(IFERROR(SEARCH("select",S692)&gt;0,0),IF(W692="",IF(MID(S692,SEARCH(H692,S692)-4,1)=" ",MID(S692,SEARCH(H692,S692)-2,LEN(#REF!)+2),MID(S692,SEARCH(H692,S692)-3,LEN(H692)+3)),W692&amp;"."&amp;H692),S692))</f>
        <v>ddf.Z_STATUSSCS_CYC</v>
      </c>
      <c r="AC692" s="74" t="str">
        <f t="shared" si="105"/>
        <v/>
      </c>
      <c r="AD692" s="74" t="str">
        <f>IF(T692="","",IF(IFERROR(SEARCH("select",T692)&gt;0,0),IF(U692="",IF(MID(T692,SEARCH(H692,T692)-4,1)=" ",MID(T692,SEARCH(H692,T692)-2,LEN(#REF!)+2),MID(T692,SEARCH(H692,T692)-3,LEN(H692)+3)),U692&amp;"."&amp;H692),T692))</f>
        <v/>
      </c>
      <c r="AE692" s="67" t="str">
        <f t="shared" si="99"/>
        <v>[Student course session status during the cycle]</v>
      </c>
    </row>
    <row r="693" spans="1:32" s="67" customFormat="1" ht="16" x14ac:dyDescent="0.2">
      <c r="A693" s="67">
        <v>100948</v>
      </c>
      <c r="B693" s="68" t="str">
        <f>DataItems3[[#This Row],[Field]]&amp;IF(DataItems3[[#This Row],[Options for supplying the Field]]="",""," "&amp;DataItems3[[#This Row],[Options for supplying the Field]])</f>
        <v>Student course session status to date (DF)</v>
      </c>
      <c r="C693" s="67">
        <v>100948</v>
      </c>
      <c r="D693" s="66" t="s">
        <v>2992</v>
      </c>
      <c r="E693" s="66"/>
      <c r="F693" s="66" t="s">
        <v>3254</v>
      </c>
      <c r="G693" s="69" t="s">
        <v>2994</v>
      </c>
      <c r="H693" s="69" t="s">
        <v>3255</v>
      </c>
      <c r="I693" s="69"/>
      <c r="J693" s="69"/>
      <c r="K693" s="66"/>
      <c r="L693" s="66"/>
      <c r="M693" s="66"/>
      <c r="N693" s="66"/>
      <c r="O693" s="66"/>
      <c r="P693" s="66"/>
      <c r="Q693" s="70" t="s">
        <v>3256</v>
      </c>
      <c r="R693" s="71"/>
      <c r="S693" s="70" t="s">
        <v>3256</v>
      </c>
      <c r="T693" s="71"/>
      <c r="U693" s="66" t="s">
        <v>3253</v>
      </c>
      <c r="V693" s="3"/>
      <c r="W693" s="72" t="s">
        <v>150</v>
      </c>
      <c r="X693" s="67" t="str">
        <f>DataItems3[[#This Row],[Collection]]&amp;DataItems3[[#This Row],[Field]]&amp;DataItems3[[#This Row],[Options for supplying the Field]]&amp;DataItems3[[#This Row],[Fieldname]]&amp;DataItems3[[#This Row],[Parent]]</f>
        <v>Data FuturesStudent course session status to date(DF)Z_STATUSXSCS</v>
      </c>
      <c r="Y693" s="73">
        <v>45037</v>
      </c>
      <c r="Z693" s="67" t="s">
        <v>2997</v>
      </c>
      <c r="AA693" s="74" t="str">
        <f t="shared" si="104"/>
        <v>ddf.Z_STATUSXSCS</v>
      </c>
      <c r="AB693" s="74" t="str">
        <f>IF(S693="","",IF(IFERROR(SEARCH("select",S693)&gt;0,0),IF(W693="",IF(MID(S693,SEARCH(H693,S693)-4,1)=" ",MID(S693,SEARCH(H693,S693)-2,LEN(O700)+2),MID(S693,SEARCH(H693,S693)-3,LEN(H693)+3)),W693&amp;"."&amp;H693),S693))</f>
        <v>ddf.Z_STATUSXSCS</v>
      </c>
      <c r="AC693" s="74" t="str">
        <f t="shared" si="105"/>
        <v/>
      </c>
      <c r="AD693" s="74" t="str">
        <f t="shared" ref="AD693:AD698" si="106">IF(T693="","",IF(IFERROR(SEARCH("select",T693)&gt;0,0),IF(U693="",IF(MID(T693,SEARCH(H693,T693)-4,1)=" ",MID(T693,SEARCH(H693,T693)-2,LEN(O700)+2),MID(T693,SEARCH(H693,T693)-3,LEN(H693)+3)),U693&amp;"."&amp;H693),T693))</f>
        <v/>
      </c>
      <c r="AE693" s="67" t="str">
        <f t="shared" si="99"/>
        <v>[Student course session status to date]</v>
      </c>
    </row>
    <row r="694" spans="1:32" s="67" customFormat="1" ht="32" x14ac:dyDescent="0.2">
      <c r="A694" s="67">
        <v>100949</v>
      </c>
      <c r="B694" s="68" t="str">
        <f>DataItems3[[#This Row],[Field]]&amp;IF(DataItems3[[#This Row],[Options for supplying the Field]]="",""," "&amp;DataItems3[[#This Row],[Options for supplying the Field]])</f>
        <v>Student identifier (provider only) (DF)</v>
      </c>
      <c r="C694" s="67">
        <v>100949</v>
      </c>
      <c r="D694" s="66" t="s">
        <v>2992</v>
      </c>
      <c r="E694" s="66"/>
      <c r="F694" s="66" t="s">
        <v>3257</v>
      </c>
      <c r="G694" s="69" t="s">
        <v>2994</v>
      </c>
      <c r="H694" s="69" t="s">
        <v>3258</v>
      </c>
      <c r="I694" s="69" t="s">
        <v>3259</v>
      </c>
      <c r="J694" s="69"/>
      <c r="K694" s="66"/>
      <c r="L694" s="66"/>
      <c r="M694" s="66"/>
      <c r="N694" s="66"/>
      <c r="O694" s="66"/>
      <c r="P694" s="66"/>
      <c r="Q694" s="70"/>
      <c r="R694" s="71"/>
      <c r="S694" s="70"/>
      <c r="T694" s="71"/>
      <c r="U694" s="66"/>
      <c r="V694" s="3"/>
      <c r="W694" s="72" t="s">
        <v>441</v>
      </c>
      <c r="X694" s="67" t="str">
        <f>DataItems3[[#This Row],[Collection]]&amp;DataItems3[[#This Row],[Field]]&amp;DataItems3[[#This Row],[Options for supplying the Field]]&amp;DataItems3[[#This Row],[Fieldname]]&amp;DataItems3[[#This Row],[Parent]]</f>
        <v>Data FuturesStudent identifier (provider only)(DF)Z_SID</v>
      </c>
      <c r="Y694" s="73">
        <v>45038</v>
      </c>
      <c r="Z694" s="67" t="s">
        <v>2997</v>
      </c>
      <c r="AA694" s="74" t="str">
        <f t="shared" si="104"/>
        <v/>
      </c>
      <c r="AB694" s="74" t="str">
        <f>IF(S694="","",IF(IFERROR(SEARCH("select",S694)&gt;0,0),IF(W694="",IF(MID(S694,SEARCH(H694,S694)-4,1)=" ",MID(S694,SEARCH(H694,S694)-2,LEN(O701)+2),MID(S694,SEARCH(H694,S694)-3,LEN(H694)+3)),W694&amp;"."&amp;H694),S694))</f>
        <v/>
      </c>
      <c r="AC694" s="74" t="str">
        <f t="shared" si="105"/>
        <v/>
      </c>
      <c r="AD694" s="74" t="str">
        <f t="shared" si="106"/>
        <v/>
      </c>
      <c r="AE694" s="67" t="str">
        <f t="shared" si="99"/>
        <v>[Student identifier (provider only)]</v>
      </c>
    </row>
    <row r="695" spans="1:32" ht="16" x14ac:dyDescent="0.2">
      <c r="A695">
        <v>100755</v>
      </c>
      <c r="B695" s="11" t="str">
        <f>DataItems3[[#This Row],[Field]]&amp;IF(DataItems3[[#This Row],[Options for supplying the Field]]="",""," "&amp;DataItems3[[#This Row],[Options for supplying the Field]])</f>
        <v>Student instance FTE (STULOAD)</v>
      </c>
      <c r="C695">
        <v>100755</v>
      </c>
      <c r="D695" s="3" t="s">
        <v>86</v>
      </c>
      <c r="E695" s="3" t="s">
        <v>106</v>
      </c>
      <c r="F695" s="3" t="s">
        <v>2386</v>
      </c>
      <c r="G695" s="13" t="s">
        <v>2387</v>
      </c>
      <c r="H695" s="14" t="s">
        <v>2388</v>
      </c>
      <c r="J695" s="3">
        <v>1</v>
      </c>
      <c r="K695" s="3">
        <v>1</v>
      </c>
      <c r="L695" s="3">
        <v>0</v>
      </c>
      <c r="M695" s="3">
        <v>0</v>
      </c>
      <c r="P695" s="3" t="s">
        <v>2389</v>
      </c>
      <c r="Q695" s="32" t="s">
        <v>2390</v>
      </c>
      <c r="R695" s="32" t="s">
        <v>3260</v>
      </c>
      <c r="S695" s="32" t="s">
        <v>3260</v>
      </c>
      <c r="T695" s="30" t="s">
        <v>3260</v>
      </c>
      <c r="W695" s="57" t="s">
        <v>3261</v>
      </c>
      <c r="X695" t="str">
        <f>DataItems3[[#This Row],[Collection]]&amp;DataItems3[[#This Row],[Field]]&amp;DataItems3[[#This Row],[Options for supplying the Field]]&amp;DataItems3[[#This Row],[Fieldname]]&amp;DataItems3[[#This Row],[Parent]]</f>
        <v>StudentStudent instance FTE(STULOAD)F_STULOADprovider &gt; Student &gt; Instance:</v>
      </c>
      <c r="Y695" s="4">
        <v>44218</v>
      </c>
      <c r="Z695" t="s">
        <v>56</v>
      </c>
      <c r="AA695" s="28" t="str">
        <f t="shared" si="104"/>
        <v xml:space="preserve">ISNULL(s.F_STULOAD, 999) </v>
      </c>
      <c r="AB695" s="28" t="str">
        <f>IF(S695="","",IF(IFERROR(SEARCH("select",S695)&gt;0,0),IF(U695="",IF(MID(S695,SEARCH(H695,S695)-4,1)=" ",MID(S695,SEARCH(H695,S695)-2,LEN(O702)+2),MID(S695,SEARCH(H695,S695)-3,LEN(H695)+3)),U695&amp;"."&amp;H695),S695))</f>
        <v xml:space="preserve">ISNULL(s.F_XSTULOAD01, 999) </v>
      </c>
      <c r="AC695" s="28" t="str">
        <f t="shared" si="105"/>
        <v xml:space="preserve">ISNULL(s.F_XSTULOAD01, 999) </v>
      </c>
      <c r="AD695" s="28" t="str">
        <f t="shared" si="106"/>
        <v xml:space="preserve">ISNULL(s.F_XSTULOAD01, 999) </v>
      </c>
      <c r="AE695" t="str">
        <f t="shared" si="99"/>
        <v>[Student instance FTE]</v>
      </c>
      <c r="AF695" t="s">
        <v>3262</v>
      </c>
    </row>
    <row r="696" spans="1:32" s="67" customFormat="1" ht="16" x14ac:dyDescent="0.2">
      <c r="A696" s="67">
        <v>100950</v>
      </c>
      <c r="B696" s="68" t="str">
        <f>DataItems3[[#This Row],[Field]]&amp;IF(DataItems3[[#This Row],[Options for supplying the Field]]="",""," "&amp;DataItems3[[#This Row],[Options for supplying the Field]])</f>
        <v>Student status after the end of the last Student course session (DF)</v>
      </c>
      <c r="C696" s="67">
        <v>100950</v>
      </c>
      <c r="D696" s="66" t="s">
        <v>2992</v>
      </c>
      <c r="E696" s="66"/>
      <c r="F696" s="66" t="s">
        <v>3263</v>
      </c>
      <c r="G696" s="69" t="s">
        <v>2994</v>
      </c>
      <c r="H696" s="69" t="s">
        <v>3264</v>
      </c>
      <c r="I696" s="69"/>
      <c r="J696" s="69"/>
      <c r="K696" s="66"/>
      <c r="L696" s="66"/>
      <c r="M696" s="66"/>
      <c r="N696" s="66"/>
      <c r="O696" s="66"/>
      <c r="P696" s="66"/>
      <c r="Q696" s="70" t="s">
        <v>3265</v>
      </c>
      <c r="R696" s="71"/>
      <c r="S696" s="70" t="s">
        <v>3265</v>
      </c>
      <c r="T696" s="71"/>
      <c r="U696" s="66"/>
      <c r="V696" s="3"/>
      <c r="W696" s="72" t="s">
        <v>150</v>
      </c>
      <c r="X696" s="67" t="str">
        <f>DataItems3[[#This Row],[Collection]]&amp;DataItems3[[#This Row],[Field]]&amp;DataItems3[[#This Row],[Options for supplying the Field]]&amp;DataItems3[[#This Row],[Fieldname]]&amp;DataItems3[[#This Row],[Parent]]</f>
        <v>Data FuturesStudent status after the end of the last Student course session(DF)Z_STATUSSTART</v>
      </c>
      <c r="Y696" s="73">
        <v>45039</v>
      </c>
      <c r="Z696" s="67" t="s">
        <v>2997</v>
      </c>
      <c r="AA696" s="74" t="str">
        <f t="shared" si="104"/>
        <v>df.Z_STATUSSTART</v>
      </c>
      <c r="AB696" s="74" t="str">
        <f>IF(S696="","",IF(IFERROR(SEARCH("select",S696)&gt;0,0),IF(W696="",IF(MID(S696,SEARCH(H696,S696)-4,1)=" ",MID(S696,SEARCH(H696,S696)-2,LEN(O703)+2),MID(S696,SEARCH(H696,S696)-3,LEN(H696)+3)),W696&amp;"."&amp;H696),S696))</f>
        <v>df.Z_STATUSSTART</v>
      </c>
      <c r="AC696" s="74" t="str">
        <f t="shared" si="105"/>
        <v/>
      </c>
      <c r="AD696" s="74" t="str">
        <f t="shared" si="106"/>
        <v/>
      </c>
      <c r="AE696" s="67" t="str">
        <f t="shared" si="99"/>
        <v>[Student status after the end of the last Student course session]</v>
      </c>
    </row>
    <row r="697" spans="1:32" s="67" customFormat="1" ht="16" x14ac:dyDescent="0.2">
      <c r="A697" s="67">
        <v>100951</v>
      </c>
      <c r="B697" s="68" t="str">
        <f>DataItems3[[#This Row],[Field]]&amp;IF(DataItems3[[#This Row],[Options for supplying the Field]]="",""," "&amp;DataItems3[[#This Row],[Options for supplying the Field]])</f>
        <v>Student status at the end of the last Student course session (DF)</v>
      </c>
      <c r="C697" s="67">
        <v>100951</v>
      </c>
      <c r="D697" s="66" t="s">
        <v>2992</v>
      </c>
      <c r="E697" s="66"/>
      <c r="F697" s="66" t="s">
        <v>3266</v>
      </c>
      <c r="G697" s="69" t="s">
        <v>2994</v>
      </c>
      <c r="H697" s="69" t="s">
        <v>3267</v>
      </c>
      <c r="I697" s="69"/>
      <c r="J697" s="69"/>
      <c r="K697" s="66"/>
      <c r="L697" s="66"/>
      <c r="M697" s="66"/>
      <c r="N697" s="66"/>
      <c r="O697" s="66"/>
      <c r="P697" s="66"/>
      <c r="Q697" s="66" t="s">
        <v>3268</v>
      </c>
      <c r="R697" s="75"/>
      <c r="S697" s="70" t="s">
        <v>3268</v>
      </c>
      <c r="T697" s="71"/>
      <c r="U697" s="66"/>
      <c r="V697" s="3"/>
      <c r="W697" s="72" t="s">
        <v>150</v>
      </c>
      <c r="X697" s="67" t="str">
        <f>DataItems3[[#This Row],[Collection]]&amp;DataItems3[[#This Row],[Field]]&amp;DataItems3[[#This Row],[Options for supplying the Field]]&amp;DataItems3[[#This Row],[Fieldname]]&amp;DataItems3[[#This Row],[Parent]]</f>
        <v>Data FuturesStudent status at the end of the last Student course session(DF)Z_STATUSEND</v>
      </c>
      <c r="Y697" s="73">
        <v>45040</v>
      </c>
      <c r="Z697" s="67" t="s">
        <v>2997</v>
      </c>
      <c r="AA697" s="74" t="str">
        <f t="shared" si="104"/>
        <v>df.Z_STATUSEND</v>
      </c>
      <c r="AB697" s="74" t="str">
        <f>IF(S697="","",IF(IFERROR(SEARCH("select",S697)&gt;0,0),IF(W697="",IF(MID(S697,SEARCH(H697,S697)-4,1)=" ",MID(S697,SEARCH(H697,S697)-2,LEN(O704)+2),MID(S697,SEARCH(H697,S697)-3,LEN(H697)+3)),W697&amp;"."&amp;H697),S697))</f>
        <v>df.Z_STATUSEND</v>
      </c>
      <c r="AC697" s="74" t="str">
        <f t="shared" si="105"/>
        <v/>
      </c>
      <c r="AD697" s="74" t="str">
        <f t="shared" si="106"/>
        <v/>
      </c>
      <c r="AE697" s="67" t="str">
        <f t="shared" si="99"/>
        <v>[Student status at the end of the last Student course session]</v>
      </c>
    </row>
    <row r="698" spans="1:32" s="67" customFormat="1" ht="16" x14ac:dyDescent="0.2">
      <c r="A698" s="67">
        <v>100952</v>
      </c>
      <c r="B698" s="68" t="str">
        <f>DataItems3[[#This Row],[Field]]&amp;IF(DataItems3[[#This Row],[Options for supplying the Field]]="",""," "&amp;DataItems3[[#This Row],[Options for supplying the Field]])</f>
        <v>Student status during the cycle (DF)</v>
      </c>
      <c r="C698" s="67">
        <v>100952</v>
      </c>
      <c r="D698" s="66" t="s">
        <v>2992</v>
      </c>
      <c r="E698" s="66"/>
      <c r="F698" s="66" t="s">
        <v>3269</v>
      </c>
      <c r="G698" s="69" t="s">
        <v>2994</v>
      </c>
      <c r="H698" s="69" t="s">
        <v>3270</v>
      </c>
      <c r="I698" s="69"/>
      <c r="J698" s="69"/>
      <c r="K698" s="66"/>
      <c r="L698" s="66"/>
      <c r="M698" s="66"/>
      <c r="N698" s="66"/>
      <c r="O698" s="66"/>
      <c r="P698" s="66"/>
      <c r="Q698" s="70" t="s">
        <v>3271</v>
      </c>
      <c r="R698" s="71"/>
      <c r="S698" s="70" t="s">
        <v>3271</v>
      </c>
      <c r="T698" s="71"/>
      <c r="U698" s="66"/>
      <c r="V698" s="3"/>
      <c r="W698" s="72" t="s">
        <v>150</v>
      </c>
      <c r="X698" s="67" t="str">
        <f>DataItems3[[#This Row],[Collection]]&amp;DataItems3[[#This Row],[Field]]&amp;DataItems3[[#This Row],[Options for supplying the Field]]&amp;DataItems3[[#This Row],[Fieldname]]&amp;DataItems3[[#This Row],[Parent]]</f>
        <v>Data FuturesStudent status during the cycle(DF)Z_STATUS_CYC</v>
      </c>
      <c r="Y698" s="73">
        <v>45041</v>
      </c>
      <c r="Z698" s="67" t="s">
        <v>2997</v>
      </c>
      <c r="AA698" s="74" t="str">
        <f t="shared" si="104"/>
        <v>df.Z_STATUS_CYC</v>
      </c>
      <c r="AB698" s="74" t="str">
        <f>IF(S698="","",IF(IFERROR(SEARCH("select",S698)&gt;0,0),IF(W698="",IF(MID(S698,SEARCH(H698,S698)-4,1)=" ",MID(S698,SEARCH(H698,S698)-2,LEN(O705)+2),MID(S698,SEARCH(H698,S698)-3,LEN(H698)+3)),W698&amp;"."&amp;H698),S698))</f>
        <v>df.Z_STATUS_CYC</v>
      </c>
      <c r="AC698" s="74" t="str">
        <f t="shared" si="105"/>
        <v/>
      </c>
      <c r="AD698" s="74" t="str">
        <f t="shared" si="106"/>
        <v/>
      </c>
      <c r="AE698" s="67" t="str">
        <f t="shared" si="99"/>
        <v>[Student status during the cycle]</v>
      </c>
    </row>
    <row r="699" spans="1:32" ht="16" x14ac:dyDescent="0.2">
      <c r="A699">
        <v>100955</v>
      </c>
      <c r="B699" s="29" t="str">
        <f>DataItems3[[#This Row],[Field]]&amp;IF(DataItems3[[#This Row],[Options for supplying the Field]]="",""," "&amp;DataItems3[[#This Row],[Options for supplying the Field]])</f>
        <v>Disability (Full) (DF)</v>
      </c>
      <c r="C699">
        <v>100955</v>
      </c>
      <c r="D699" s="3" t="s">
        <v>2992</v>
      </c>
      <c r="F699" s="3" t="s">
        <v>726</v>
      </c>
      <c r="G699" s="13" t="s">
        <v>3185</v>
      </c>
      <c r="H699" s="13" t="s">
        <v>3272</v>
      </c>
      <c r="I699" s="13"/>
      <c r="J699" s="13"/>
      <c r="Q699" s="58" t="s">
        <v>3273</v>
      </c>
      <c r="R699" s="32"/>
      <c r="S699" s="58" t="s">
        <v>3273</v>
      </c>
      <c r="T699" s="32"/>
      <c r="W699" s="59" t="s">
        <v>150</v>
      </c>
      <c r="X699" t="str">
        <f>DataItems3[[#This Row],[Collection]]&amp;DataItems3[[#This Row],[Field]]&amp;DataItems3[[#This Row],[Options for supplying the Field]]&amp;DataItems3[[#This Row],[Fieldname]]&amp;DataItems3[[#This Row],[Parent]]</f>
        <v>Data FuturesDisability(Full) (DF)Z_DISABILITYGRP1</v>
      </c>
      <c r="Y699" s="15">
        <v>45044</v>
      </c>
      <c r="Z699" t="s">
        <v>2997</v>
      </c>
      <c r="AA699" s="28" t="str">
        <f t="shared" si="104"/>
        <v>IIF(df.Z_DISABILITYGRP1 in ('Z9'),'01', df.Z_DISABILITYGRP1)</v>
      </c>
      <c r="AB699" s="28" t="str">
        <f>IF(S699="","",IF(IFERROR(SEARCH("select",S699)&gt;0,0),IF(W699="",IF(MID(S699,SEARCH(H699,S699)-4,1)=" ",MID(S699,SEARCH(H699,S699)-2,LEN(O708)+2),MID(S699,SEARCH(H699,S699)-3,LEN(H699)+3)),W699&amp;"."&amp;H699),S699))</f>
        <v>IIF(df.Z_DISABILITYGRP1 in ('Z9'),'01', df.Z_DISABILITYGRP1)</v>
      </c>
      <c r="AC699" s="28" t="str">
        <f t="shared" si="105"/>
        <v/>
      </c>
      <c r="AD699" s="28" t="str">
        <f t="shared" ref="AD699:AD711" si="107">IF(T699="","",IF(IFERROR(SEARCH("select",T699)&gt;0,0),IF(U699="",IF(MID(T699,SEARCH(H699,T699)-4,1)=" ",MID(T699,SEARCH(H699,T699)-2,LEN(O708)+2),MID(T699,SEARCH(H699,T699)-3,LEN(H699)+3)),U699&amp;"."&amp;H699),T699))</f>
        <v/>
      </c>
      <c r="AE699" t="str">
        <f t="shared" si="99"/>
        <v>[Disability]</v>
      </c>
    </row>
    <row r="700" spans="1:32" ht="16" x14ac:dyDescent="0.2">
      <c r="A700">
        <v>100536</v>
      </c>
      <c r="B700" s="11" t="str">
        <f>DataItems3[[#This Row],[Field]]&amp;IF(DataItems3[[#This Row],[Options for supplying the Field]]="",""," "&amp;DataItems3[[#This Row],[Options for supplying the Field]])</f>
        <v>Study country [STUCOUNTRY]</v>
      </c>
      <c r="C700">
        <v>100536</v>
      </c>
      <c r="D700" s="3" t="s">
        <v>151</v>
      </c>
      <c r="F700" s="3" t="s">
        <v>2391</v>
      </c>
      <c r="G700" s="13" t="s">
        <v>2392</v>
      </c>
      <c r="H700" s="3" t="s">
        <v>2393</v>
      </c>
      <c r="J700" s="3">
        <v>1</v>
      </c>
      <c r="K700" s="3">
        <v>5</v>
      </c>
      <c r="L700" s="3">
        <v>2</v>
      </c>
      <c r="M700" s="3">
        <v>0</v>
      </c>
      <c r="P700" s="3" t="s">
        <v>1688</v>
      </c>
      <c r="Q700" s="32" t="s">
        <v>2394</v>
      </c>
      <c r="R700" s="30" t="s">
        <v>93</v>
      </c>
      <c r="S700" s="32" t="s">
        <v>2395</v>
      </c>
      <c r="U700" s="3" t="s">
        <v>2396</v>
      </c>
      <c r="V700" s="3" t="s">
        <v>93</v>
      </c>
      <c r="W700" s="57" t="s">
        <v>2909</v>
      </c>
      <c r="X700" t="str">
        <f>DataItems3[[#This Row],[Collection]]&amp;DataItems3[[#This Row],[Field]]&amp;DataItems3[[#This Row],[Options for supplying the Field]]&amp;DataItems3[[#This Row],[Fieldname]]&amp;DataItems3[[#This Row],[Parent]]</f>
        <v>Graduate OutcomesStudy country[STUCOUNTRY]STUCOUNTRYProvider &gt; Graduate &gt; Study:</v>
      </c>
      <c r="Y700" s="15">
        <v>43550</v>
      </c>
      <c r="Z700" t="s">
        <v>159</v>
      </c>
      <c r="AA700" s="28" t="str">
        <f t="shared" si="104"/>
        <v>CASE WHEN ISNULL(g.ZRESPSTATUS, '02')='02' OR ISNULL(g.XACTIVITY, '99')='99' THEN 'Not in GO publication population' else IIF(g.STUCOUNTRY='','ZZ',ISNULL(g.STUCOUNTRY,'ZZ')) end</v>
      </c>
      <c r="AB700" s="28" t="str">
        <f>IF(S700="","",IF(IFERROR(SEARCH("select",S700)&gt;0,0),IF(U700="",IF(MID(S700,SEARCH(H700,S700)-4,1)=" ",MID(S700,SEARCH(H700,S700)-2,LEN(O709)+2),MID(S700,SEARCH(H700,S700)-3,LEN(H700)+3)),U700&amp;"."&amp;H700),S700))</f>
        <v>CASE WHEN ISNULL(g.ZRESPSTATUS, '02')='02' OR ISNULL(g.XACTIVITY, '99')='99' THEN 'Not in GO publication population' else IIF(g.STUCOUNTRY='','ZZ',ISNULL(stucountry.label,'ZZ')) end</v>
      </c>
      <c r="AC700" s="28" t="str">
        <f t="shared" si="105"/>
        <v/>
      </c>
      <c r="AD700" s="28" t="str">
        <f t="shared" si="107"/>
        <v/>
      </c>
      <c r="AE700" t="str">
        <f t="shared" si="99"/>
        <v>[Study country]</v>
      </c>
    </row>
    <row r="701" spans="1:32" ht="16" x14ac:dyDescent="0.2">
      <c r="A701">
        <v>100538</v>
      </c>
      <c r="B701" s="11" t="str">
        <f>DataItems3[[#This Row],[Field]]&amp;IF(DataItems3[[#This Row],[Options for supplying the Field]]="",""," "&amp;DataItems3[[#This Row],[Options for supplying the Field]])</f>
        <v>Study intensity [STUINTENSITY]</v>
      </c>
      <c r="C701">
        <v>100538</v>
      </c>
      <c r="D701" s="3" t="s">
        <v>151</v>
      </c>
      <c r="F701" s="3" t="s">
        <v>2397</v>
      </c>
      <c r="G701" s="13" t="s">
        <v>2398</v>
      </c>
      <c r="H701" s="3" t="s">
        <v>2399</v>
      </c>
      <c r="I701" s="3" t="s">
        <v>247</v>
      </c>
      <c r="J701" s="3">
        <v>1</v>
      </c>
      <c r="K701" s="3">
        <v>2</v>
      </c>
      <c r="L701" s="3">
        <v>0</v>
      </c>
      <c r="M701" s="3">
        <v>0</v>
      </c>
      <c r="P701" s="3" t="s">
        <v>1688</v>
      </c>
      <c r="Q701" s="32" t="s">
        <v>2400</v>
      </c>
      <c r="R701" s="30" t="s">
        <v>93</v>
      </c>
      <c r="S701" s="32" t="s">
        <v>2401</v>
      </c>
      <c r="U701" s="3" t="s">
        <v>2402</v>
      </c>
      <c r="V701" s="3" t="s">
        <v>93</v>
      </c>
      <c r="W701" s="57" t="s">
        <v>2909</v>
      </c>
      <c r="X701" t="str">
        <f>DataItems3[[#This Row],[Collection]]&amp;DataItems3[[#This Row],[Field]]&amp;DataItems3[[#This Row],[Options for supplying the Field]]&amp;DataItems3[[#This Row],[Fieldname]]&amp;DataItems3[[#This Row],[Parent]]</f>
        <v>Graduate OutcomesStudy intensity[STUINTENSITY]STUINTENSITYProvider &gt; Graduate &gt; Study:</v>
      </c>
      <c r="Y701" s="15">
        <v>43550</v>
      </c>
      <c r="Z701" t="s">
        <v>159</v>
      </c>
      <c r="AA701" s="28" t="str">
        <f t="shared" si="104"/>
        <v>CASE WHEN ISNULL(g.ZRESPSTATUS, '02')='02' OR ISNULL(g.XACTIVITY, '99')='99' THEN 'Not in GO publication population' else IIF(isnull(g.STUINTENSITY,'')='','N/A',g.STUINTENSITY) end</v>
      </c>
      <c r="AB701" s="28" t="str">
        <f>IF(S701="","",IF(IFERROR(SEARCH("select",S701)&gt;0,0),IF(U701="",IF(MID(S701,SEARCH(H701,S701)-4,1)=" ",MID(S701,SEARCH(H701,S701)-2,LEN(O710)+2),MID(S701,SEARCH(H701,S701)-3,LEN(H701)+3)),U701&amp;"."&amp;H701),S701))</f>
        <v>CASE WHEN ISNULL(g.ZRESPSTATUS, '02')='02' OR ISNULL(g.XACTIVITY, '99')='99' THEN 'Not in GO publication population' else IIF(isnull(g.STUINTENSITY,'')='','N/A',stuintensity.label ) end</v>
      </c>
      <c r="AC701" s="28" t="str">
        <f t="shared" si="105"/>
        <v/>
      </c>
      <c r="AD701" s="28" t="str">
        <f t="shared" si="107"/>
        <v/>
      </c>
      <c r="AE701" t="str">
        <f t="shared" si="99"/>
        <v>[Study intensity]</v>
      </c>
    </row>
    <row r="702" spans="1:32" ht="16" x14ac:dyDescent="0.2">
      <c r="A702">
        <v>100643</v>
      </c>
      <c r="B702" s="19" t="str">
        <f>DataItems3[[#This Row],[Field]]&amp;IF(DataItems3[[#This Row],[Options for supplying the Field]]="",""," "&amp;DataItems3[[#This Row],[Options for supplying the Field]])</f>
        <v>Study marker [XSTUMARKER]</v>
      </c>
      <c r="C702">
        <v>100643</v>
      </c>
      <c r="D702" s="3" t="s">
        <v>151</v>
      </c>
      <c r="F702" s="3" t="s">
        <v>2403</v>
      </c>
      <c r="G702" s="13" t="str">
        <f>"["&amp;H702&amp;"]"</f>
        <v>[XSTUMARKER]</v>
      </c>
      <c r="H702" s="3" t="s">
        <v>2404</v>
      </c>
      <c r="J702" s="3">
        <v>1</v>
      </c>
      <c r="K702" s="3">
        <v>2</v>
      </c>
      <c r="L702" s="3">
        <v>0</v>
      </c>
      <c r="M702" s="3">
        <v>0</v>
      </c>
      <c r="P702" s="3" t="s">
        <v>1688</v>
      </c>
      <c r="Q702" s="32" t="s">
        <v>2405</v>
      </c>
      <c r="R702" s="30" t="s">
        <v>93</v>
      </c>
      <c r="S702" s="32" t="s">
        <v>2406</v>
      </c>
      <c r="U702" s="3" t="s">
        <v>2407</v>
      </c>
      <c r="V702" s="3" t="s">
        <v>93</v>
      </c>
      <c r="W702" s="57" t="s">
        <v>2909</v>
      </c>
      <c r="X702" t="str">
        <f>DataItems3[[#This Row],[Collection]]&amp;DataItems3[[#This Row],[Field]]&amp;DataItems3[[#This Row],[Options for supplying the Field]]&amp;DataItems3[[#This Row],[Fieldname]]&amp;DataItems3[[#This Row],[Parent]]</f>
        <v>Graduate OutcomesStudy marker[XSTUMARKER]XSTUMARKERProvider &gt; Graduate &gt; Study:</v>
      </c>
      <c r="Y702" s="15">
        <v>44008</v>
      </c>
      <c r="Z702" t="s">
        <v>159</v>
      </c>
      <c r="AA702" s="28" t="str">
        <f t="shared" si="104"/>
        <v>CASE WHEN ISNULL(g.ZRESPSTATUS, '02')='02' OR ISNULL(g.XACTIVITY, '99')='99' THEN 'Not in GO publication population' else isnull(g.XSTUMARKER,'NA/UNK') end</v>
      </c>
      <c r="AB702" s="28" t="str">
        <f>IF(S702="","",IF(IFERROR(SEARCH("select",S702)&gt;0,0),IF(U702="",IF(MID(S702,SEARCH(H702,S702)-4,1)=" ",MID(S702,SEARCH(H702,S702)-2,LEN(O711)+2),MID(S702,SEARCH(H702,S702)-3,LEN(H702)+3)),U702&amp;"."&amp;H702),S702))</f>
        <v>CASE WHEN ISNULL(g.ZRESPSTATUS, '02')='02' OR ISNULL(g.XACTIVITY, '99')='99' THEN 'Not in GO publication population' else isnull(stumarker.label,'NA/UNK') end</v>
      </c>
      <c r="AC702" s="28" t="str">
        <f t="shared" si="105"/>
        <v/>
      </c>
      <c r="AD702" s="28" t="str">
        <f t="shared" si="107"/>
        <v/>
      </c>
      <c r="AE702" t="str">
        <f t="shared" ref="AE702:AE765" si="108">IF(F702="","","["&amp;SUBSTITUTE(SUBSTITUTE(SUBSTITUTE(F702,"[","{"),"]","}"),"⁽"&amp;CHAR(185)&amp;"⁾","")&amp;"]")</f>
        <v>[Study marker]</v>
      </c>
    </row>
    <row r="703" spans="1:32" ht="16" x14ac:dyDescent="0.2">
      <c r="A703">
        <v>100539</v>
      </c>
      <c r="B703" s="11" t="str">
        <f>DataItems3[[#This Row],[Field]]&amp;IF(DataItems3[[#This Row],[Options for supplying the Field]]="",""," "&amp;DataItems3[[#This Row],[Options for supplying the Field]])</f>
        <v>Study meaningful [STUMEAN]</v>
      </c>
      <c r="C703">
        <v>100539</v>
      </c>
      <c r="D703" s="3" t="s">
        <v>151</v>
      </c>
      <c r="F703" s="3" t="s">
        <v>2408</v>
      </c>
      <c r="G703" s="13" t="s">
        <v>2409</v>
      </c>
      <c r="H703" s="3" t="s">
        <v>2410</v>
      </c>
      <c r="J703" s="3">
        <v>1</v>
      </c>
      <c r="K703" s="3">
        <v>2</v>
      </c>
      <c r="L703" s="3">
        <v>0</v>
      </c>
      <c r="M703" s="3">
        <v>4</v>
      </c>
      <c r="P703" s="3" t="s">
        <v>248</v>
      </c>
      <c r="Q703" s="32" t="s">
        <v>2411</v>
      </c>
      <c r="R703" s="30" t="s">
        <v>93</v>
      </c>
      <c r="S703" s="32" t="s">
        <v>3274</v>
      </c>
      <c r="U703" s="3" t="s">
        <v>2412</v>
      </c>
      <c r="V703" s="3" t="s">
        <v>93</v>
      </c>
      <c r="W703" s="57" t="s">
        <v>2909</v>
      </c>
      <c r="X703" t="str">
        <f>DataItems3[[#This Row],[Collection]]&amp;DataItems3[[#This Row],[Field]]&amp;DataItems3[[#This Row],[Options for supplying the Field]]&amp;DataItems3[[#This Row],[Fieldname]]&amp;DataItems3[[#This Row],[Parent]]</f>
        <v>Graduate OutcomesStudy meaningful[STUMEAN]STUMEANProvider &gt; Graduate &gt; Activity Reflection:</v>
      </c>
      <c r="Y703" s="15">
        <v>43550</v>
      </c>
      <c r="Z703" t="s">
        <v>159</v>
      </c>
      <c r="AA703" s="28" t="str">
        <f t="shared" si="104"/>
        <v>CASE WHEN ISNULL(g.ZRESPSTATUS, '02')='02' OR ISNULL(g.XACTIVITY, '99')='99' THEN 'Not in GO publication population' else IIF(isnull(g.STUMEAN,'')='','N/A',g.STUMEAN) end</v>
      </c>
      <c r="AB703" s="28" t="str">
        <f>IF(S703="","",IF(IFERROR(SEARCH("select",S703)&gt;0,0),IF(U703="",IF(MID(S703,SEARCH(H703,S703)-4,1)=" ",MID(S703,SEARCH(H703,S703)-2,LEN(#REF!)+2),MID(S703,SEARCH(H703,S703)-3,LEN(H703)+3)),U703&amp;"."&amp;H703),S703))</f>
        <v>CASE WHEN ISNULL(g.ZRESPSTATUS, '02')='02' OR ISNULL(g.XACTIVITY, '99')='99' THEN 'Not in GO publication population' else isnull(stumean.label,'Not applicable/Unknown') end</v>
      </c>
      <c r="AC703" s="28" t="str">
        <f t="shared" si="105"/>
        <v/>
      </c>
      <c r="AD703" s="28" t="str">
        <f t="shared" si="107"/>
        <v/>
      </c>
      <c r="AE703" t="str">
        <f t="shared" si="108"/>
        <v>[Study meaningful]</v>
      </c>
    </row>
    <row r="704" spans="1:32" ht="16" x14ac:dyDescent="0.2">
      <c r="A704">
        <v>100540</v>
      </c>
      <c r="B704" s="11" t="str">
        <f>DataItems3[[#This Row],[Field]]&amp;IF(DataItems3[[#This Row],[Options for supplying the Field]]="",""," "&amp;DataItems3[[#This Row],[Options for supplying the Field]])</f>
        <v>Study on-track [STUONTRACK]</v>
      </c>
      <c r="C704">
        <v>100540</v>
      </c>
      <c r="D704" s="3" t="s">
        <v>151</v>
      </c>
      <c r="F704" s="3" t="s">
        <v>2413</v>
      </c>
      <c r="G704" s="13" t="s">
        <v>2414</v>
      </c>
      <c r="H704" s="3" t="s">
        <v>2415</v>
      </c>
      <c r="J704" s="3">
        <v>1</v>
      </c>
      <c r="K704" s="3">
        <v>2</v>
      </c>
      <c r="L704" s="3">
        <v>0</v>
      </c>
      <c r="M704" s="3">
        <v>4</v>
      </c>
      <c r="P704" s="3" t="s">
        <v>248</v>
      </c>
      <c r="Q704" s="32" t="s">
        <v>2416</v>
      </c>
      <c r="R704" s="30" t="s">
        <v>93</v>
      </c>
      <c r="S704" s="32" t="s">
        <v>2417</v>
      </c>
      <c r="U704" s="3" t="s">
        <v>2418</v>
      </c>
      <c r="V704" s="3" t="s">
        <v>93</v>
      </c>
      <c r="W704" s="57" t="s">
        <v>2909</v>
      </c>
      <c r="X704" t="str">
        <f>DataItems3[[#This Row],[Collection]]&amp;DataItems3[[#This Row],[Field]]&amp;DataItems3[[#This Row],[Options for supplying the Field]]&amp;DataItems3[[#This Row],[Fieldname]]&amp;DataItems3[[#This Row],[Parent]]</f>
        <v>Graduate OutcomesStudy on-track[STUONTRACK]STUONTRACKProvider &gt; Graduate &gt; Activity Reflection:</v>
      </c>
      <c r="Y704" s="15">
        <v>43550</v>
      </c>
      <c r="Z704" t="s">
        <v>159</v>
      </c>
      <c r="AA704" s="28" t="str">
        <f t="shared" si="104"/>
        <v>CASE WHEN ISNULL(g.ZRESPSTATUS, '02')='02' OR ISNULL(g.XACTIVITY, '99')='99' THEN 'Not in GO publication population' else IIF(isnull(g.STUONTRACK,'')='','N/A',g.STUONTRACK) end</v>
      </c>
      <c r="AB704" s="28" t="str">
        <f>IF(S704="","",IF(IFERROR(SEARCH("select",S704)&gt;0,0),IF(U704="",IF(MID(S704,SEARCH(H704,S704)-4,1)=" ",MID(S704,SEARCH(H704,S704)-2,LEN(#REF!)+2),MID(S704,SEARCH(H704,S704)-3,LEN(H704)+3)),U704&amp;"."&amp;H704),S704))</f>
        <v>CASE WHEN ISNULL(g.ZRESPSTATUS, '02')='02' OR ISNULL(g.XACTIVITY, '99')='99' THEN 'Not in GO publication population' else IIF(isnull(g.STUONTRACK,'')='','N/A',stuontrack.label )end</v>
      </c>
      <c r="AC704" s="28" t="str">
        <f t="shared" si="105"/>
        <v/>
      </c>
      <c r="AD704" s="28" t="str">
        <f t="shared" si="107"/>
        <v/>
      </c>
      <c r="AE704" t="str">
        <f t="shared" si="108"/>
        <v>[Study on-track]</v>
      </c>
    </row>
    <row r="705" spans="1:31" ht="16" x14ac:dyDescent="0.2">
      <c r="A705">
        <v>100541</v>
      </c>
      <c r="B705" s="11" t="str">
        <f>DataItems3[[#This Row],[Field]]&amp;IF(DataItems3[[#This Row],[Options for supplying the Field]]="",""," "&amp;DataItems3[[#This Row],[Options for supplying the Field]])</f>
        <v>Study skills [STUSKILLS]</v>
      </c>
      <c r="C705">
        <v>100541</v>
      </c>
      <c r="D705" s="3" t="s">
        <v>151</v>
      </c>
      <c r="F705" s="3" t="s">
        <v>2419</v>
      </c>
      <c r="G705" s="13" t="s">
        <v>2420</v>
      </c>
      <c r="H705" s="3" t="s">
        <v>2421</v>
      </c>
      <c r="J705" s="3">
        <v>1</v>
      </c>
      <c r="K705" s="3">
        <v>2</v>
      </c>
      <c r="L705" s="3">
        <v>0</v>
      </c>
      <c r="M705" s="3">
        <v>0</v>
      </c>
      <c r="P705" s="3" t="s">
        <v>248</v>
      </c>
      <c r="Q705" s="32" t="s">
        <v>2422</v>
      </c>
      <c r="R705" s="30" t="s">
        <v>93</v>
      </c>
      <c r="S705" s="32" t="s">
        <v>2423</v>
      </c>
      <c r="U705" s="3" t="s">
        <v>2424</v>
      </c>
      <c r="V705" s="3" t="s">
        <v>93</v>
      </c>
      <c r="W705" s="57" t="s">
        <v>2909</v>
      </c>
      <c r="X705" t="str">
        <f>DataItems3[[#This Row],[Collection]]&amp;DataItems3[[#This Row],[Field]]&amp;DataItems3[[#This Row],[Options for supplying the Field]]&amp;DataItems3[[#This Row],[Fieldname]]&amp;DataItems3[[#This Row],[Parent]]</f>
        <v>Graduate OutcomesStudy skills[STUSKILLS]STUSKILLSProvider &gt; Graduate &gt; Activity Reflection:</v>
      </c>
      <c r="Y705" s="15">
        <v>43550</v>
      </c>
      <c r="Z705" t="s">
        <v>159</v>
      </c>
      <c r="AA705" s="28" t="str">
        <f t="shared" si="104"/>
        <v>CASE WHEN ISNULL(g.ZRESPSTATUS, '02')='02' OR ISNULL(g.XACTIVITY, '99')='99' THEN 'Not in GO publication population' else IIF(isnull(g.STUSKILLS,'')='','N/A',g.STUSKILLS) end</v>
      </c>
      <c r="AB705" s="28" t="str">
        <f t="shared" ref="AB705:AB710" si="109">IF(S705="","",IF(IFERROR(SEARCH("select",S705)&gt;0,0),IF(U705="",IF(MID(S705,SEARCH(H705,S705)-4,1)=" ",MID(S705,SEARCH(H705,S705)-2,LEN(O712)+2),MID(S705,SEARCH(H705,S705)-3,LEN(H705)+3)),U705&amp;"."&amp;H705),S705))</f>
        <v>CASE WHEN ISNULL(g.ZRESPSTATUS, '02')='02' OR ISNULL(g.XACTIVITY, '99')='99' THEN 'Not in GO publication population' else IIF(isnull(g.STUSKILLS,'')='','N/A',stuskills.label )end</v>
      </c>
      <c r="AC705" s="28" t="str">
        <f t="shared" si="105"/>
        <v/>
      </c>
      <c r="AD705" s="28" t="str">
        <f t="shared" si="107"/>
        <v/>
      </c>
      <c r="AE705" t="str">
        <f t="shared" si="108"/>
        <v>[Study skills]</v>
      </c>
    </row>
    <row r="706" spans="1:31" ht="16" x14ac:dyDescent="0.2">
      <c r="A706">
        <v>100545</v>
      </c>
      <c r="B706" s="11" t="str">
        <f>DataItems3[[#This Row],[Field]]&amp;IF(DataItems3[[#This Row],[Options for supplying the Field]]="",""," "&amp;DataItems3[[#This Row],[Options for supplying the Field]])</f>
        <v>Subject of further study (4 digit JACS 3.0)</v>
      </c>
      <c r="C706">
        <v>100545</v>
      </c>
      <c r="D706" s="3" t="s">
        <v>146</v>
      </c>
      <c r="F706" s="3" t="s">
        <v>2425</v>
      </c>
      <c r="G706" s="13" t="s">
        <v>1863</v>
      </c>
      <c r="H706" s="14" t="s">
        <v>93</v>
      </c>
      <c r="J706" s="3">
        <v>1</v>
      </c>
      <c r="K706" s="3">
        <v>4</v>
      </c>
      <c r="L706" s="3">
        <v>1</v>
      </c>
      <c r="M706" s="3">
        <v>0</v>
      </c>
      <c r="N706" s="3" t="s">
        <v>89</v>
      </c>
      <c r="Q706" s="32" t="s">
        <v>93</v>
      </c>
      <c r="R706" s="30" t="s">
        <v>93</v>
      </c>
      <c r="S706" s="32" t="s">
        <v>93</v>
      </c>
      <c r="U706" s="3" t="s">
        <v>93</v>
      </c>
      <c r="V706" s="3" t="s">
        <v>93</v>
      </c>
      <c r="W706" s="57" t="s">
        <v>2926</v>
      </c>
      <c r="X706" t="str">
        <f>DataItems3[[#This Row],[Collection]]&amp;DataItems3[[#This Row],[Field]]&amp;DataItems3[[#This Row],[Options for supplying the Field]]&amp;DataItems3[[#This Row],[Fieldname]]&amp;DataItems3[[#This Row],[Parent]]</f>
        <v>DLHESubject of further study(4 digit JACS 3.0)</v>
      </c>
      <c r="Y706" s="15"/>
      <c r="AA706" s="28" t="str">
        <f t="shared" si="104"/>
        <v/>
      </c>
      <c r="AB706" s="28" t="str">
        <f t="shared" si="109"/>
        <v/>
      </c>
      <c r="AC706" s="28" t="str">
        <f t="shared" si="105"/>
        <v/>
      </c>
      <c r="AD706" s="28" t="str">
        <f t="shared" si="107"/>
        <v/>
      </c>
      <c r="AE706" t="str">
        <f t="shared" si="108"/>
        <v>[Subject of further study]</v>
      </c>
    </row>
    <row r="707" spans="1:31" ht="32" x14ac:dyDescent="0.2">
      <c r="A707">
        <v>100546</v>
      </c>
      <c r="B707" s="11" t="str">
        <f>DataItems3[[#This Row],[Field]]&amp;IF(DataItems3[[#This Row],[Options for supplying the Field]]="",""," "&amp;DataItems3[[#This Row],[Options for supplying the Field]])</f>
        <v>Subject of further study (Principal subject JACS 3.0)</v>
      </c>
      <c r="C707">
        <v>100546</v>
      </c>
      <c r="D707" s="3" t="s">
        <v>146</v>
      </c>
      <c r="F707" s="3" t="s">
        <v>2425</v>
      </c>
      <c r="G707" s="13" t="s">
        <v>1864</v>
      </c>
      <c r="H707" s="14" t="s">
        <v>93</v>
      </c>
      <c r="J707" s="3">
        <v>5</v>
      </c>
      <c r="K707" s="3">
        <v>4</v>
      </c>
      <c r="L707" s="3">
        <v>0</v>
      </c>
      <c r="M707" s="3">
        <v>0</v>
      </c>
      <c r="N707" s="3" t="s">
        <v>89</v>
      </c>
      <c r="Q707" s="32" t="s">
        <v>93</v>
      </c>
      <c r="R707" s="30" t="s">
        <v>93</v>
      </c>
      <c r="S707" s="32" t="s">
        <v>93</v>
      </c>
      <c r="U707" s="3" t="s">
        <v>93</v>
      </c>
      <c r="V707" s="3" t="s">
        <v>93</v>
      </c>
      <c r="W707" s="57" t="s">
        <v>2926</v>
      </c>
      <c r="X707" t="str">
        <f>DataItems3[[#This Row],[Collection]]&amp;DataItems3[[#This Row],[Field]]&amp;DataItems3[[#This Row],[Options for supplying the Field]]&amp;DataItems3[[#This Row],[Fieldname]]&amp;DataItems3[[#This Row],[Parent]]</f>
        <v>DLHESubject of further study(Principal subject JACS 3.0)</v>
      </c>
      <c r="Y707" s="15"/>
      <c r="AA707" s="28" t="str">
        <f t="shared" si="104"/>
        <v/>
      </c>
      <c r="AB707" s="28" t="str">
        <f t="shared" si="109"/>
        <v/>
      </c>
      <c r="AC707" s="28" t="str">
        <f t="shared" si="105"/>
        <v/>
      </c>
      <c r="AD707" s="28" t="str">
        <f t="shared" si="107"/>
        <v/>
      </c>
      <c r="AE707" t="str">
        <f t="shared" si="108"/>
        <v>[Subject of further study]</v>
      </c>
    </row>
    <row r="708" spans="1:31" ht="16" x14ac:dyDescent="0.2">
      <c r="A708">
        <v>100547</v>
      </c>
      <c r="B708" s="11" t="str">
        <f>DataItems3[[#This Row],[Field]]&amp;IF(DataItems3[[#This Row],[Options for supplying the Field]]="",""," "&amp;DataItems3[[#This Row],[Options for supplying the Field]])</f>
        <v>Subject of further study (Subject area JACS 3.0)</v>
      </c>
      <c r="C708">
        <v>100547</v>
      </c>
      <c r="D708" s="3" t="s">
        <v>146</v>
      </c>
      <c r="F708" s="3" t="s">
        <v>2425</v>
      </c>
      <c r="G708" s="13" t="s">
        <v>1865</v>
      </c>
      <c r="H708" s="14" t="s">
        <v>93</v>
      </c>
      <c r="J708" s="3">
        <v>5</v>
      </c>
      <c r="K708" s="3">
        <v>4</v>
      </c>
      <c r="L708" s="3">
        <v>0</v>
      </c>
      <c r="M708" s="3">
        <v>0</v>
      </c>
      <c r="N708" s="3" t="s">
        <v>89</v>
      </c>
      <c r="Q708" s="32" t="s">
        <v>93</v>
      </c>
      <c r="R708" s="30" t="s">
        <v>93</v>
      </c>
      <c r="S708" s="32" t="s">
        <v>93</v>
      </c>
      <c r="U708" s="3" t="s">
        <v>93</v>
      </c>
      <c r="V708" s="3" t="s">
        <v>93</v>
      </c>
      <c r="W708" s="57" t="s">
        <v>2926</v>
      </c>
      <c r="X708" t="str">
        <f>DataItems3[[#This Row],[Collection]]&amp;DataItems3[[#This Row],[Field]]&amp;DataItems3[[#This Row],[Options for supplying the Field]]&amp;DataItems3[[#This Row],[Fieldname]]&amp;DataItems3[[#This Row],[Parent]]</f>
        <v>DLHESubject of further study(Subject area JACS 3.0)</v>
      </c>
      <c r="Y708" s="15"/>
      <c r="AA708" s="28" t="str">
        <f t="shared" si="104"/>
        <v/>
      </c>
      <c r="AB708" s="28" t="str">
        <f t="shared" si="109"/>
        <v/>
      </c>
      <c r="AC708" s="28" t="str">
        <f t="shared" si="105"/>
        <v/>
      </c>
      <c r="AD708" s="28" t="str">
        <f t="shared" si="107"/>
        <v/>
      </c>
      <c r="AE708" t="str">
        <f t="shared" si="108"/>
        <v>[Subject of further study]</v>
      </c>
    </row>
    <row r="709" spans="1:31" ht="16" x14ac:dyDescent="0.2">
      <c r="A709">
        <v>100548</v>
      </c>
      <c r="B709" s="11" t="str">
        <f>DataItems3[[#This Row],[Field]]&amp;IF(DataItems3[[#This Row],[Options for supplying the Field]]="",""," "&amp;DataItems3[[#This Row],[Options for supplying the Field]])</f>
        <v>Subject of further study 1-3 (4 digit JACS 3.0)</v>
      </c>
      <c r="C709">
        <v>100548</v>
      </c>
      <c r="D709" s="3" t="s">
        <v>146</v>
      </c>
      <c r="F709" s="3" t="s">
        <v>2426</v>
      </c>
      <c r="G709" s="13" t="s">
        <v>1863</v>
      </c>
      <c r="H709" s="14" t="s">
        <v>93</v>
      </c>
      <c r="J709" s="3">
        <v>3</v>
      </c>
      <c r="K709" s="3">
        <v>4</v>
      </c>
      <c r="L709" s="3">
        <v>1</v>
      </c>
      <c r="M709" s="3">
        <v>0</v>
      </c>
      <c r="N709" s="3" t="s">
        <v>89</v>
      </c>
      <c r="Q709" s="32" t="s">
        <v>93</v>
      </c>
      <c r="R709" s="30" t="s">
        <v>93</v>
      </c>
      <c r="S709" s="32" t="s">
        <v>93</v>
      </c>
      <c r="U709" s="3" t="s">
        <v>93</v>
      </c>
      <c r="V709" s="3" t="s">
        <v>93</v>
      </c>
      <c r="W709" s="57" t="s">
        <v>2926</v>
      </c>
      <c r="X709" t="str">
        <f>DataItems3[[#This Row],[Collection]]&amp;DataItems3[[#This Row],[Field]]&amp;DataItems3[[#This Row],[Options for supplying the Field]]&amp;DataItems3[[#This Row],[Fieldname]]&amp;DataItems3[[#This Row],[Parent]]</f>
        <v>DLHESubject of further study 1-3(4 digit JACS 3.0)</v>
      </c>
      <c r="Y709" s="15"/>
      <c r="AA709" s="28" t="str">
        <f t="shared" si="104"/>
        <v/>
      </c>
      <c r="AB709" s="28" t="str">
        <f t="shared" si="109"/>
        <v/>
      </c>
      <c r="AC709" s="28" t="str">
        <f t="shared" si="105"/>
        <v/>
      </c>
      <c r="AD709" s="28" t="str">
        <f t="shared" si="107"/>
        <v/>
      </c>
      <c r="AE709" t="str">
        <f t="shared" si="108"/>
        <v>[Subject of further study 1-3]</v>
      </c>
    </row>
    <row r="710" spans="1:31" ht="32" x14ac:dyDescent="0.2">
      <c r="A710">
        <v>100549</v>
      </c>
      <c r="B710" s="11" t="str">
        <f>DataItems3[[#This Row],[Field]]&amp;IF(DataItems3[[#This Row],[Options for supplying the Field]]="",""," "&amp;DataItems3[[#This Row],[Options for supplying the Field]])</f>
        <v>Subject of further study 1-3 (Principal subject JACS 3.0)</v>
      </c>
      <c r="C710">
        <v>100549</v>
      </c>
      <c r="D710" s="3" t="s">
        <v>146</v>
      </c>
      <c r="F710" s="3" t="s">
        <v>2426</v>
      </c>
      <c r="G710" s="13" t="s">
        <v>1864</v>
      </c>
      <c r="H710" s="14" t="s">
        <v>93</v>
      </c>
      <c r="J710" s="3">
        <v>10</v>
      </c>
      <c r="K710" s="3">
        <v>4</v>
      </c>
      <c r="L710" s="3">
        <v>0</v>
      </c>
      <c r="M710" s="3">
        <v>0</v>
      </c>
      <c r="N710" s="3" t="s">
        <v>89</v>
      </c>
      <c r="Q710" s="32" t="s">
        <v>93</v>
      </c>
      <c r="R710" s="30" t="s">
        <v>93</v>
      </c>
      <c r="S710" s="32" t="s">
        <v>93</v>
      </c>
      <c r="U710" s="3" t="s">
        <v>93</v>
      </c>
      <c r="V710" s="3" t="s">
        <v>93</v>
      </c>
      <c r="W710" s="57" t="s">
        <v>2926</v>
      </c>
      <c r="X710" t="str">
        <f>DataItems3[[#This Row],[Collection]]&amp;DataItems3[[#This Row],[Field]]&amp;DataItems3[[#This Row],[Options for supplying the Field]]&amp;DataItems3[[#This Row],[Fieldname]]&amp;DataItems3[[#This Row],[Parent]]</f>
        <v>DLHESubject of further study 1-3(Principal subject JACS 3.0)</v>
      </c>
      <c r="Y710" s="15"/>
      <c r="AA710" s="28" t="str">
        <f t="shared" si="104"/>
        <v/>
      </c>
      <c r="AB710" s="28" t="str">
        <f t="shared" si="109"/>
        <v/>
      </c>
      <c r="AC710" s="28" t="str">
        <f t="shared" si="105"/>
        <v/>
      </c>
      <c r="AD710" s="28" t="str">
        <f t="shared" si="107"/>
        <v/>
      </c>
      <c r="AE710" t="str">
        <f t="shared" si="108"/>
        <v>[Subject of further study 1-3]</v>
      </c>
    </row>
    <row r="711" spans="1:31" ht="16" x14ac:dyDescent="0.2">
      <c r="A711">
        <v>100550</v>
      </c>
      <c r="B711" s="11" t="str">
        <f>DataItems3[[#This Row],[Field]]&amp;IF(DataItems3[[#This Row],[Options for supplying the Field]]="",""," "&amp;DataItems3[[#This Row],[Options for supplying the Field]])</f>
        <v>Subject of further study 1-3 (Subject area JACS 3.0)</v>
      </c>
      <c r="C711">
        <v>100550</v>
      </c>
      <c r="D711" s="3" t="s">
        <v>146</v>
      </c>
      <c r="F711" s="3" t="s">
        <v>2426</v>
      </c>
      <c r="G711" s="13" t="s">
        <v>1865</v>
      </c>
      <c r="H711" s="14" t="s">
        <v>93</v>
      </c>
      <c r="J711" s="3">
        <v>10</v>
      </c>
      <c r="K711" s="3">
        <v>4</v>
      </c>
      <c r="L711" s="3">
        <v>0</v>
      </c>
      <c r="M711" s="3">
        <v>0</v>
      </c>
      <c r="N711" s="3" t="s">
        <v>89</v>
      </c>
      <c r="Q711" s="32" t="s">
        <v>93</v>
      </c>
      <c r="R711" s="30" t="s">
        <v>93</v>
      </c>
      <c r="S711" s="32" t="s">
        <v>93</v>
      </c>
      <c r="U711" s="3" t="s">
        <v>93</v>
      </c>
      <c r="V711" s="3" t="s">
        <v>93</v>
      </c>
      <c r="W711" s="57" t="s">
        <v>2926</v>
      </c>
      <c r="X711" t="str">
        <f>DataItems3[[#This Row],[Collection]]&amp;DataItems3[[#This Row],[Field]]&amp;DataItems3[[#This Row],[Options for supplying the Field]]&amp;DataItems3[[#This Row],[Fieldname]]&amp;DataItems3[[#This Row],[Parent]]</f>
        <v>DLHESubject of further study 1-3(Subject area JACS 3.0)</v>
      </c>
      <c r="Y711" s="15"/>
      <c r="AA711" s="28" t="str">
        <f t="shared" si="104"/>
        <v/>
      </c>
      <c r="AB711" s="28" t="str">
        <f>IF(S711="","",IF(IFERROR(SEARCH("select",S711)&gt;0,0),IF(U711="",IF(MID(S711,SEARCH(H711,S711)-4,1)=" ",MID(S711,SEARCH(H711,S711)-2,LEN(#REF!)+2),MID(S711,SEARCH(H711,S711)-3,LEN(H711)+3)),U711&amp;"."&amp;H711),S711))</f>
        <v/>
      </c>
      <c r="AC711" s="28" t="str">
        <f t="shared" si="105"/>
        <v/>
      </c>
      <c r="AD711" s="28" t="str">
        <f t="shared" si="107"/>
        <v/>
      </c>
      <c r="AE711" t="str">
        <f t="shared" si="108"/>
        <v>[Subject of further study 1-3]</v>
      </c>
    </row>
    <row r="712" spans="1:31" ht="16" x14ac:dyDescent="0.2">
      <c r="A712">
        <v>100552</v>
      </c>
      <c r="B712" s="11" t="str">
        <f>DataItems3[[#This Row],[Field]]&amp;IF(DataItems3[[#This Row],[Options for supplying the Field]]="",""," "&amp;DataItems3[[#This Row],[Options for supplying the Field]])</f>
        <v>Subject of module (4 digit JACS 2.0)</v>
      </c>
      <c r="C712">
        <v>100552</v>
      </c>
      <c r="D712" s="3" t="s">
        <v>86</v>
      </c>
      <c r="E712" s="3" t="s">
        <v>89</v>
      </c>
      <c r="F712" s="3" t="s">
        <v>2427</v>
      </c>
      <c r="G712" s="13" t="s">
        <v>2428</v>
      </c>
      <c r="H712" s="14" t="s">
        <v>2429</v>
      </c>
      <c r="J712" s="3">
        <v>2</v>
      </c>
      <c r="K712" s="3">
        <v>4</v>
      </c>
      <c r="L712" s="3">
        <v>1</v>
      </c>
      <c r="M712" s="3">
        <v>0</v>
      </c>
      <c r="N712" s="3" t="s">
        <v>89</v>
      </c>
      <c r="Q712" s="32" t="s">
        <v>2430</v>
      </c>
      <c r="R712" s="76" t="s">
        <v>3000</v>
      </c>
      <c r="S712" s="32" t="s">
        <v>2431</v>
      </c>
      <c r="T712" s="14" t="s">
        <v>3000</v>
      </c>
      <c r="U712" s="3" t="s">
        <v>2432</v>
      </c>
      <c r="V712" s="3" t="s">
        <v>93</v>
      </c>
      <c r="W712" s="57" t="s">
        <v>114</v>
      </c>
      <c r="X712" t="str">
        <f>DataItems3[[#This Row],[Collection]]&amp;DataItems3[[#This Row],[Field]]&amp;DataItems3[[#This Row],[Options for supplying the Field]]&amp;DataItems3[[#This Row],[Fieldname]]&amp;DataItems3[[#This Row],[Parent]]</f>
        <v>StudentSubject of module(4 digit JACS 2.0)F_MODSBJ</v>
      </c>
      <c r="Y712" s="15">
        <v>43684</v>
      </c>
      <c r="Z712" t="s">
        <v>95</v>
      </c>
      <c r="AA712" s="28" t="str">
        <f t="shared" si="104"/>
        <v xml:space="preserve">case when s.DW_FromDate between 20070801 and 20110801 then cc.F_MODSBJ else 'Not applicable 2012/13 onwards' end  </v>
      </c>
      <c r="AB712" s="28" t="str">
        <f>IF(S712="","",IF(IFERROR(SEARCH("select",S712)&gt;0,0),IF(U712="",IF(MID(S712,SEARCH(H712,S712)-4,1)=" ",MID(S712,SEARCH(H712,S712)-2,LEN(O725)+2),MID(S712,SEARCH(H712,S712)-3,LEN(H712)+3)),U712&amp;"."&amp;H712),S712))</f>
        <v>iif(s.DW_FromDate between 20070801 and 20110801,modsbj.dw_currentlabel,'Not applicable 2012/13 onwards')</v>
      </c>
      <c r="AC712" s="28"/>
      <c r="AD712" s="28"/>
      <c r="AE712" t="str">
        <f t="shared" si="108"/>
        <v>[Subject of module]</v>
      </c>
    </row>
    <row r="713" spans="1:31" ht="16" x14ac:dyDescent="0.2">
      <c r="A713">
        <v>100553</v>
      </c>
      <c r="B713" s="11" t="str">
        <f>DataItems3[[#This Row],[Field]]&amp;IF(DataItems3[[#This Row],[Options for supplying the Field]]="",""," "&amp;DataItems3[[#This Row],[Options for supplying the Field]])</f>
        <v>Subject of module (4 digit JACS 3.0)</v>
      </c>
      <c r="C713">
        <v>100553</v>
      </c>
      <c r="D713" s="3" t="s">
        <v>86</v>
      </c>
      <c r="E713" s="3" t="s">
        <v>89</v>
      </c>
      <c r="F713" s="3" t="s">
        <v>2427</v>
      </c>
      <c r="G713" s="13" t="s">
        <v>1863</v>
      </c>
      <c r="H713" s="14" t="s">
        <v>2429</v>
      </c>
      <c r="J713" s="3">
        <v>2</v>
      </c>
      <c r="K713" s="3">
        <v>4</v>
      </c>
      <c r="L713" s="3">
        <v>1</v>
      </c>
      <c r="M713" s="3">
        <v>0</v>
      </c>
      <c r="N713" s="3" t="s">
        <v>89</v>
      </c>
      <c r="Q713" s="32" t="s">
        <v>2433</v>
      </c>
      <c r="R713" s="76" t="s">
        <v>3000</v>
      </c>
      <c r="S713" s="32" t="s">
        <v>2434</v>
      </c>
      <c r="T713" s="14" t="s">
        <v>3000</v>
      </c>
      <c r="U713" s="3" t="s">
        <v>2432</v>
      </c>
      <c r="V713" s="3" t="s">
        <v>93</v>
      </c>
      <c r="W713" s="57" t="s">
        <v>114</v>
      </c>
      <c r="X713" t="str">
        <f>DataItems3[[#This Row],[Collection]]&amp;DataItems3[[#This Row],[Field]]&amp;DataItems3[[#This Row],[Options for supplying the Field]]&amp;DataItems3[[#This Row],[Fieldname]]&amp;DataItems3[[#This Row],[Parent]]</f>
        <v>StudentSubject of module(4 digit JACS 3.0)F_MODSBJ</v>
      </c>
      <c r="Y713" s="15">
        <v>43684</v>
      </c>
      <c r="Z713" t="s">
        <v>95</v>
      </c>
      <c r="AA713" s="28" t="str">
        <f t="shared" si="104"/>
        <v xml:space="preserve">case when s.DW_FromDate between 20120801 and 20180801 then cc.F_MODSBJ else 'Not applicable 2019/20 onwards' end  </v>
      </c>
      <c r="AB713" s="28" t="str">
        <f>IF(S713="","",IF(IFERROR(SEARCH("select",S713)&gt;0,0),IF(U713="",IF(MID(S713,SEARCH(H713,S713)-4,1)=" ",MID(S713,SEARCH(H713,S713)-2,LEN(O726)+2),MID(S713,SEARCH(H713,S713)-3,LEN(H713)+3)),U713&amp;"."&amp;H713),S713))</f>
        <v>iif(s.DW_FromDate between 20120801 and 20180801,modsbj.dw_currentlabel,'Not applicable 2019/20 onwards')</v>
      </c>
      <c r="AC713" s="28"/>
      <c r="AD713" s="28"/>
      <c r="AE713" t="str">
        <f t="shared" si="108"/>
        <v>[Subject of module]</v>
      </c>
    </row>
    <row r="714" spans="1:31" ht="16" x14ac:dyDescent="0.2">
      <c r="A714">
        <v>100556</v>
      </c>
      <c r="B714" s="11" t="str">
        <f>DataItems3[[#This Row],[Field]]&amp;IF(DataItems3[[#This Row],[Options for supplying the Field]]="",""," "&amp;DataItems3[[#This Row],[Options for supplying the Field]])</f>
        <v>Subject of module (Principal subject 3.0)</v>
      </c>
      <c r="C714">
        <v>100556</v>
      </c>
      <c r="D714" s="3" t="s">
        <v>86</v>
      </c>
      <c r="E714" s="3" t="s">
        <v>89</v>
      </c>
      <c r="F714" s="3" t="s">
        <v>2427</v>
      </c>
      <c r="G714" s="13" t="s">
        <v>2435</v>
      </c>
      <c r="H714" s="14" t="s">
        <v>2429</v>
      </c>
      <c r="J714" s="3">
        <v>3</v>
      </c>
      <c r="K714" s="3">
        <v>4</v>
      </c>
      <c r="L714" s="3">
        <v>0</v>
      </c>
      <c r="M714" s="3">
        <v>0</v>
      </c>
      <c r="N714" s="3" t="s">
        <v>106</v>
      </c>
      <c r="Q714" s="32" t="s">
        <v>2436</v>
      </c>
      <c r="R714" s="76" t="s">
        <v>3000</v>
      </c>
      <c r="S714" s="32" t="s">
        <v>2437</v>
      </c>
      <c r="T714" s="14" t="s">
        <v>3000</v>
      </c>
      <c r="U714" s="3" t="s">
        <v>2438</v>
      </c>
      <c r="V714" s="3" t="s">
        <v>93</v>
      </c>
      <c r="W714" s="57" t="s">
        <v>114</v>
      </c>
      <c r="X714" t="str">
        <f>DataItems3[[#This Row],[Collection]]&amp;DataItems3[[#This Row],[Field]]&amp;DataItems3[[#This Row],[Options for supplying the Field]]&amp;DataItems3[[#This Row],[Fieldname]]&amp;DataItems3[[#This Row],[Parent]]</f>
        <v>StudentSubject of module(Principal subject 3.0)F_MODSBJ</v>
      </c>
      <c r="Y714" s="15">
        <v>43684</v>
      </c>
      <c r="Z714" t="s">
        <v>95</v>
      </c>
      <c r="AA714" s="28" t="str">
        <f t="shared" si="104"/>
        <v xml:space="preserve">case when s.DW_FromDate between 20120801 and 20180801 then cc.F_XJACS201 else 'Not applicable 2019/20 onwards' end  </v>
      </c>
      <c r="AB714" s="28" t="str">
        <f>IF(S714="","",IF(IFERROR(SEARCH("select",S714)&gt;0,0),IF(U714="",IF(MID(S714,SEARCH(H714,S714)-4,1)=" ",MID(S714,SEARCH(H714,S714)-2,LEN(O727)+2),MID(S714,SEARCH(H714,S714)-3,LEN(H714)+3)),U714&amp;"."&amp;H714),S714))</f>
        <v>iif(s.DW_FromDate between 20120801 and 20180801,pmodsj.dw_currentlabel,'Not applicable 2019/20 onwards')</v>
      </c>
      <c r="AC714" s="28"/>
      <c r="AD714" s="28"/>
      <c r="AE714" t="str">
        <f t="shared" si="108"/>
        <v>[Subject of module]</v>
      </c>
    </row>
    <row r="715" spans="1:31" ht="16" x14ac:dyDescent="0.2">
      <c r="A715">
        <v>100557</v>
      </c>
      <c r="B715" s="11" t="str">
        <f>DataItems3[[#This Row],[Field]]&amp;IF(DataItems3[[#This Row],[Options for supplying the Field]]="",""," "&amp;DataItems3[[#This Row],[Options for supplying the Field]])</f>
        <v>Subject of module (Subject area)</v>
      </c>
      <c r="C715">
        <v>100557</v>
      </c>
      <c r="D715" s="3" t="s">
        <v>86</v>
      </c>
      <c r="E715" s="3" t="s">
        <v>89</v>
      </c>
      <c r="F715" s="3" t="s">
        <v>2427</v>
      </c>
      <c r="G715" s="13" t="s">
        <v>2439</v>
      </c>
      <c r="H715" s="14" t="s">
        <v>2429</v>
      </c>
      <c r="J715" s="3">
        <v>3</v>
      </c>
      <c r="K715" s="3">
        <v>4</v>
      </c>
      <c r="L715" s="3">
        <v>0</v>
      </c>
      <c r="M715" s="3">
        <v>0</v>
      </c>
      <c r="N715" s="3" t="s">
        <v>89</v>
      </c>
      <c r="Q715" s="32" t="s">
        <v>2440</v>
      </c>
      <c r="R715" s="76" t="s">
        <v>3000</v>
      </c>
      <c r="S715" s="32" t="s">
        <v>2441</v>
      </c>
      <c r="T715" s="14" t="s">
        <v>3000</v>
      </c>
      <c r="U715" s="3" t="s">
        <v>2442</v>
      </c>
      <c r="V715" s="3" t="s">
        <v>93</v>
      </c>
      <c r="W715" s="57" t="s">
        <v>114</v>
      </c>
      <c r="X715" t="str">
        <f>DataItems3[[#This Row],[Collection]]&amp;DataItems3[[#This Row],[Field]]&amp;DataItems3[[#This Row],[Options for supplying the Field]]&amp;DataItems3[[#This Row],[Fieldname]]&amp;DataItems3[[#This Row],[Parent]]</f>
        <v>StudentSubject of module(Subject area)F_MODSBJ</v>
      </c>
      <c r="Y715" s="15">
        <v>43684</v>
      </c>
      <c r="Z715" t="s">
        <v>95</v>
      </c>
      <c r="AA715" s="28" t="str">
        <f t="shared" si="104"/>
        <v xml:space="preserve">case when s.DW_FromDate between 20120801 and 20180801 then dbo.SP_JACSA01_area(cc.f_modsbj) else 'Not applicable 2019/20 onwards' end   </v>
      </c>
      <c r="AB715" s="28" t="str">
        <f>IF(S715="","",IF(IFERROR(SEARCH("select",S715)&gt;0,0),IF(U715="",IF(MID(S715,SEARCH(H715,S715)-4,1)=" ",MID(S715,SEARCH(H715,S715)-2,LEN(O728)+2),MID(S715,SEARCH(H715,S715)-3,LEN(H715)+3)),U715&amp;"."&amp;H715),S715))</f>
        <v>iif(s.DW_FromDate between 20120801 and 20180801,amodsj.dw_currentlabel,'Not applicable 2019/20 onwards')</v>
      </c>
      <c r="AC715" s="28"/>
      <c r="AD715" s="28"/>
      <c r="AE715" t="str">
        <f t="shared" si="108"/>
        <v>[Subject of module]</v>
      </c>
    </row>
    <row r="716" spans="1:31" ht="32" x14ac:dyDescent="0.2">
      <c r="A716">
        <v>100912</v>
      </c>
      <c r="B716" s="11" t="str">
        <f>DataItems3[[#This Row],[Field]]&amp;IF(DataItems3[[#This Row],[Options for supplying the Field]]="",""," "&amp;DataItems3[[#This Row],[Options for supplying the Field]])</f>
        <v>Subject of module (CAH1) (2019/20 onwards)</v>
      </c>
      <c r="C716">
        <v>100912</v>
      </c>
      <c r="D716" s="3" t="s">
        <v>86</v>
      </c>
      <c r="E716" s="3" t="s">
        <v>89</v>
      </c>
      <c r="F716" s="3" t="s">
        <v>2427</v>
      </c>
      <c r="G716" s="13" t="s">
        <v>2453</v>
      </c>
      <c r="H716" s="14" t="s">
        <v>3275</v>
      </c>
      <c r="Q716" s="32" t="s">
        <v>3276</v>
      </c>
      <c r="R716" s="76" t="s">
        <v>3000</v>
      </c>
      <c r="S716" s="32" t="s">
        <v>3277</v>
      </c>
      <c r="T716" s="14" t="s">
        <v>3000</v>
      </c>
      <c r="U716" s="3" t="s">
        <v>3278</v>
      </c>
      <c r="W716" s="57" t="s">
        <v>114</v>
      </c>
      <c r="X716" t="str">
        <f>DataItems3[[#This Row],[Collection]]&amp;DataItems3[[#This Row],[Field]]&amp;DataItems3[[#This Row],[Options for supplying the Field]]&amp;DataItems3[[#This Row],[Fieldname]]&amp;DataItems3[[#This Row],[Parent]]</f>
        <v>StudentSubject of module(CAH1) (2019/20 onwards)F_MODSBJ_CAH1</v>
      </c>
      <c r="Y716" s="4">
        <v>44974</v>
      </c>
      <c r="Z716" t="s">
        <v>2875</v>
      </c>
      <c r="AA716" s="28" t="str">
        <f t="shared" si="104"/>
        <v>CASE WHEN (s.DW_FromDate &gt;= 20190801 AND (cc.F_MODSBJ IN ( '', ' ' ) OR cc.F_MODSBJ IS NULL)) THEN 'Unknown' WHEN s.DW_FromDate &gt;= 20190801 AND msbj.[CAH3 (Code only)] = 'CAH26-01-03' THEN 'CAH26-01-03' WHEN s.DW_FromDate &gt;= 20190801 THEN ISNULL(msbj.[CAH1 (Code only)], 'Unknown') ELSE 'Not applicable before 2019/20' END</v>
      </c>
      <c r="AB716" s="28" t="str">
        <f t="shared" ref="AB716:AB721" si="110">IF(S716="","",IF(IFERROR(SEARCH("select",S716)&gt;0,0),IF(U716="",IF(MID(S716,SEARCH(H716,S716)-4,1)=" ",MID(S716,SEARCH(H716,S716)-2,LEN(O725)+2),MID(S716,SEARCH(H716,S716)-3,LEN(H716)+3)),U716&amp;"."&amp;H716),S716))</f>
        <v>CASE WHEN (s.DW_FromDate &gt;= 20190801 AND (cc.F_MODSBJ IN ( '', ' ' ) OR cc.F_MODSBJ IS NULL)) THEN 'Unknown' WHEN s.DW_FromDate &gt;= 20190801 AND msbj.[CAH3 (Code only)] = 'CAH26-01-03' THEN '(CAH26) Geography, Earth and Environmental Studies(social sciences)' WHEN msbj.[CAH1 (Code only)] = 'CAH26'  THEN '(CAH26) Geography, Earth and Environmental Studies(natural sciences)' WHEN s.DW_FromDate &gt;= 20190801 THEN ISNULL(msbj.[CAH1], 'Unknown') ELSE 'Not applicable before 2019/20' END</v>
      </c>
      <c r="AC716" s="28"/>
      <c r="AD716" s="28"/>
      <c r="AE716" t="str">
        <f t="shared" si="108"/>
        <v>[Subject of module]</v>
      </c>
    </row>
    <row r="717" spans="1:31" ht="32" x14ac:dyDescent="0.2">
      <c r="A717">
        <v>100915</v>
      </c>
      <c r="B717" s="11" t="str">
        <f>DataItems3[[#This Row],[Field]]&amp;IF(DataItems3[[#This Row],[Options for supplying the Field]]="",""," "&amp;DataItems3[[#This Row],[Options for supplying the Field]])</f>
        <v>Subject of module (CAH1) (2012/13 - 2018/19 only)</v>
      </c>
      <c r="C717">
        <v>100915</v>
      </c>
      <c r="D717" s="3" t="s">
        <v>86</v>
      </c>
      <c r="E717" s="3" t="s">
        <v>89</v>
      </c>
      <c r="F717" s="3" t="s">
        <v>2427</v>
      </c>
      <c r="G717" s="13" t="s">
        <v>3279</v>
      </c>
      <c r="H717" s="14" t="s">
        <v>3280</v>
      </c>
      <c r="Q717" s="32" t="s">
        <v>3281</v>
      </c>
      <c r="R717" s="76" t="s">
        <v>3000</v>
      </c>
      <c r="S717" s="32" t="s">
        <v>3282</v>
      </c>
      <c r="T717" s="14" t="s">
        <v>3000</v>
      </c>
      <c r="U717" s="3" t="s">
        <v>3283</v>
      </c>
      <c r="W717" s="57" t="s">
        <v>114</v>
      </c>
      <c r="X717" t="str">
        <f>DataItems3[[#This Row],[Collection]]&amp;DataItems3[[#This Row],[Field]]&amp;DataItems3[[#This Row],[Options for supplying the Field]]&amp;DataItems3[[#This Row],[Fieldname]]&amp;DataItems3[[#This Row],[Parent]]</f>
        <v>StudentSubject of module(CAH1) (2012/13 - 2018/19 only)F_MODSBJ_CAH1_MAP</v>
      </c>
      <c r="Y717" s="4">
        <v>44974</v>
      </c>
      <c r="Z717" t="s">
        <v>2875</v>
      </c>
      <c r="AA717" s="28" t="str">
        <f t="shared" si="104"/>
        <v>CASE WHEN (s.DW_FromDate BETWEEN 20120801 AND 20180801 AND (cc.F_MODSBJ IN ( '', ' ' ) OR cc.F_MODSBJ IS NULL)) THEN 'Unknown' WHEN s.DW_FromDate BETWEEN 20120801 AND 20180801 AND mcahjacs.[CAH3 (Code only)] = 'CAH26-01-03' THEN 'CAH26-01-03' WHEN s.DW_FromDate BETWEEN 20120801 AND 20180801 THEN ISNULL(mcahjacs.[CAH1 (Code only)], 'Unknown') ELSE 'Not applicable' END</v>
      </c>
      <c r="AB717" s="28" t="str">
        <f t="shared" si="110"/>
        <v>CASE WHEN (s.DW_FromDate BETWEEN 20120801 AND 20180801 AND (cc.F_MODSBJ IN ( '', ' ' ) OR cc.F_MODSBJ IS NULL)) THEN 'Unknown' WHEN s.DW_FromDate BETWEEN 20120801 AND 20180801 AND mcahjacs.[CAH3 (Code only)] = 'CAH26-01-03' THEN '(CAH26) Geography, Earth and Environmental Studies(social sciences)' WHEN s.DW_FromDate BETWEEN 20120801 AND 20180801 AND msbj.[CAH1 (Code only)] = 'CAH26'  THEN '(CAH26) Geography, Earth and Environmental Studies(natural sciences)' WHEN s.DW_FromDate BETWEEN 20120801 AND 20180801 THEN ISNULL(mcahjacs.[CAH1], 'Unknown') ELSE 'Not applicable' END</v>
      </c>
      <c r="AC717" s="28"/>
      <c r="AD717" s="28"/>
      <c r="AE717" t="str">
        <f t="shared" si="108"/>
        <v>[Subject of module]</v>
      </c>
    </row>
    <row r="718" spans="1:31" ht="32" x14ac:dyDescent="0.2">
      <c r="A718">
        <v>100913</v>
      </c>
      <c r="B718" s="11" t="str">
        <f>DataItems3[[#This Row],[Field]]&amp;IF(DataItems3[[#This Row],[Options for supplying the Field]]="",""," "&amp;DataItems3[[#This Row],[Options for supplying the Field]])</f>
        <v>Subject of module (CAH2) (2019/20 onwards)</v>
      </c>
      <c r="C718">
        <v>100913</v>
      </c>
      <c r="D718" s="3" t="s">
        <v>86</v>
      </c>
      <c r="E718" s="3" t="s">
        <v>89</v>
      </c>
      <c r="F718" s="3" t="s">
        <v>2427</v>
      </c>
      <c r="G718" s="13" t="s">
        <v>2464</v>
      </c>
      <c r="H718" s="14" t="s">
        <v>3284</v>
      </c>
      <c r="Q718" s="32" t="s">
        <v>3285</v>
      </c>
      <c r="R718" s="76" t="s">
        <v>3000</v>
      </c>
      <c r="S718" s="32" t="s">
        <v>3286</v>
      </c>
      <c r="T718" s="14" t="s">
        <v>3000</v>
      </c>
      <c r="U718" s="3" t="s">
        <v>3278</v>
      </c>
      <c r="W718" s="57" t="s">
        <v>114</v>
      </c>
      <c r="X718" t="str">
        <f>DataItems3[[#This Row],[Collection]]&amp;DataItems3[[#This Row],[Field]]&amp;DataItems3[[#This Row],[Options for supplying the Field]]&amp;DataItems3[[#This Row],[Fieldname]]&amp;DataItems3[[#This Row],[Parent]]</f>
        <v>StudentSubject of module(CAH2) (2019/20 onwards)F_MODSBJ_CAH2</v>
      </c>
      <c r="Y718" s="4">
        <v>44974</v>
      </c>
      <c r="Z718" t="s">
        <v>2875</v>
      </c>
      <c r="AA718" s="28" t="str">
        <f t="shared" si="104"/>
        <v>CASE WHEN (s.DW_FromDate &gt;= 20190801 AND (cc.F_MODSBJ IN ( '', ' ' ) OR cc.F_MODSBJ IS NULL)) THEN 'Unknown' WHEN s.DW_FromDate &gt;= 20190801 AND msbj.[CAH3 (Code only)] = 'CAH26-01-03' THEN 'CAH26-01-03' WHEN s.DW_FromDate &gt;= 20190801 THEN ISNULL(msbj.[CAH2 (Code only)], 'Unknown') ELSE 'Not applicable before 2019/20' END</v>
      </c>
      <c r="AB718" s="28" t="str">
        <f t="shared" si="110"/>
        <v>CASE WHEN (s.DW_FromDate &gt;= 20190801 AND (cc.F_MODSBJ IN ( '', ' ' ) OR cc.F_MODSBJ IS NULL)) THEN 'Unknown' WHEN s.DW_FromDate &gt;= 20190801 AND msbj.[CAH3 (Code only)] = 'CAH26-01-03' THEN '(CAH26-01) Geography, Earth and Environmental Studies(social sciences)' WHEN msbj.[CAH2 (Code only)] = 'CAH26-01'  THEN '(CAH26-01) Geography, Earth and Environmental Studies(natural sciences)' WHEN s.DW_FromDate &gt;= 20190801 THEN ISNULL(msbj.[CAH2], 'Unknown') ELSE 'Not applicable before 2019/20' END</v>
      </c>
      <c r="AC718" s="28"/>
      <c r="AD718" s="28"/>
      <c r="AE718" t="str">
        <f t="shared" si="108"/>
        <v>[Subject of module]</v>
      </c>
    </row>
    <row r="719" spans="1:31" ht="32" x14ac:dyDescent="0.2">
      <c r="A719">
        <v>100916</v>
      </c>
      <c r="B719" s="11" t="str">
        <f>DataItems3[[#This Row],[Field]]&amp;IF(DataItems3[[#This Row],[Options for supplying the Field]]="",""," "&amp;DataItems3[[#This Row],[Options for supplying the Field]])</f>
        <v>Subject of module (CAH2) (2012/13 - 2018/19 only)</v>
      </c>
      <c r="C719">
        <v>100916</v>
      </c>
      <c r="D719" s="3" t="s">
        <v>86</v>
      </c>
      <c r="E719" s="3" t="s">
        <v>89</v>
      </c>
      <c r="F719" s="3" t="s">
        <v>2427</v>
      </c>
      <c r="G719" s="13" t="s">
        <v>3287</v>
      </c>
      <c r="H719" s="14" t="s">
        <v>3288</v>
      </c>
      <c r="Q719" s="32" t="s">
        <v>3289</v>
      </c>
      <c r="R719" s="76" t="s">
        <v>3000</v>
      </c>
      <c r="S719" s="32" t="s">
        <v>3290</v>
      </c>
      <c r="T719" s="14" t="s">
        <v>3000</v>
      </c>
      <c r="U719" s="3" t="s">
        <v>3283</v>
      </c>
      <c r="W719" s="57" t="s">
        <v>114</v>
      </c>
      <c r="X719" t="str">
        <f>DataItems3[[#This Row],[Collection]]&amp;DataItems3[[#This Row],[Field]]&amp;DataItems3[[#This Row],[Options for supplying the Field]]&amp;DataItems3[[#This Row],[Fieldname]]&amp;DataItems3[[#This Row],[Parent]]</f>
        <v>StudentSubject of module(CAH2) (2012/13 - 2018/19 only)F_MODSBJ_CAH2_MAP</v>
      </c>
      <c r="Y719" s="4">
        <v>44974</v>
      </c>
      <c r="Z719" t="s">
        <v>2875</v>
      </c>
      <c r="AA719" s="28" t="str">
        <f t="shared" si="104"/>
        <v>CASE WHEN (s.DW_FromDate BETWEEN 20120801 AND 20180801 AND (cc.F_MODSBJ IN ( '', ' ' ) OR cc.F_MODSBJ IS NULL)) THEN 'Unknown' WHEN s.DW_FromDate BETWEEN 20120801 AND 20180801 AND mcahjacs.[CAH3 (Code only)] = 'CAH26-01-03' THEN 'CAH26-01-03' WHEN s.DW_FromDate BETWEEN 20120801 AND 20180801 THEN ISNULL(mcahjacs.[CAH2 (Code only)], 'Unknown') ELSE 'Not applicable' END</v>
      </c>
      <c r="AB719" s="28" t="str">
        <f t="shared" si="110"/>
        <v>CASE WHEN (s.DW_FromDate BETWEEN 20120801 AND 20180801 AND (cc.F_MODSBJ IN ( '', ' ' ) OR cc.F_MODSBJ IS NULL)) THEN 'Unknown' WHEN s.DW_FromDate BETWEEN 20120801 AND 20180801 AND mcahjacs.[CAH3 (Code only)] = 'CAH26-01-03' THEN '(CAH26-01) Geography, Earth and Environmental Studies(social sciences)' WHEN s.DW_FromDate BETWEEN 20120801 AND 20180801 AND msbj.[CAH2 (Code only)] = 'CAH26-01'  THEN '(CAH26-01) Geography, Earth and Environmental Studies(natural sciences)' WHEN s.DW_FromDate BETWEEN 20120801 AND 20180801 THEN ISNULL(mcahjacs.[CAH2], 'Unknown') ELSE 'Not applicable' END</v>
      </c>
      <c r="AC719" s="28"/>
      <c r="AD719" s="28"/>
      <c r="AE719" t="str">
        <f t="shared" si="108"/>
        <v>[Subject of module]</v>
      </c>
    </row>
    <row r="720" spans="1:31" ht="32" x14ac:dyDescent="0.2">
      <c r="A720">
        <v>100914</v>
      </c>
      <c r="B720" s="11" t="str">
        <f>DataItems3[[#This Row],[Field]]&amp;IF(DataItems3[[#This Row],[Options for supplying the Field]]="",""," "&amp;DataItems3[[#This Row],[Options for supplying the Field]])</f>
        <v>Subject of module (CAH3) (2019/20 onwards)</v>
      </c>
      <c r="C720">
        <v>100914</v>
      </c>
      <c r="D720" s="3" t="s">
        <v>86</v>
      </c>
      <c r="E720" s="3" t="s">
        <v>89</v>
      </c>
      <c r="F720" s="3" t="s">
        <v>2427</v>
      </c>
      <c r="G720" s="13" t="s">
        <v>2473</v>
      </c>
      <c r="H720" s="14" t="s">
        <v>3291</v>
      </c>
      <c r="Q720" s="32" t="s">
        <v>3292</v>
      </c>
      <c r="R720" s="76" t="s">
        <v>3000</v>
      </c>
      <c r="S720" s="32" t="s">
        <v>3293</v>
      </c>
      <c r="T720" s="14" t="s">
        <v>3000</v>
      </c>
      <c r="U720" s="3" t="s">
        <v>3278</v>
      </c>
      <c r="W720" s="57" t="s">
        <v>114</v>
      </c>
      <c r="X720" t="str">
        <f>DataItems3[[#This Row],[Collection]]&amp;DataItems3[[#This Row],[Field]]&amp;DataItems3[[#This Row],[Options for supplying the Field]]&amp;DataItems3[[#This Row],[Fieldname]]&amp;DataItems3[[#This Row],[Parent]]</f>
        <v>StudentSubject of module(CAH3) (2019/20 onwards)F_MODSBJ_CAH3</v>
      </c>
      <c r="Y720" s="4">
        <v>44974</v>
      </c>
      <c r="Z720" t="s">
        <v>2875</v>
      </c>
      <c r="AA720" s="28" t="str">
        <f t="shared" si="104"/>
        <v>CASE WHEN (s.DW_FromDate &gt;= 20190801 AND (cc.F_MODSBJ IN ( '', ' ' ) OR cc.F_MODSBJ IS NULL)) THEN 'Unknown' WHEN s.DW_FromDate &gt;= 20190801 THEN ISNULL(msbj.[CAH3 (Code only)], 'Unknown') ELSE 'Not applicable before 2019/20' END</v>
      </c>
      <c r="AB720" s="28" t="str">
        <f t="shared" si="110"/>
        <v>CASE WHEN (s.DW_FromDate &gt;= 20190801 AND (cc.F_MODSBJ IN ( '', ' ' ) OR cc.F_MODSBJ IS NULL)) THEN 'Unknown' WHEN s.DW_FromDate &gt;= 20190801 THEN ISNULL(msbj.[CAH3], 'Unknown') ELSE 'Not applicable before 2019/20' END</v>
      </c>
      <c r="AC720" s="28"/>
      <c r="AD720" s="28"/>
      <c r="AE720" t="str">
        <f t="shared" si="108"/>
        <v>[Subject of module]</v>
      </c>
    </row>
    <row r="721" spans="1:32" ht="32" x14ac:dyDescent="0.2">
      <c r="A721">
        <v>100917</v>
      </c>
      <c r="B721" s="11" t="str">
        <f>DataItems3[[#This Row],[Field]]&amp;IF(DataItems3[[#This Row],[Options for supplying the Field]]="",""," "&amp;DataItems3[[#This Row],[Options for supplying the Field]])</f>
        <v>Subject of module (CAH3) (2012/13 - 2018/19 only)</v>
      </c>
      <c r="C721">
        <v>100917</v>
      </c>
      <c r="D721" s="3" t="s">
        <v>86</v>
      </c>
      <c r="E721" s="3" t="s">
        <v>89</v>
      </c>
      <c r="F721" s="3" t="s">
        <v>2427</v>
      </c>
      <c r="G721" s="13" t="s">
        <v>3294</v>
      </c>
      <c r="H721" s="14" t="s">
        <v>3295</v>
      </c>
      <c r="Q721" s="32" t="s">
        <v>3296</v>
      </c>
      <c r="R721" s="76" t="s">
        <v>3000</v>
      </c>
      <c r="S721" s="32" t="s">
        <v>3297</v>
      </c>
      <c r="T721" s="14" t="s">
        <v>3000</v>
      </c>
      <c r="U721" s="3" t="s">
        <v>3283</v>
      </c>
      <c r="W721" s="57" t="s">
        <v>114</v>
      </c>
      <c r="X721" t="str">
        <f>DataItems3[[#This Row],[Collection]]&amp;DataItems3[[#This Row],[Field]]&amp;DataItems3[[#This Row],[Options for supplying the Field]]&amp;DataItems3[[#This Row],[Fieldname]]&amp;DataItems3[[#This Row],[Parent]]</f>
        <v>StudentSubject of module(CAH3) (2012/13 - 2018/19 only)F_MODSBJ_CAH3_MAP</v>
      </c>
      <c r="Y721" s="4">
        <v>44974</v>
      </c>
      <c r="Z721" t="s">
        <v>2875</v>
      </c>
      <c r="AA721" s="28" t="str">
        <f t="shared" si="104"/>
        <v>CASE WHEN (s.DW_FromDate BETWEEN 20120801 AND 20180801 AND (cc.F_MODSBJ IN ( '', ' ' ) OR cc.F_MODSBJ IS NULL)) THEN 'Unknown' WHEN s.DW_FromDate BETWEEN 20120801 AND 20180801 THEN ISNULL(mcahjacs.[CAH3 (Code only)], 'Unknown') ELSE 'Not applicable' END</v>
      </c>
      <c r="AB721" s="28" t="str">
        <f t="shared" si="110"/>
        <v>CASE WHEN (s.DW_FromDate BETWEEN 20120801 AND 20180801 AND (cc.F_MODSBJ IN ( '', ' ' ) OR cc.F_MODSBJ IS NULL)) THEN 'Unknown' WHEN s.DW_FromDate BETWEEN 20120801 AND 20180801 THEN ISNULL(mcahjacs.[CAH3], 'Unknown') ELSE 'Not applicable' END</v>
      </c>
      <c r="AC721" s="28"/>
      <c r="AD721" s="28"/>
      <c r="AE721" t="str">
        <f t="shared" si="108"/>
        <v>[Subject of module]</v>
      </c>
    </row>
    <row r="722" spans="1:32" ht="32" x14ac:dyDescent="0.2">
      <c r="A722">
        <v>100834</v>
      </c>
      <c r="B722" s="11" t="str">
        <f>DataItems3[[#This Row],[Field]]&amp;IF(DataItems3[[#This Row],[Options for supplying the Field]]="",""," "&amp;DataItems3[[#This Row],[Options for supplying the Field]])</f>
        <v>Subject of module (HECoS) (2019/20 onwards)</v>
      </c>
      <c r="C722">
        <v>100834</v>
      </c>
      <c r="D722" s="3" t="s">
        <v>86</v>
      </c>
      <c r="E722" s="3" t="s">
        <v>89</v>
      </c>
      <c r="F722" s="3" t="s">
        <v>2427</v>
      </c>
      <c r="G722" s="13" t="s">
        <v>2443</v>
      </c>
      <c r="H722" s="13" t="s">
        <v>2444</v>
      </c>
      <c r="J722" s="3">
        <v>3</v>
      </c>
      <c r="K722" s="3">
        <v>5</v>
      </c>
      <c r="L722" s="3">
        <v>1</v>
      </c>
      <c r="M722" s="3">
        <v>0</v>
      </c>
      <c r="Q722" s="31" t="s">
        <v>2445</v>
      </c>
      <c r="R722" s="76" t="s">
        <v>3000</v>
      </c>
      <c r="S722" s="32" t="s">
        <v>2446</v>
      </c>
      <c r="T722" s="14" t="s">
        <v>3000</v>
      </c>
      <c r="U722" s="3" t="s">
        <v>2447</v>
      </c>
      <c r="W722" s="57" t="s">
        <v>114</v>
      </c>
      <c r="X722" t="str">
        <f>DataItems3[[#This Row],[Collection]]&amp;DataItems3[[#This Row],[Field]]&amp;DataItems3[[#This Row],[Options for supplying the Field]]&amp;DataItems3[[#This Row],[Fieldname]]&amp;DataItems3[[#This Row],[Parent]]</f>
        <v>StudentSubject of module(HECoS) (2019/20 onwards)F_XHECOS</v>
      </c>
      <c r="Y722" s="4">
        <v>44481</v>
      </c>
      <c r="Z722" t="s">
        <v>135</v>
      </c>
      <c r="AA722" s="28" t="str">
        <f t="shared" si="104"/>
        <v>case WHEN (s.DW_FromDate &gt;= 20190801 AND (cc.F_MODSBJ IN ('',' ') OR cc.F_MODSBJ IS NULL)) THEN 'Unknown' when s.DW_FromDate &gt;= 20190801 then cast(cc.F_MODSBJ as varchar) else 'Not applicable before 2019/20' end</v>
      </c>
      <c r="AB722" s="28" t="str">
        <f>IF(S722="","",IF(IFERROR(SEARCH("select",S722)&gt;0,0),IF(U722="",IF(MID(S722,SEARCH(H722,S722)-4,1)=" ",MID(S722,SEARCH(H722,S722)-2,LEN(O735)+2),MID(S722,SEARCH(H722,S722)-3,LEN(H722)+3)),U722&amp;"."&amp;H722),S722))</f>
        <v>case WHEN (s.DW_FromDate &gt;= 20190801 AND (cc.F_MODSBJ IN ('',' ') OR cc.F_MODSBJ IS NULL)) THEN 'Unknown' when s.DW_FromDate &gt;= 20190801 then hmodsj.dw_currentlabel else 'Not applicable before 2019/20' end</v>
      </c>
      <c r="AC722" s="28"/>
      <c r="AD722" s="28"/>
      <c r="AE722" t="str">
        <f t="shared" si="108"/>
        <v>[Subject of module]</v>
      </c>
    </row>
    <row r="723" spans="1:32" ht="16" x14ac:dyDescent="0.2">
      <c r="A723">
        <v>100555</v>
      </c>
      <c r="B723" s="11" t="str">
        <f>DataItems3[[#This Row],[Field]]&amp;IF(DataItems3[[#This Row],[Options for supplying the Field]]="",""," "&amp;DataItems3[[#This Row],[Options for supplying the Field]])</f>
        <v>Subject of module (Principal subject 2.0)</v>
      </c>
      <c r="C723">
        <v>100555</v>
      </c>
      <c r="D723" s="3" t="s">
        <v>86</v>
      </c>
      <c r="E723" s="3" t="s">
        <v>89</v>
      </c>
      <c r="F723" s="3" t="s">
        <v>2427</v>
      </c>
      <c r="G723" s="13" t="s">
        <v>2448</v>
      </c>
      <c r="H723" s="14" t="s">
        <v>2449</v>
      </c>
      <c r="J723" s="3">
        <v>3</v>
      </c>
      <c r="K723" s="3">
        <v>4</v>
      </c>
      <c r="L723" s="3">
        <v>0</v>
      </c>
      <c r="M723" s="3">
        <v>0</v>
      </c>
      <c r="N723" s="3" t="s">
        <v>89</v>
      </c>
      <c r="Q723" s="32" t="s">
        <v>2450</v>
      </c>
      <c r="R723" s="76" t="s">
        <v>3000</v>
      </c>
      <c r="S723" s="32" t="s">
        <v>2451</v>
      </c>
      <c r="T723" s="14" t="s">
        <v>3000</v>
      </c>
      <c r="U723" s="3" t="s">
        <v>2438</v>
      </c>
      <c r="V723" s="3" t="s">
        <v>93</v>
      </c>
      <c r="W723" s="57" t="s">
        <v>114</v>
      </c>
      <c r="X723" t="str">
        <f>DataItems3[[#This Row],[Collection]]&amp;DataItems3[[#This Row],[Field]]&amp;DataItems3[[#This Row],[Options for supplying the Field]]&amp;DataItems3[[#This Row],[Fieldname]]&amp;DataItems3[[#This Row],[Parent]]</f>
        <v>StudentSubject of module(Principal subject 2.0)F_XJACS201</v>
      </c>
      <c r="Y723" s="15">
        <v>43684</v>
      </c>
      <c r="Z723" t="s">
        <v>95</v>
      </c>
      <c r="AA723" s="28" t="str">
        <f t="shared" si="104"/>
        <v xml:space="preserve">case when s.DW_FromDate between 20070801 and 20110801 then cc.F_XJACS201 else 'Not applicable 2012/13 onwards' end </v>
      </c>
      <c r="AB723" s="28" t="str">
        <f>IF(S723="","",IF(IFERROR(SEARCH("select",S723)&gt;0,0),IF(U723="",IF(MID(S723,SEARCH(H723,S723)-4,1)=" ",MID(S723,SEARCH(H723,S723)-2,LEN(O736)+2),MID(S723,SEARCH(H723,S723)-3,LEN(H723)+3)),U723&amp;"."&amp;H723),S723))</f>
        <v>iif(s.DW_FromDate between 20070801 and 20110801,pmodsj.dw_currentlabel,'Not applicable 2012/12 onwards')</v>
      </c>
      <c r="AC723" s="28"/>
      <c r="AD723" s="28"/>
      <c r="AE723" t="str">
        <f t="shared" si="108"/>
        <v>[Subject of module]</v>
      </c>
    </row>
    <row r="724" spans="1:32" ht="32" x14ac:dyDescent="0.2">
      <c r="A724">
        <v>100738</v>
      </c>
      <c r="B724" s="29" t="str">
        <f>DataItems3[[#This Row],[Field]]&amp;IF(DataItems3[[#This Row],[Options for supplying the Field]]="",""," "&amp;DataItems3[[#This Row],[Options for supplying the Field]])</f>
        <v>Subject of study (CAH1) (2019/20 onwards)</v>
      </c>
      <c r="C724">
        <v>100738</v>
      </c>
      <c r="D724" s="3" t="s">
        <v>86</v>
      </c>
      <c r="E724" s="3" t="s">
        <v>106</v>
      </c>
      <c r="F724" s="3" t="s">
        <v>2452</v>
      </c>
      <c r="G724" s="13" t="s">
        <v>2453</v>
      </c>
      <c r="H724" s="13" t="s">
        <v>2454</v>
      </c>
      <c r="I724" s="13"/>
      <c r="J724" s="3">
        <v>2</v>
      </c>
      <c r="K724" s="3">
        <v>3</v>
      </c>
      <c r="L724" s="3">
        <v>0</v>
      </c>
      <c r="M724" s="3">
        <v>0</v>
      </c>
      <c r="Q724" s="31" t="s">
        <v>2455</v>
      </c>
      <c r="R724" s="31" t="s">
        <v>2455</v>
      </c>
      <c r="S724" s="31" t="s">
        <v>2456</v>
      </c>
      <c r="T724" s="28" t="s">
        <v>2456</v>
      </c>
      <c r="U724" s="3" t="s">
        <v>2457</v>
      </c>
      <c r="W724" s="57" t="s">
        <v>134</v>
      </c>
      <c r="X724" t="str">
        <f>DataItems3[[#This Row],[Collection]]&amp;DataItems3[[#This Row],[Field]]&amp;DataItems3[[#This Row],[Options for supplying the Field]]&amp;DataItems3[[#This Row],[Fieldname]]&amp;DataItems3[[#This Row],[Parent]]</f>
        <v>StudentSubject of study(CAH1) (2019/20 onwards)F_XCAH01</v>
      </c>
      <c r="Y724" s="15">
        <v>44161</v>
      </c>
      <c r="Z724" t="s">
        <v>776</v>
      </c>
      <c r="AA724" s="28" t="str">
        <f t="shared" si="104"/>
        <v xml:space="preserve">case when s.DW_FromDate &gt;= 20190801 then IIF(dsj.f_xcah03_1_3_4='CAH26-01-03','CAH26-01-03',dsj.f_xcah01_1_3_4) else 'N/A' end </v>
      </c>
      <c r="AB724" s="28" t="str">
        <f t="shared" ref="AB724:AB780" si="111">IF(S724="","",IF(IFERROR(SEARCH("select",S724)&gt;0,0),IF(U724="",IF(MID(S724,SEARCH(H724,S724)-4,1)=" ",MID(S724,SEARCH(H724,S724)-2,LEN(O733)+2),MID(S724,SEARCH(H724,S724)-3,LEN(H724)+3)),U724&amp;"."&amp;H724),S724))</f>
        <v>case when s.DW_FromDate &gt;= 20190801 then iif(dsj.f_xcah03_1_3_4='CAH26-01-03','(CAH26) Geography, Earth and Environmental Studies(social sciences)',IIF(dsj.f_xcah01_1_3_4='CAH26','(CAH26) Geography, Earth and Environmental Studies(natural sciences)',cah1.dw_currentlabel)) else 'Not applicable' end</v>
      </c>
      <c r="AC724" s="28" t="str">
        <f t="shared" ref="AC724:AC787" si="112">IF(R724="","",R724)</f>
        <v xml:space="preserve">case when s.DW_FromDate &gt;= 20190801 then IIF(dsj.f_xcah03_1_3_4='CAH26-01-03','CAH26-01-03',dsj.f_xcah01_1_3_4) else 'N/A' end </v>
      </c>
      <c r="AD724" s="28" t="str">
        <f t="shared" ref="AD724:AD780" si="113">IF(T724="","",IF(IFERROR(SEARCH("select",T724)&gt;0,0),IF(U724="",IF(MID(T724,SEARCH(H724,T724)-4,1)=" ",MID(T724,SEARCH(H724,T724)-2,LEN(O733)+2),MID(T724,SEARCH(H724,T724)-3,LEN(H724)+3)),U724&amp;"."&amp;H724),T724))</f>
        <v>case when s.DW_FromDate &gt;= 20190801 then iif(dsj.f_xcah03_1_3_4='CAH26-01-03','(CAH26) Geography, Earth and Environmental Studies(social sciences)',IIF(dsj.f_xcah01_1_3_4='CAH26','(CAH26) Geography, Earth and Environmental Studies(natural sciences)',cah1.dw_currentlabel)) else 'Not applicable' end</v>
      </c>
      <c r="AE724" t="str">
        <f t="shared" si="108"/>
        <v>[Subject of study]</v>
      </c>
      <c r="AF724">
        <v>101012</v>
      </c>
    </row>
    <row r="725" spans="1:32" ht="32" x14ac:dyDescent="0.2">
      <c r="A725">
        <v>100759</v>
      </c>
      <c r="B725" s="11" t="str">
        <f>DataItems3[[#This Row],[Field]]&amp;IF(DataItems3[[#This Row],[Options for supplying the Field]]="",""," "&amp;DataItems3[[#This Row],[Options for supplying the Field]])</f>
        <v>Subject of study (CAH1) (2012/13-2018/19)</v>
      </c>
      <c r="C725">
        <v>100759</v>
      </c>
      <c r="D725" s="3" t="s">
        <v>86</v>
      </c>
      <c r="E725" s="3" t="s">
        <v>106</v>
      </c>
      <c r="F725" s="3" t="s">
        <v>2452</v>
      </c>
      <c r="G725" s="13" t="s">
        <v>2458</v>
      </c>
      <c r="H725" s="13" t="s">
        <v>2459</v>
      </c>
      <c r="J725" s="3">
        <v>2</v>
      </c>
      <c r="K725" s="3">
        <v>3</v>
      </c>
      <c r="L725" s="3">
        <v>0</v>
      </c>
      <c r="M725" s="3">
        <v>0</v>
      </c>
      <c r="N725" s="3" t="s">
        <v>89</v>
      </c>
      <c r="Q725" s="32" t="s">
        <v>2460</v>
      </c>
      <c r="R725" s="32" t="s">
        <v>2460</v>
      </c>
      <c r="S725" s="32" t="s">
        <v>3298</v>
      </c>
      <c r="T725" s="16" t="s">
        <v>2461</v>
      </c>
      <c r="U725" s="3" t="s">
        <v>2462</v>
      </c>
      <c r="W725" s="57" t="s">
        <v>134</v>
      </c>
      <c r="X725" t="str">
        <f>DataItems3[[#This Row],[Collection]]&amp;DataItems3[[#This Row],[Field]]&amp;DataItems3[[#This Row],[Options for supplying the Field]]&amp;DataItems3[[#This Row],[Fieldname]]&amp;DataItems3[[#This Row],[Parent]]</f>
        <v>StudentSubject of study(CAH1) (2012/13-2018/19)F_XCAH01_MAP</v>
      </c>
      <c r="Y725" s="4">
        <v>44222</v>
      </c>
      <c r="Z725" t="s">
        <v>2463</v>
      </c>
      <c r="AA725" s="28" t="str">
        <f t="shared" si="104"/>
        <v>CASE WHEN s.DW_FromDate&lt;20190801 and s.DW_FromDate&gt;=20120801 THEN  IIF(cahjacs.[CAH3 (Code only)]='CAH26-01-03', 'CAH26-01-03', cahjacs.[CAH1 (Code only)]) ELSE 'N/A' END</v>
      </c>
      <c r="AB725" s="28" t="str">
        <f t="shared" si="111"/>
        <v>CASE WHEN s.DW_FromDate&lt;20190801 and s.DW_FromDate&gt;=20120801 THEN  IIF(cahjacs.[CAH3 (Code only)]='CAH26-01-03','(CAH26) Geography, Earth and Environmental Studies(social sciences)', IIF(cahjacs.[CAH1 (Code only)]='CAH26','(CAH26) Geography, Earth and Environmental Studies(natural sciences)',replace(cahjacs.[CAH1],'"','')) ELSE 'Not applicable' END</v>
      </c>
      <c r="AC725" s="28" t="str">
        <f t="shared" si="112"/>
        <v>CASE WHEN s.DW_FromDate&lt;20190801 and s.DW_FromDate&gt;=20120801 THEN  IIF(cahjacs.[CAH3 (Code only)]='CAH26-01-03', 'CAH26-01-03', cahjacs.[CAH1 (Code only)]) ELSE 'N/A' END</v>
      </c>
      <c r="AD725" s="28" t="str">
        <f t="shared" si="113"/>
        <v>CASE WHEN s.DW_FromDate&lt;20190801 and s.DW_FromDate&gt;=20120801 THEN  IIF(cahjacs.[CAH3 (Code only)]='CAH26-01-03','(CAH26) Geography, Earth and Environmental Studies(social sciences)', replace(cahjacs.[CAH1],'"','')) ELSE 'Not applicable' END</v>
      </c>
      <c r="AE725" t="str">
        <f t="shared" si="108"/>
        <v>[Subject of study]</v>
      </c>
    </row>
    <row r="726" spans="1:32" ht="32" x14ac:dyDescent="0.2">
      <c r="A726">
        <v>100739</v>
      </c>
      <c r="B726" s="29" t="str">
        <f>DataItems3[[#This Row],[Field]]&amp;IF(DataItems3[[#This Row],[Options for supplying the Field]]="",""," "&amp;DataItems3[[#This Row],[Options for supplying the Field]])</f>
        <v>Subject of study (CAH2) (2019/20 onwards)</v>
      </c>
      <c r="C726">
        <v>100739</v>
      </c>
      <c r="D726" s="3" t="s">
        <v>86</v>
      </c>
      <c r="E726" s="3" t="s">
        <v>106</v>
      </c>
      <c r="F726" s="3" t="s">
        <v>2452</v>
      </c>
      <c r="G726" s="13" t="s">
        <v>2464</v>
      </c>
      <c r="H726" s="13" t="s">
        <v>2465</v>
      </c>
      <c r="I726" s="13"/>
      <c r="J726" s="3">
        <v>2</v>
      </c>
      <c r="K726" s="3">
        <v>4</v>
      </c>
      <c r="L726" s="3">
        <v>0</v>
      </c>
      <c r="M726" s="3">
        <v>0</v>
      </c>
      <c r="Q726" s="31" t="s">
        <v>2466</v>
      </c>
      <c r="R726" s="31" t="s">
        <v>2466</v>
      </c>
      <c r="S726" s="31" t="s">
        <v>2467</v>
      </c>
      <c r="T726" s="28" t="s">
        <v>2467</v>
      </c>
      <c r="U726" s="3" t="s">
        <v>2468</v>
      </c>
      <c r="W726" s="57" t="s">
        <v>134</v>
      </c>
      <c r="X726" t="str">
        <f>DataItems3[[#This Row],[Collection]]&amp;DataItems3[[#This Row],[Field]]&amp;DataItems3[[#This Row],[Options for supplying the Field]]&amp;DataItems3[[#This Row],[Fieldname]]&amp;DataItems3[[#This Row],[Parent]]</f>
        <v>StudentSubject of study(CAH2) (2019/20 onwards)F_XCAH02</v>
      </c>
      <c r="Y726" s="15">
        <v>44161</v>
      </c>
      <c r="Z726" t="s">
        <v>776</v>
      </c>
      <c r="AA726" s="28" t="str">
        <f t="shared" si="104"/>
        <v>case when s.DW_FromDate &gt;= 20190801 then IIF(dsj.f_xcah03_1_3_4='CAH26-01-03','CAH26-01-03',dsj.f_xcah02_1_3_4) ELSE 'N/A' end</v>
      </c>
      <c r="AB726" s="28" t="str">
        <f t="shared" si="111"/>
        <v>case when s.DW_FromDate &gt;= 20190801 then iif(dsj.f_xcah03_1_3_4='CAH26-01-03','(CAH26-01) Geography, Earth and Environmental Studies(social sciences)',IIF(dsj.f_xcah01_1_3_4='CAH26','(CAH26-01) Geography, Earth and Environmental Studies(natural sciences)',cah2.dw_currentlabel))  else 'Not applicable' end</v>
      </c>
      <c r="AC726" s="28" t="str">
        <f t="shared" si="112"/>
        <v>case when s.DW_FromDate &gt;= 20190801 then IIF(dsj.f_xcah03_1_3_4='CAH26-01-03','CAH26-01-03',dsj.f_xcah02_1_3_4) ELSE 'N/A' end</v>
      </c>
      <c r="AD726" s="28" t="str">
        <f t="shared" si="113"/>
        <v>case when s.DW_FromDate &gt;= 20190801 then iif(dsj.f_xcah03_1_3_4='CAH26-01-03','(CAH26-01) Geography, Earth and Environmental Studies(social sciences)',IIF(dsj.f_xcah01_1_3_4='CAH26','(CAH26-01) Geography, Earth and Environmental Studies(natural sciences)',cah2.dw_currentlabel))  else 'Not applicable' end</v>
      </c>
      <c r="AE726" t="str">
        <f t="shared" si="108"/>
        <v>[Subject of study]</v>
      </c>
      <c r="AF726">
        <v>101011</v>
      </c>
    </row>
    <row r="727" spans="1:32" ht="32" x14ac:dyDescent="0.2">
      <c r="A727">
        <v>100764</v>
      </c>
      <c r="B727" s="11" t="str">
        <f>DataItems3[[#This Row],[Field]]&amp;IF(DataItems3[[#This Row],[Options for supplying the Field]]="",""," "&amp;DataItems3[[#This Row],[Options for supplying the Field]])</f>
        <v>Subject of study (CAH2) (2012/13-2018/19)</v>
      </c>
      <c r="C727">
        <v>100764</v>
      </c>
      <c r="D727" s="3" t="s">
        <v>86</v>
      </c>
      <c r="E727" s="3" t="s">
        <v>106</v>
      </c>
      <c r="F727" s="3" t="s">
        <v>2452</v>
      </c>
      <c r="G727" s="13" t="s">
        <v>2469</v>
      </c>
      <c r="H727" s="13" t="s">
        <v>2470</v>
      </c>
      <c r="J727" s="3">
        <v>2</v>
      </c>
      <c r="K727" s="17">
        <v>4</v>
      </c>
      <c r="L727" s="3">
        <v>0</v>
      </c>
      <c r="M727" s="3">
        <v>0</v>
      </c>
      <c r="N727" s="3" t="s">
        <v>89</v>
      </c>
      <c r="P727" s="17"/>
      <c r="Q727" s="32" t="s">
        <v>2471</v>
      </c>
      <c r="R727" s="16" t="s">
        <v>2471</v>
      </c>
      <c r="S727" s="32" t="s">
        <v>3299</v>
      </c>
      <c r="T727" s="16" t="s">
        <v>2472</v>
      </c>
      <c r="U727" s="3" t="s">
        <v>2462</v>
      </c>
      <c r="W727" s="57" t="s">
        <v>134</v>
      </c>
      <c r="X727" t="str">
        <f>DataItems3[[#This Row],[Collection]]&amp;DataItems3[[#This Row],[Field]]&amp;DataItems3[[#This Row],[Options for supplying the Field]]&amp;DataItems3[[#This Row],[Fieldname]]&amp;DataItems3[[#This Row],[Parent]]</f>
        <v>StudentSubject of study(CAH2) (2012/13-2018/19)F_XCAH02_MAP</v>
      </c>
      <c r="Y727" s="4">
        <v>44237</v>
      </c>
      <c r="Z727" t="s">
        <v>2055</v>
      </c>
      <c r="AA727" s="28" t="str">
        <f t="shared" si="104"/>
        <v>CASE WHEN s.DW_FromDate&lt;20190801 and s.DW_FromDate&gt;=20120801 THEN  IIF(cahjacs.[CAH3 (Code only)]='CAH26-01-03', 'CAH26-01-03', cahjacs.[CAH2 (Code only)]) ELSE 'N/A' END</v>
      </c>
      <c r="AB727" s="28" t="str">
        <f t="shared" si="111"/>
        <v>CASE WHEN s.DW_FromDate&lt;20190801 and s.DW_FromDate&gt;=20120801 THEN  IIF(cahjacs.[CAH3 (Code only)]='CAH26-01-03','(CAH26-01) Geography, Earth and Environmental Studies(social sciences)', IIF(cahjacs.[CAH2 (Code only)]='CAH26-01','(CAH26-01) Geography, Earth and Environmental Studies(natural sciences)',replace(cahjacs.[CAH2],'"','')) ELSE 'Not applicable' END</v>
      </c>
      <c r="AC727" s="28" t="str">
        <f t="shared" si="112"/>
        <v>CASE WHEN s.DW_FromDate&lt;20190801 and s.DW_FromDate&gt;=20120801 THEN  IIF(cahjacs.[CAH3 (Code only)]='CAH26-01-03', 'CAH26-01-03', cahjacs.[CAH2 (Code only)]) ELSE 'N/A' END</v>
      </c>
      <c r="AD727" s="28" t="str">
        <f t="shared" si="113"/>
        <v>CASE WHEN s.DW_FromDate&lt;20190801 and s.DW_FromDate&gt;=20120801 THEN  IIF(cahjacs.[CAH3 (Code only)]='CAH26-01-03','(CAH26) Geography, Earth and Environmental Studies(social sciences)', replace(cahjacs.[CAH2],'"','')) ELSE 'Not applicable' END</v>
      </c>
      <c r="AE727" t="str">
        <f t="shared" si="108"/>
        <v>[Subject of study]</v>
      </c>
    </row>
    <row r="728" spans="1:32" ht="32" x14ac:dyDescent="0.2">
      <c r="A728">
        <v>100740</v>
      </c>
      <c r="B728" s="29" t="str">
        <f>DataItems3[[#This Row],[Field]]&amp;IF(DataItems3[[#This Row],[Options for supplying the Field]]="",""," "&amp;DataItems3[[#This Row],[Options for supplying the Field]])</f>
        <v>Subject of study (CAH3) (2019/20 onwards)</v>
      </c>
      <c r="C728">
        <v>100740</v>
      </c>
      <c r="D728" s="3" t="s">
        <v>86</v>
      </c>
      <c r="E728" s="3" t="s">
        <v>106</v>
      </c>
      <c r="F728" s="3" t="s">
        <v>2452</v>
      </c>
      <c r="G728" s="13" t="s">
        <v>2473</v>
      </c>
      <c r="H728" s="13" t="s">
        <v>2474</v>
      </c>
      <c r="I728" s="13"/>
      <c r="J728" s="3">
        <v>2</v>
      </c>
      <c r="K728" s="3">
        <v>5</v>
      </c>
      <c r="L728" s="3">
        <v>0</v>
      </c>
      <c r="M728" s="3">
        <v>0</v>
      </c>
      <c r="Q728" s="31" t="s">
        <v>2475</v>
      </c>
      <c r="R728" s="31" t="s">
        <v>2475</v>
      </c>
      <c r="S728" s="31" t="s">
        <v>2476</v>
      </c>
      <c r="T728" s="28" t="s">
        <v>2476</v>
      </c>
      <c r="U728" s="3" t="s">
        <v>2477</v>
      </c>
      <c r="W728" s="57" t="s">
        <v>134</v>
      </c>
      <c r="X728" t="str">
        <f>DataItems3[[#This Row],[Collection]]&amp;DataItems3[[#This Row],[Field]]&amp;DataItems3[[#This Row],[Options for supplying the Field]]&amp;DataItems3[[#This Row],[Fieldname]]&amp;DataItems3[[#This Row],[Parent]]</f>
        <v>StudentSubject of study(CAH3) (2019/20 onwards)F_XCAH03</v>
      </c>
      <c r="Y728" s="15">
        <v>44161</v>
      </c>
      <c r="Z728" t="s">
        <v>776</v>
      </c>
      <c r="AA728" s="28" t="str">
        <f t="shared" si="104"/>
        <v>case when s.DW_FromDate &gt;= 20190801 then dsj.f_xcah03_1_3_4 else 'N/A' end</v>
      </c>
      <c r="AB728" s="28" t="str">
        <f t="shared" si="111"/>
        <v>iif(s.DW_FromDate &gt;= 20190801,cah3.dw_currentlabel,'Not applicable')</v>
      </c>
      <c r="AC728" s="28" t="str">
        <f t="shared" si="112"/>
        <v>case when s.DW_FromDate &gt;= 20190801 then dsj.f_xcah03_1_3_4 else 'N/A' end</v>
      </c>
      <c r="AD728" s="28" t="str">
        <f t="shared" si="113"/>
        <v>iif(s.DW_FromDate &gt;= 20190801,cah3.dw_currentlabel,'Not applicable')</v>
      </c>
      <c r="AE728" t="str">
        <f t="shared" si="108"/>
        <v>[Subject of study]</v>
      </c>
      <c r="AF728">
        <v>101010</v>
      </c>
    </row>
    <row r="729" spans="1:32" ht="32" x14ac:dyDescent="0.2">
      <c r="A729">
        <v>100765</v>
      </c>
      <c r="B729" s="11" t="str">
        <f>DataItems3[[#This Row],[Field]]&amp;IF(DataItems3[[#This Row],[Options for supplying the Field]]="",""," "&amp;DataItems3[[#This Row],[Options for supplying the Field]])</f>
        <v>Subject of study (CAH3) (2012/13-2018/19)</v>
      </c>
      <c r="C729">
        <v>100765</v>
      </c>
      <c r="D729" s="3" t="s">
        <v>86</v>
      </c>
      <c r="E729" s="3" t="s">
        <v>106</v>
      </c>
      <c r="F729" s="3" t="s">
        <v>2452</v>
      </c>
      <c r="G729" s="13" t="s">
        <v>2478</v>
      </c>
      <c r="H729" s="13" t="s">
        <v>2479</v>
      </c>
      <c r="J729" s="3">
        <v>2</v>
      </c>
      <c r="K729" s="17">
        <v>5</v>
      </c>
      <c r="L729" s="3">
        <v>0</v>
      </c>
      <c r="M729" s="3">
        <v>0</v>
      </c>
      <c r="N729" s="3" t="s">
        <v>89</v>
      </c>
      <c r="P729" s="17"/>
      <c r="Q729" s="32" t="s">
        <v>2480</v>
      </c>
      <c r="R729" s="16" t="s">
        <v>2480</v>
      </c>
      <c r="S729" s="32" t="s">
        <v>2481</v>
      </c>
      <c r="T729" s="16" t="s">
        <v>2481</v>
      </c>
      <c r="U729" s="3" t="s">
        <v>2462</v>
      </c>
      <c r="W729" s="57" t="s">
        <v>134</v>
      </c>
      <c r="X729" t="str">
        <f>DataItems3[[#This Row],[Collection]]&amp;DataItems3[[#This Row],[Field]]&amp;DataItems3[[#This Row],[Options for supplying the Field]]&amp;DataItems3[[#This Row],[Fieldname]]&amp;DataItems3[[#This Row],[Parent]]</f>
        <v>StudentSubject of study(CAH3) (2012/13-2018/19)F_XCAH03_MAP</v>
      </c>
      <c r="Y729" s="4">
        <v>44237</v>
      </c>
      <c r="Z729" t="s">
        <v>2055</v>
      </c>
      <c r="AA729" s="28" t="str">
        <f t="shared" si="104"/>
        <v>CASE WHEN s.DW_FromDate&lt;20190801 and s.DW_FromDate&gt;=20120801 THEN cahjacs.[CAH3 (Code only)]ELSE 'N/A' END</v>
      </c>
      <c r="AB729" s="28" t="str">
        <f t="shared" si="111"/>
        <v>CASE WHEN s.DW_FromDate&lt;20190801 and s.DW_FromDate&gt;=20120801 THEN replace(cahjacs.[CAH3],'"','') ELSE 'Not applicable' END</v>
      </c>
      <c r="AC729" s="28" t="str">
        <f t="shared" si="112"/>
        <v>CASE WHEN s.DW_FromDate&lt;20190801 and s.DW_FromDate&gt;=20120801 THEN cahjacs.[CAH3 (Code only)]ELSE 'N/A' END</v>
      </c>
      <c r="AD729" s="28" t="str">
        <f t="shared" si="113"/>
        <v>CASE WHEN s.DW_FromDate&lt;20190801 and s.DW_FromDate&gt;=20120801 THEN replace(cahjacs.[CAH3],'"','') ELSE 'Not applicable' END</v>
      </c>
      <c r="AE729" t="str">
        <f t="shared" si="108"/>
        <v>[Subject of study]</v>
      </c>
    </row>
    <row r="730" spans="1:32" ht="32" x14ac:dyDescent="0.2">
      <c r="A730">
        <v>100737</v>
      </c>
      <c r="B730" s="29" t="str">
        <f>DataItems3[[#This Row],[Field]]&amp;IF(DataItems3[[#This Row],[Options for supplying the Field]]="",""," "&amp;DataItems3[[#This Row],[Options for supplying the Field]])</f>
        <v>Subject of study (HECoS) (2019/20 onwards)</v>
      </c>
      <c r="C730">
        <v>100737</v>
      </c>
      <c r="D730" s="3" t="s">
        <v>86</v>
      </c>
      <c r="E730" s="3" t="s">
        <v>106</v>
      </c>
      <c r="F730" s="3" t="s">
        <v>2452</v>
      </c>
      <c r="G730" s="13" t="s">
        <v>2443</v>
      </c>
      <c r="H730" s="13" t="s">
        <v>2444</v>
      </c>
      <c r="I730" s="13"/>
      <c r="J730" s="3">
        <v>2</v>
      </c>
      <c r="K730" s="3">
        <v>8</v>
      </c>
      <c r="L730" s="3">
        <v>1</v>
      </c>
      <c r="M730" s="3">
        <v>0</v>
      </c>
      <c r="Q730" s="31" t="s">
        <v>2482</v>
      </c>
      <c r="R730" s="31" t="s">
        <v>2482</v>
      </c>
      <c r="S730" s="31" t="s">
        <v>2483</v>
      </c>
      <c r="T730" s="28" t="s">
        <v>2483</v>
      </c>
      <c r="U730" s="3" t="s">
        <v>2484</v>
      </c>
      <c r="W730" s="57" t="s">
        <v>114</v>
      </c>
      <c r="X730" t="str">
        <f>DataItems3[[#This Row],[Collection]]&amp;DataItems3[[#This Row],[Field]]&amp;DataItems3[[#This Row],[Options for supplying the Field]]&amp;DataItems3[[#This Row],[Fieldname]]&amp;DataItems3[[#This Row],[Parent]]</f>
        <v>StudentSubject of study(HECoS) (2019/20 onwards)F_XHECOS</v>
      </c>
      <c r="Y730" s="15">
        <v>44161</v>
      </c>
      <c r="Z730" t="s">
        <v>776</v>
      </c>
      <c r="AA730" s="28" t="str">
        <f t="shared" si="104"/>
        <v>case when s.DW_FromDate &gt;= 20190801 then cast(dsj.F_XHECOS as varchar) else 'N/A' end</v>
      </c>
      <c r="AB730" s="28" t="str">
        <f t="shared" si="111"/>
        <v>iif(s.DW_FromDate &gt;= 20190801,hecos.dw_currentlabel,'Not applicable')</v>
      </c>
      <c r="AC730" s="28" t="str">
        <f t="shared" si="112"/>
        <v>case when s.DW_FromDate &gt;= 20190801 then cast(dsj.F_XHECOS as varchar) else 'N/A' end</v>
      </c>
      <c r="AD730" s="28" t="str">
        <f t="shared" si="113"/>
        <v>iif(s.DW_FromDate &gt;= 20190801,hecos.dw_currentlabel,'Not applicable')</v>
      </c>
      <c r="AE730" t="str">
        <f t="shared" si="108"/>
        <v>[Subject of study]</v>
      </c>
      <c r="AF730">
        <v>101004</v>
      </c>
    </row>
    <row r="731" spans="1:32" ht="16" x14ac:dyDescent="0.2">
      <c r="A731">
        <v>100560</v>
      </c>
      <c r="B731" s="11" t="str">
        <f>DataItems3[[#This Row],[Field]]&amp;IF(DataItems3[[#This Row],[Options for supplying the Field]]="",""," "&amp;DataItems3[[#This Row],[Options for supplying the Field]])</f>
        <v>Subject of study (4 digit JACS 2.0)</v>
      </c>
      <c r="C731">
        <v>100560</v>
      </c>
      <c r="D731" s="3" t="s">
        <v>86</v>
      </c>
      <c r="E731" s="3" t="s">
        <v>106</v>
      </c>
      <c r="F731" s="3" t="s">
        <v>2452</v>
      </c>
      <c r="G731" s="13" t="s">
        <v>2428</v>
      </c>
      <c r="H731" s="14" t="s">
        <v>2485</v>
      </c>
      <c r="J731" s="3">
        <v>2</v>
      </c>
      <c r="K731" s="3">
        <v>8</v>
      </c>
      <c r="L731" s="3">
        <v>1</v>
      </c>
      <c r="M731" s="3">
        <v>0</v>
      </c>
      <c r="N731" s="3" t="s">
        <v>89</v>
      </c>
      <c r="Q731" s="32" t="s">
        <v>2486</v>
      </c>
      <c r="R731" s="32" t="s">
        <v>2486</v>
      </c>
      <c r="S731" s="32" t="s">
        <v>2487</v>
      </c>
      <c r="T731" s="16" t="s">
        <v>2487</v>
      </c>
      <c r="U731" s="3" t="s">
        <v>2488</v>
      </c>
      <c r="V731" s="3" t="s">
        <v>93</v>
      </c>
      <c r="W731" s="57" t="s">
        <v>482</v>
      </c>
      <c r="X731" t="str">
        <f>DataItems3[[#This Row],[Collection]]&amp;DataItems3[[#This Row],[Field]]&amp;DataItems3[[#This Row],[Options for supplying the Field]]&amp;DataItems3[[#This Row],[Fieldname]]&amp;DataItems3[[#This Row],[Parent]]</f>
        <v>StudentSubject of study(4 digit JACS 2.0)F_XJACS01</v>
      </c>
      <c r="Y731" s="15"/>
      <c r="AA731" s="28" t="str">
        <f t="shared" si="104"/>
        <v>case when s.DW_FromDate between 20070801 and 20110801 then dsj.f_xjacs01 else 'N/A' end</v>
      </c>
      <c r="AB731" s="28" t="str">
        <f t="shared" si="111"/>
        <v>iif(s.DW_FromDate between 20070801 and 20110801,jacs01.dw_currentlabel,'Not applicable')</v>
      </c>
      <c r="AC731" s="28" t="str">
        <f t="shared" si="112"/>
        <v>case when s.DW_FromDate between 20070801 and 20110801 then dsj.f_xjacs01 else 'N/A' end</v>
      </c>
      <c r="AD731" s="28" t="str">
        <f t="shared" si="113"/>
        <v>iif(s.DW_FromDate between 20070801 and 20110801,jacs01.dw_currentlabel,'Not applicable')</v>
      </c>
      <c r="AE731" t="str">
        <f t="shared" si="108"/>
        <v>[Subject of study]</v>
      </c>
    </row>
    <row r="732" spans="1:32" ht="16" x14ac:dyDescent="0.2">
      <c r="A732">
        <v>100561</v>
      </c>
      <c r="B732" s="11" t="str">
        <f>DataItems3[[#This Row],[Field]]&amp;IF(DataItems3[[#This Row],[Options for supplying the Field]]="",""," "&amp;DataItems3[[#This Row],[Options for supplying the Field]])</f>
        <v>Subject of study (4 digit JACS 3.0)</v>
      </c>
      <c r="C732">
        <v>100561</v>
      </c>
      <c r="D732" s="3" t="s">
        <v>86</v>
      </c>
      <c r="E732" s="3" t="s">
        <v>106</v>
      </c>
      <c r="F732" s="3" t="s">
        <v>2452</v>
      </c>
      <c r="G732" s="13" t="s">
        <v>1863</v>
      </c>
      <c r="H732" s="14" t="s">
        <v>2485</v>
      </c>
      <c r="J732" s="3">
        <v>2</v>
      </c>
      <c r="K732" s="3">
        <v>8</v>
      </c>
      <c r="L732" s="3">
        <v>1</v>
      </c>
      <c r="M732" s="3">
        <v>0</v>
      </c>
      <c r="N732" s="3" t="s">
        <v>89</v>
      </c>
      <c r="Q732" s="28" t="s">
        <v>2489</v>
      </c>
      <c r="R732" s="28" t="s">
        <v>2489</v>
      </c>
      <c r="S732" s="31" t="s">
        <v>2490</v>
      </c>
      <c r="T732" s="28" t="s">
        <v>2490</v>
      </c>
      <c r="U732" s="3" t="s">
        <v>2488</v>
      </c>
      <c r="V732" s="3" t="s">
        <v>93</v>
      </c>
      <c r="W732" s="57" t="s">
        <v>482</v>
      </c>
      <c r="X732" t="str">
        <f>DataItems3[[#This Row],[Collection]]&amp;DataItems3[[#This Row],[Field]]&amp;DataItems3[[#This Row],[Options for supplying the Field]]&amp;DataItems3[[#This Row],[Fieldname]]&amp;DataItems3[[#This Row],[Parent]]</f>
        <v>StudentSubject of study(4 digit JACS 3.0)F_XJACS01</v>
      </c>
      <c r="Y732" s="15"/>
      <c r="AA732" s="28" t="str">
        <f t="shared" si="104"/>
        <v>case when s.DW_FromDate between 20120801 and 20180801 then dsj.F_XJACS01 else 'N/A' end</v>
      </c>
      <c r="AB732" s="28" t="str">
        <f t="shared" si="111"/>
        <v>iif(s.DW_FromDate between 20120801 and 20180801,jacs01.dw_currentlabel,'Not applicable')</v>
      </c>
      <c r="AC732" s="28" t="str">
        <f t="shared" si="112"/>
        <v>case when s.DW_FromDate between 20120801 and 20180801 then dsj.F_XJACS01 else 'N/A' end</v>
      </c>
      <c r="AD732" s="28" t="str">
        <f t="shared" si="113"/>
        <v>iif(s.DW_FromDate between 20120801 and 20180801,jacs01.dw_currentlabel,'Not applicable')</v>
      </c>
      <c r="AE732" t="str">
        <f t="shared" si="108"/>
        <v>[Subject of study]</v>
      </c>
    </row>
    <row r="733" spans="1:32" ht="16" x14ac:dyDescent="0.2">
      <c r="A733">
        <v>100562</v>
      </c>
      <c r="B733" s="11" t="str">
        <f>DataItems3[[#This Row],[Field]]&amp;IF(DataItems3[[#This Row],[Options for supplying the Field]]="",""," "&amp;DataItems3[[#This Row],[Options for supplying the Field]])</f>
        <v>Subject of study (4 digit JACS)</v>
      </c>
      <c r="C733">
        <v>100562</v>
      </c>
      <c r="D733" s="3" t="s">
        <v>86</v>
      </c>
      <c r="E733" s="3" t="s">
        <v>106</v>
      </c>
      <c r="F733" s="3" t="s">
        <v>2452</v>
      </c>
      <c r="G733" s="13" t="s">
        <v>2491</v>
      </c>
      <c r="H733" s="14" t="s">
        <v>2485</v>
      </c>
      <c r="J733" s="3">
        <v>2</v>
      </c>
      <c r="K733" s="3">
        <v>8</v>
      </c>
      <c r="L733" s="3">
        <v>1</v>
      </c>
      <c r="M733" s="3">
        <v>0</v>
      </c>
      <c r="N733" s="3" t="s">
        <v>89</v>
      </c>
      <c r="Q733" s="28" t="s">
        <v>2489</v>
      </c>
      <c r="R733" s="28" t="s">
        <v>2489</v>
      </c>
      <c r="S733" s="31" t="s">
        <v>2490</v>
      </c>
      <c r="T733" s="28" t="s">
        <v>2490</v>
      </c>
      <c r="U733" s="3" t="s">
        <v>2488</v>
      </c>
      <c r="V733" s="3" t="s">
        <v>93</v>
      </c>
      <c r="W733" s="57" t="s">
        <v>482</v>
      </c>
      <c r="X733" t="str">
        <f>DataItems3[[#This Row],[Collection]]&amp;DataItems3[[#This Row],[Field]]&amp;DataItems3[[#This Row],[Options for supplying the Field]]&amp;DataItems3[[#This Row],[Fieldname]]&amp;DataItems3[[#This Row],[Parent]]</f>
        <v>StudentSubject of study(4 digit JACS)F_XJACS01</v>
      </c>
      <c r="Y733" s="15"/>
      <c r="AA733" s="28" t="str">
        <f t="shared" si="104"/>
        <v>case when s.DW_FromDate between 20120801 and 20180801 then dsj.F_XJACS01 else 'N/A' end</v>
      </c>
      <c r="AB733" s="28" t="str">
        <f t="shared" si="111"/>
        <v>iif(s.DW_FromDate between 20120801 and 20180801,jacs01.dw_currentlabel,'Not applicable')</v>
      </c>
      <c r="AC733" s="28" t="str">
        <f t="shared" si="112"/>
        <v>case when s.DW_FromDate between 20120801 and 20180801 then dsj.F_XJACS01 else 'N/A' end</v>
      </c>
      <c r="AD733" s="28" t="str">
        <f t="shared" si="113"/>
        <v>iif(s.DW_FromDate between 20120801 and 20180801,jacs01.dw_currentlabel,'Not applicable')</v>
      </c>
      <c r="AE733" t="str">
        <f t="shared" si="108"/>
        <v>[Subject of study]</v>
      </c>
    </row>
    <row r="734" spans="1:32" ht="32" x14ac:dyDescent="0.2">
      <c r="A734">
        <v>100564</v>
      </c>
      <c r="B734" s="11" t="str">
        <f>DataItems3[[#This Row],[Field]]&amp;IF(DataItems3[[#This Row],[Options for supplying the Field]]="",""," "&amp;DataItems3[[#This Row],[Options for supplying the Field]])</f>
        <v>Subject of study (Principal subject JACS 2.0)</v>
      </c>
      <c r="C734">
        <v>100564</v>
      </c>
      <c r="D734" s="3" t="s">
        <v>86</v>
      </c>
      <c r="E734" s="3" t="s">
        <v>106</v>
      </c>
      <c r="F734" s="3" t="s">
        <v>2452</v>
      </c>
      <c r="G734" s="13" t="s">
        <v>2492</v>
      </c>
      <c r="H734" s="14" t="s">
        <v>2449</v>
      </c>
      <c r="J734" s="3">
        <v>2</v>
      </c>
      <c r="K734" s="3">
        <v>4</v>
      </c>
      <c r="L734" s="3">
        <v>0</v>
      </c>
      <c r="M734" s="3">
        <v>0</v>
      </c>
      <c r="N734" s="3" t="s">
        <v>106</v>
      </c>
      <c r="Q734" s="16" t="s">
        <v>2493</v>
      </c>
      <c r="R734" s="16" t="s">
        <v>2493</v>
      </c>
      <c r="S734" s="16" t="s">
        <v>2494</v>
      </c>
      <c r="T734" s="16" t="s">
        <v>2494</v>
      </c>
      <c r="U734" s="3" t="s">
        <v>2495</v>
      </c>
      <c r="V734" s="3" t="s">
        <v>93</v>
      </c>
      <c r="W734" s="57" t="s">
        <v>145</v>
      </c>
      <c r="X734" t="str">
        <f>DataItems3[[#This Row],[Collection]]&amp;DataItems3[[#This Row],[Field]]&amp;DataItems3[[#This Row],[Options for supplying the Field]]&amp;DataItems3[[#This Row],[Fieldname]]&amp;DataItems3[[#This Row],[Parent]]</f>
        <v>StudentSubject of study(Principal subject JACS 2.0)F_XJACS201</v>
      </c>
      <c r="Y734" s="15"/>
      <c r="AA734" s="28" t="str">
        <f t="shared" si="104"/>
        <v>case when s.DW_FromDate between 20070801 and 20110801 then dsj.f_xjacs201 else 'N/A' end</v>
      </c>
      <c r="AB734" s="28" t="str">
        <f t="shared" si="111"/>
        <v>iif(s.DW_FromDate between 20070801 and 20110801,jacs201.dw_currentlabel,'Not applicable')</v>
      </c>
      <c r="AC734" s="28" t="str">
        <f t="shared" si="112"/>
        <v>case when s.DW_FromDate between 20070801 and 20110801 then dsj.f_xjacs201 else 'N/A' end</v>
      </c>
      <c r="AD734" s="28" t="str">
        <f t="shared" si="113"/>
        <v>iif(s.DW_FromDate between 20070801 and 20110801,jacs201.dw_currentlabel,'Not applicable')</v>
      </c>
      <c r="AE734" t="str">
        <f t="shared" si="108"/>
        <v>[Subject of study]</v>
      </c>
    </row>
    <row r="735" spans="1:32" ht="32" x14ac:dyDescent="0.2">
      <c r="A735">
        <v>100565</v>
      </c>
      <c r="B735" s="11" t="str">
        <f>DataItems3[[#This Row],[Field]]&amp;IF(DataItems3[[#This Row],[Options for supplying the Field]]="",""," "&amp;DataItems3[[#This Row],[Options for supplying the Field]])</f>
        <v>Subject of study (Principal subject JACS 3.0)</v>
      </c>
      <c r="C735">
        <v>100565</v>
      </c>
      <c r="D735" s="3" t="s">
        <v>86</v>
      </c>
      <c r="E735" s="3" t="s">
        <v>106</v>
      </c>
      <c r="F735" s="3" t="s">
        <v>2452</v>
      </c>
      <c r="G735" s="13" t="s">
        <v>1864</v>
      </c>
      <c r="H735" s="14" t="s">
        <v>2449</v>
      </c>
      <c r="J735" s="3">
        <v>2</v>
      </c>
      <c r="K735" s="3">
        <v>4</v>
      </c>
      <c r="L735" s="3">
        <v>0</v>
      </c>
      <c r="M735" s="3">
        <v>0</v>
      </c>
      <c r="N735" s="3" t="s">
        <v>106</v>
      </c>
      <c r="Q735" s="28" t="s">
        <v>2496</v>
      </c>
      <c r="R735" s="28" t="s">
        <v>2496</v>
      </c>
      <c r="S735" s="28" t="s">
        <v>2497</v>
      </c>
      <c r="T735" s="28" t="s">
        <v>2497</v>
      </c>
      <c r="U735" s="3" t="s">
        <v>2495</v>
      </c>
      <c r="V735" s="3" t="s">
        <v>93</v>
      </c>
      <c r="W735" s="57" t="s">
        <v>145</v>
      </c>
      <c r="X735" t="str">
        <f>DataItems3[[#This Row],[Collection]]&amp;DataItems3[[#This Row],[Field]]&amp;DataItems3[[#This Row],[Options for supplying the Field]]&amp;DataItems3[[#This Row],[Fieldname]]&amp;DataItems3[[#This Row],[Parent]]</f>
        <v>StudentSubject of study(Principal subject JACS 3.0)F_XJACS201</v>
      </c>
      <c r="Y735" s="15"/>
      <c r="AA735" s="28" t="str">
        <f t="shared" si="104"/>
        <v>case when s.DW_FromDate between 20120801 and 20180801 then dsj.F_XJACS201 else 'N/A' end</v>
      </c>
      <c r="AB735" s="28" t="str">
        <f t="shared" si="111"/>
        <v>iif(s.DW_FromDate between 20120801 and 20180801,jacs201.dw_currentlabel,'Not applicable')</v>
      </c>
      <c r="AC735" s="28" t="str">
        <f t="shared" si="112"/>
        <v>case when s.DW_FromDate between 20120801 and 20180801 then dsj.F_XJACS201 else 'N/A' end</v>
      </c>
      <c r="AD735" s="28" t="str">
        <f t="shared" si="113"/>
        <v>iif(s.DW_FromDate between 20120801 and 20180801,jacs201.dw_currentlabel,'Not applicable')</v>
      </c>
      <c r="AE735" t="str">
        <f t="shared" si="108"/>
        <v>[Subject of study]</v>
      </c>
    </row>
    <row r="736" spans="1:32" ht="16" x14ac:dyDescent="0.2">
      <c r="A736">
        <v>100567</v>
      </c>
      <c r="B736" s="11" t="str">
        <f>DataItems3[[#This Row],[Field]]&amp;IF(DataItems3[[#This Row],[Options for supplying the Field]]="",""," "&amp;DataItems3[[#This Row],[Options for supplying the Field]])</f>
        <v>Subject of study (Principal subject)</v>
      </c>
      <c r="C736">
        <v>100567</v>
      </c>
      <c r="D736" s="3" t="s">
        <v>86</v>
      </c>
      <c r="E736" s="3" t="s">
        <v>106</v>
      </c>
      <c r="F736" s="3" t="s">
        <v>2452</v>
      </c>
      <c r="G736" s="13" t="s">
        <v>2499</v>
      </c>
      <c r="H736" s="14" t="s">
        <v>2449</v>
      </c>
      <c r="J736" s="3">
        <v>2</v>
      </c>
      <c r="K736" s="3">
        <v>4</v>
      </c>
      <c r="L736" s="3">
        <v>0</v>
      </c>
      <c r="M736" s="3">
        <v>0</v>
      </c>
      <c r="N736" s="3" t="s">
        <v>106</v>
      </c>
      <c r="Q736" s="28" t="s">
        <v>2496</v>
      </c>
      <c r="R736" s="28" t="s">
        <v>2496</v>
      </c>
      <c r="S736" s="28" t="s">
        <v>2497</v>
      </c>
      <c r="T736" s="28" t="s">
        <v>2497</v>
      </c>
      <c r="U736" s="3" t="s">
        <v>2495</v>
      </c>
      <c r="V736" s="3" t="s">
        <v>93</v>
      </c>
      <c r="W736" s="57" t="s">
        <v>145</v>
      </c>
      <c r="X736" t="str">
        <f>DataItems3[[#This Row],[Collection]]&amp;DataItems3[[#This Row],[Field]]&amp;DataItems3[[#This Row],[Options for supplying the Field]]&amp;DataItems3[[#This Row],[Fieldname]]&amp;DataItems3[[#This Row],[Parent]]</f>
        <v>StudentSubject of study(Principal subject)F_XJACS201</v>
      </c>
      <c r="Y736" s="15"/>
      <c r="AA736" s="28" t="str">
        <f t="shared" si="104"/>
        <v>case when s.DW_FromDate between 20120801 and 20180801 then dsj.F_XJACS201 else 'N/A' end</v>
      </c>
      <c r="AB736" s="28" t="str">
        <f t="shared" si="111"/>
        <v>iif(s.DW_FromDate between 20120801 and 20180801,jacs201.dw_currentlabel,'Not applicable')</v>
      </c>
      <c r="AC736" s="28" t="str">
        <f t="shared" si="112"/>
        <v>case when s.DW_FromDate between 20120801 and 20180801 then dsj.F_XJACS201 else 'N/A' end</v>
      </c>
      <c r="AD736" s="28" t="str">
        <f t="shared" si="113"/>
        <v>iif(s.DW_FromDate between 20120801 and 20180801,jacs201.dw_currentlabel,'Not applicable')</v>
      </c>
      <c r="AE736" t="str">
        <f t="shared" si="108"/>
        <v>[Subject of study]</v>
      </c>
    </row>
    <row r="737" spans="1:31" ht="16" x14ac:dyDescent="0.2">
      <c r="A737">
        <v>100568</v>
      </c>
      <c r="B737" s="23" t="str">
        <f>DataItems3[[#This Row],[Field]]&amp;IF(DataItems3[[#This Row],[Options for supplying the Field]]="",""," "&amp;DataItems3[[#This Row],[Options for supplying the Field]])</f>
        <v>Subject of study (Subject area)</v>
      </c>
      <c r="C737">
        <v>100568</v>
      </c>
      <c r="D737" s="3" t="s">
        <v>86</v>
      </c>
      <c r="E737" s="3" t="s">
        <v>106</v>
      </c>
      <c r="F737" s="3" t="s">
        <v>2452</v>
      </c>
      <c r="G737" s="13" t="s">
        <v>2439</v>
      </c>
      <c r="H737" s="14" t="s">
        <v>2501</v>
      </c>
      <c r="J737" s="3">
        <v>2</v>
      </c>
      <c r="K737" s="3">
        <v>3</v>
      </c>
      <c r="L737" s="3">
        <v>0</v>
      </c>
      <c r="M737" s="3">
        <v>0</v>
      </c>
      <c r="N737" s="3" t="s">
        <v>106</v>
      </c>
      <c r="Q737" s="28" t="s">
        <v>2502</v>
      </c>
      <c r="R737" s="28" t="s">
        <v>2502</v>
      </c>
      <c r="S737" s="28" t="s">
        <v>2503</v>
      </c>
      <c r="T737" s="28" t="s">
        <v>2503</v>
      </c>
      <c r="U737" s="3" t="s">
        <v>2504</v>
      </c>
      <c r="V737" s="3" t="s">
        <v>93</v>
      </c>
      <c r="W737" s="57" t="s">
        <v>145</v>
      </c>
      <c r="X737" t="str">
        <f>DataItems3[[#This Row],[Collection]]&amp;DataItems3[[#This Row],[Field]]&amp;DataItems3[[#This Row],[Options for supplying the Field]]&amp;DataItems3[[#This Row],[Fieldname]]&amp;DataItems3[[#This Row],[Parent]]</f>
        <v>StudentSubject of study(Subject area)F_XJACSA01</v>
      </c>
      <c r="Y737" s="15"/>
      <c r="AA737" s="28" t="str">
        <f t="shared" si="104"/>
        <v>case when s.DW_FromDate between 20070801 and 20180801 then dsj.F_XJACSA01 else 'N/A' end</v>
      </c>
      <c r="AB737" s="28" t="str">
        <f t="shared" si="111"/>
        <v>iif(s.DW_FromDate between 20070801 and 20180801,jacsa01.dw_currentlabel,'Not applicable')</v>
      </c>
      <c r="AC737" s="28" t="str">
        <f t="shared" si="112"/>
        <v>case when s.DW_FromDate between 20070801 and 20180801 then dsj.F_XJACSA01 else 'N/A' end</v>
      </c>
      <c r="AD737" s="28" t="str">
        <f t="shared" si="113"/>
        <v>iif(s.DW_FromDate between 20070801 and 20180801,jacsa01.dw_currentlabel,'Not applicable')</v>
      </c>
      <c r="AE737" t="str">
        <f t="shared" si="108"/>
        <v>[Subject of study]</v>
      </c>
    </row>
    <row r="738" spans="1:31" ht="48" x14ac:dyDescent="0.2">
      <c r="A738">
        <v>100558</v>
      </c>
      <c r="B738" s="11" t="str">
        <f>DataItems3[[#This Row],[Field]]&amp;IF(DataItems3[[#This Row],[Options for supplying the Field]]="",""," "&amp;DataItems3[[#This Row],[Options for supplying the Field]])</f>
        <v>Subject of study - Subject area marker (Speficied subject area*/ Other)</v>
      </c>
      <c r="C738">
        <v>100558</v>
      </c>
      <c r="D738" s="3" t="s">
        <v>86</v>
      </c>
      <c r="F738" s="3" t="s">
        <v>2452</v>
      </c>
      <c r="G738" s="13" t="s">
        <v>2500</v>
      </c>
      <c r="H738" s="14"/>
      <c r="J738" s="3">
        <v>5</v>
      </c>
      <c r="K738" s="3">
        <v>4</v>
      </c>
      <c r="L738" s="3">
        <v>0</v>
      </c>
      <c r="M738" s="3">
        <v>0</v>
      </c>
      <c r="N738" s="3" t="s">
        <v>89</v>
      </c>
      <c r="W738" s="57" t="s">
        <v>2926</v>
      </c>
      <c r="X738" t="str">
        <f>DataItems3[[#This Row],[Collection]]&amp;DataItems3[[#This Row],[Field]]&amp;DataItems3[[#This Row],[Options for supplying the Field]]&amp;DataItems3[[#This Row],[Fieldname]]&amp;DataItems3[[#This Row],[Parent]]</f>
        <v>StudentSubject of study- Subject area marker (Speficied subject area*/ Other)</v>
      </c>
      <c r="Y738" s="15">
        <v>39991</v>
      </c>
      <c r="Z738" t="s">
        <v>139</v>
      </c>
      <c r="AA738" s="28" t="str">
        <f t="shared" ref="AA738:AA801" si="114">IF(Q738="","",Q738)</f>
        <v/>
      </c>
      <c r="AB738" s="28" t="str">
        <f t="shared" si="111"/>
        <v/>
      </c>
      <c r="AC738" s="28" t="str">
        <f t="shared" si="112"/>
        <v/>
      </c>
      <c r="AD738" s="28" t="str">
        <f t="shared" si="113"/>
        <v/>
      </c>
      <c r="AE738" t="str">
        <f t="shared" si="108"/>
        <v>[Subject of study]</v>
      </c>
    </row>
    <row r="739" spans="1:31" ht="48" x14ac:dyDescent="0.2">
      <c r="A739">
        <v>100566</v>
      </c>
      <c r="B739" s="11" t="str">
        <f>DataItems3[[#This Row],[Field]]&amp;IF(DataItems3[[#This Row],[Options for supplying the Field]]="",""," "&amp;DataItems3[[#This Row],[Options for supplying the Field]])</f>
        <v>Subject of study (Principal subject marker- subjects offered by client)</v>
      </c>
      <c r="C739">
        <v>100566</v>
      </c>
      <c r="D739" s="3" t="s">
        <v>86</v>
      </c>
      <c r="F739" s="3" t="s">
        <v>2452</v>
      </c>
      <c r="G739" s="13" t="s">
        <v>2498</v>
      </c>
      <c r="H739" s="14"/>
      <c r="J739" s="3">
        <v>10</v>
      </c>
      <c r="K739" s="3">
        <v>4</v>
      </c>
      <c r="L739" s="3">
        <v>0</v>
      </c>
      <c r="M739" s="3">
        <v>0</v>
      </c>
      <c r="N739" s="3" t="s">
        <v>89</v>
      </c>
      <c r="Q739" s="28"/>
      <c r="R739" t="s">
        <v>91</v>
      </c>
      <c r="S739" s="28"/>
      <c r="T739"/>
      <c r="V739" s="3" t="s">
        <v>93</v>
      </c>
      <c r="W739" s="57" t="s">
        <v>2926</v>
      </c>
      <c r="X739" t="str">
        <f>DataItems3[[#This Row],[Collection]]&amp;DataItems3[[#This Row],[Field]]&amp;DataItems3[[#This Row],[Options for supplying the Field]]&amp;DataItems3[[#This Row],[Fieldname]]&amp;DataItems3[[#This Row],[Parent]]</f>
        <v>StudentSubject of study(Principal subject marker- subjects offered by client)</v>
      </c>
      <c r="Y739" s="15">
        <v>43634</v>
      </c>
      <c r="Z739" t="s">
        <v>139</v>
      </c>
      <c r="AA739" s="28" t="str">
        <f t="shared" si="114"/>
        <v/>
      </c>
      <c r="AB739" s="28" t="str">
        <f t="shared" si="111"/>
        <v/>
      </c>
      <c r="AC739" s="28" t="str">
        <f t="shared" si="112"/>
        <v xml:space="preserve"> </v>
      </c>
      <c r="AD739" s="28" t="str">
        <f t="shared" si="113"/>
        <v/>
      </c>
      <c r="AE739" t="str">
        <f t="shared" si="108"/>
        <v>[Subject of study]</v>
      </c>
    </row>
    <row r="740" spans="1:31" ht="32" x14ac:dyDescent="0.2">
      <c r="A740">
        <v>100672</v>
      </c>
      <c r="B740" s="11" t="str">
        <f>DataItems3[[#This Row],[Field]]&amp;IF(DataItems3[[#This Row],[Options for supplying the Field]]="",""," "&amp;DataItems3[[#This Row],[Options for supplying the Field]])</f>
        <v>Subject of study marker (Bespoke - EDIT AS APPROPRIATE)</v>
      </c>
      <c r="C740">
        <v>100672</v>
      </c>
      <c r="D740" s="3" t="s">
        <v>86</v>
      </c>
      <c r="F740" s="3" t="s">
        <v>2452</v>
      </c>
      <c r="G740" s="13" t="s">
        <v>2505</v>
      </c>
      <c r="H740" s="14"/>
      <c r="J740" s="3">
        <v>8</v>
      </c>
      <c r="K740" s="3">
        <v>3</v>
      </c>
      <c r="L740" s="3">
        <v>1</v>
      </c>
      <c r="M740" s="3">
        <v>0</v>
      </c>
      <c r="N740" s="3" t="s">
        <v>89</v>
      </c>
      <c r="Q740" s="31"/>
      <c r="R740"/>
      <c r="S740" s="31"/>
      <c r="T740"/>
      <c r="W740" s="57" t="s">
        <v>2926</v>
      </c>
      <c r="X740" t="str">
        <f>DataItems3[[#This Row],[Collection]]&amp;DataItems3[[#This Row],[Field]]&amp;DataItems3[[#This Row],[Options for supplying the Field]]&amp;DataItems3[[#This Row],[Fieldname]]&amp;DataItems3[[#This Row],[Parent]]</f>
        <v>StudentSubject of studymarker (Bespoke - EDIT AS APPROPRIATE)</v>
      </c>
      <c r="Y740" s="4">
        <v>44022</v>
      </c>
      <c r="Z740" t="s">
        <v>1200</v>
      </c>
      <c r="AA740" s="28" t="str">
        <f t="shared" si="114"/>
        <v/>
      </c>
      <c r="AB740" s="28" t="str">
        <f t="shared" si="111"/>
        <v/>
      </c>
      <c r="AC740" s="28" t="str">
        <f t="shared" si="112"/>
        <v/>
      </c>
      <c r="AD740" s="28" t="str">
        <f t="shared" si="113"/>
        <v/>
      </c>
      <c r="AE740" t="str">
        <f t="shared" si="108"/>
        <v>[Subject of study]</v>
      </c>
    </row>
    <row r="741" spans="1:31" ht="16" x14ac:dyDescent="0.2">
      <c r="A741">
        <v>100542</v>
      </c>
      <c r="B741" s="11" t="str">
        <f>DataItems3[[#This Row],[Field]]&amp;IF(DataItems3[[#This Row],[Options for supplying the Field]]="",""," "&amp;DataItems3[[#This Row],[Options for supplying the Field]])</f>
        <v>Subject of study 1 (4-digit JACS)</v>
      </c>
      <c r="C741">
        <v>100542</v>
      </c>
      <c r="D741" s="3" t="s">
        <v>86</v>
      </c>
      <c r="E741" s="3" t="s">
        <v>106</v>
      </c>
      <c r="F741" s="3" t="s">
        <v>2506</v>
      </c>
      <c r="G741" s="13" t="s">
        <v>2507</v>
      </c>
      <c r="H741" s="14" t="s">
        <v>2508</v>
      </c>
      <c r="J741" s="3">
        <v>3</v>
      </c>
      <c r="K741" s="3">
        <v>9</v>
      </c>
      <c r="L741" s="3">
        <v>1</v>
      </c>
      <c r="M741" s="3">
        <v>0</v>
      </c>
      <c r="N741" s="3" t="s">
        <v>89</v>
      </c>
      <c r="Q741" s="28" t="s">
        <v>2509</v>
      </c>
      <c r="R741" t="s">
        <v>2509</v>
      </c>
      <c r="S741" s="28" t="s">
        <v>3300</v>
      </c>
      <c r="T741" t="s">
        <v>3300</v>
      </c>
      <c r="U741" s="3" t="s">
        <v>2510</v>
      </c>
      <c r="V741" s="3" t="s">
        <v>93</v>
      </c>
      <c r="W741" s="57" t="s">
        <v>114</v>
      </c>
      <c r="X741" t="str">
        <f>DataItems3[[#This Row],[Collection]]&amp;DataItems3[[#This Row],[Field]]&amp;DataItems3[[#This Row],[Options for supplying the Field]]&amp;DataItems3[[#This Row],[Fieldname]]&amp;DataItems3[[#This Row],[Parent]]</f>
        <v>StudentSubject of study 1(4-digit JACS)F_ZSBJ1</v>
      </c>
      <c r="Y741" s="15">
        <v>43434</v>
      </c>
      <c r="Z741" t="s">
        <v>95</v>
      </c>
      <c r="AA741" s="28" t="str">
        <f t="shared" si="114"/>
        <v>case when s.DW_FromDate between 20120801 and 20180801 then d.F_ZSBJ1 else 'Not applicable 2019/20 onwards' end</v>
      </c>
      <c r="AB741" s="28" t="str">
        <f t="shared" si="111"/>
        <v>IIF(s.DW_FromDate &gt;= 20190801,'Not applicable 2019/20 onwards',IIF(d.F_ZSBJ1 IN ('', '/'),'Not applicable',jzsbj1.DW_CurrentLabel))</v>
      </c>
      <c r="AC741" s="28" t="str">
        <f t="shared" si="112"/>
        <v>case when s.DW_FromDate between 20120801 and 20180801 then d.F_ZSBJ1 else 'Not applicable 2019/20 onwards' end</v>
      </c>
      <c r="AD741" s="28" t="str">
        <f t="shared" si="113"/>
        <v>IIF(s.DW_FromDate &gt;= 20190801,'Not applicable 2019/20 onwards',IIF(d.F_ZSBJ1 IN ('', '/'),'Not applicable',jzsbj1.DW_CurrentLabel))</v>
      </c>
      <c r="AE741" t="str">
        <f t="shared" si="108"/>
        <v>[Subject of study 1]</v>
      </c>
    </row>
    <row r="742" spans="1:31" ht="16" x14ac:dyDescent="0.2">
      <c r="A742">
        <v>100686</v>
      </c>
      <c r="B742" s="11" t="str">
        <f>DataItems3[[#This Row],[Field]]&amp;IF(DataItems3[[#This Row],[Options for supplying the Field]]="",""," "&amp;DataItems3[[#This Row],[Options for supplying the Field]])</f>
        <v>Subject of study 1 (Principal subject)</v>
      </c>
      <c r="C742">
        <v>100686</v>
      </c>
      <c r="D742" s="3" t="s">
        <v>86</v>
      </c>
      <c r="E742" s="3" t="s">
        <v>106</v>
      </c>
      <c r="F742" s="3" t="s">
        <v>2506</v>
      </c>
      <c r="G742" s="13" t="s">
        <v>2499</v>
      </c>
      <c r="H742" s="14" t="s">
        <v>2508</v>
      </c>
      <c r="J742" s="3">
        <v>3</v>
      </c>
      <c r="K742" s="3">
        <v>5</v>
      </c>
      <c r="L742" s="3">
        <v>0</v>
      </c>
      <c r="M742" s="3">
        <v>0</v>
      </c>
      <c r="N742" s="3" t="s">
        <v>89</v>
      </c>
      <c r="Q742" s="28" t="s">
        <v>2511</v>
      </c>
      <c r="R742" t="s">
        <v>2511</v>
      </c>
      <c r="S742" s="28" t="s">
        <v>3300</v>
      </c>
      <c r="T742" t="s">
        <v>3300</v>
      </c>
      <c r="U742" s="3" t="s">
        <v>2512</v>
      </c>
      <c r="W742" s="57" t="s">
        <v>114</v>
      </c>
      <c r="X742" t="str">
        <f>DataItems3[[#This Row],[Collection]]&amp;DataItems3[[#This Row],[Field]]&amp;DataItems3[[#This Row],[Options for supplying the Field]]&amp;DataItems3[[#This Row],[Fieldname]]&amp;DataItems3[[#This Row],[Parent]]</f>
        <v>StudentSubject of study 1(Principal subject)F_ZSBJ1</v>
      </c>
      <c r="Y742" s="4">
        <v>44161</v>
      </c>
      <c r="Z742" t="s">
        <v>99</v>
      </c>
      <c r="AA742" s="28" t="str">
        <f t="shared" si="114"/>
        <v>case when s.DW_FromDate between 20120801 and 20180801 then IIF(SUBSTRING(d.F_ZSBJ1, 1, 2) IN ('R0', 'T0'), 'Q0', SUBSTRING(d.F_ZSBJ1, 1, 2)) else 'Not applicable 2019/20 onwards' end</v>
      </c>
      <c r="AB742" s="28" t="str">
        <f t="shared" si="111"/>
        <v>IIF(s.DW_FromDate &gt;= 20190801,'Not applicable 2019/20 onwards',IIF(d.F_ZSBJ1 IN ('', '/'),'Not applicable',jzsbj1.DW_CurrentLabel))</v>
      </c>
      <c r="AC742" s="28" t="str">
        <f t="shared" si="112"/>
        <v>case when s.DW_FromDate between 20120801 and 20180801 then IIF(SUBSTRING(d.F_ZSBJ1, 1, 2) IN ('R0', 'T0'), 'Q0', SUBSTRING(d.F_ZSBJ1, 1, 2)) else 'Not applicable 2019/20 onwards' end</v>
      </c>
      <c r="AD742" s="28" t="str">
        <f t="shared" si="113"/>
        <v>IIF(s.DW_FromDate &gt;= 20190801,'Not applicable 2019/20 onwards',IIF(d.F_ZSBJ1 IN ('', '/'),'Not applicable',jzsbj1.DW_CurrentLabel))</v>
      </c>
      <c r="AE742" t="str">
        <f t="shared" si="108"/>
        <v>[Subject of study 1]</v>
      </c>
    </row>
    <row r="743" spans="1:31" ht="16" x14ac:dyDescent="0.2">
      <c r="A743">
        <v>100689</v>
      </c>
      <c r="B743" s="23" t="str">
        <f>DataItems3[[#This Row],[Field]]&amp;IF(DataItems3[[#This Row],[Options for supplying the Field]]="",""," "&amp;DataItems3[[#This Row],[Options for supplying the Field]])</f>
        <v>Subject of study 1 (Subject area)</v>
      </c>
      <c r="C743">
        <v>100689</v>
      </c>
      <c r="D743" s="3" t="s">
        <v>86</v>
      </c>
      <c r="E743" s="3" t="s">
        <v>106</v>
      </c>
      <c r="F743" s="3" t="s">
        <v>2506</v>
      </c>
      <c r="G743" s="13" t="s">
        <v>2439</v>
      </c>
      <c r="H743" s="14" t="s">
        <v>2508</v>
      </c>
      <c r="J743" s="3">
        <v>3</v>
      </c>
      <c r="K743" s="3">
        <v>4</v>
      </c>
      <c r="L743" s="3">
        <v>0</v>
      </c>
      <c r="M743" s="3">
        <v>0</v>
      </c>
      <c r="N743" s="3" t="s">
        <v>89</v>
      </c>
      <c r="Q743" s="28" t="s">
        <v>2513</v>
      </c>
      <c r="R743" t="s">
        <v>2513</v>
      </c>
      <c r="S743" s="28" t="s">
        <v>3300</v>
      </c>
      <c r="T743" t="s">
        <v>3300</v>
      </c>
      <c r="U743" s="3" t="s">
        <v>2514</v>
      </c>
      <c r="W743" s="57" t="s">
        <v>114</v>
      </c>
      <c r="X743" t="str">
        <f>DataItems3[[#This Row],[Collection]]&amp;DataItems3[[#This Row],[Field]]&amp;DataItems3[[#This Row],[Options for supplying the Field]]&amp;DataItems3[[#This Row],[Fieldname]]&amp;DataItems3[[#This Row],[Parent]]</f>
        <v>StudentSubject of study 1(Subject area)F_ZSBJ1</v>
      </c>
      <c r="Y743" s="4">
        <v>44161</v>
      </c>
      <c r="Z743" t="s">
        <v>99</v>
      </c>
      <c r="AA743" s="28" t="str">
        <f t="shared" si="114"/>
        <v>case when s.DW_FromDate between 20070801 and 20180801 then dbo.SP_JACSA01_area(d.f_zsbj1) ELSE 'Not applicable 2019/20 onwards' END</v>
      </c>
      <c r="AB743" s="28" t="str">
        <f t="shared" si="111"/>
        <v>IIF(s.DW_FromDate &gt;= 20190801,'Not applicable 2019/20 onwards',IIF(d.F_ZSBJ1 IN ('', '/'),'Not applicable',jzsbj1.DW_CurrentLabel))</v>
      </c>
      <c r="AC743" s="28" t="str">
        <f t="shared" si="112"/>
        <v>case when s.DW_FromDate between 20070801 and 20180801 then dbo.SP_JACSA01_area(d.f_zsbj1) ELSE 'Not applicable 2019/20 onwards' END</v>
      </c>
      <c r="AD743" s="28" t="str">
        <f t="shared" si="113"/>
        <v>IIF(s.DW_FromDate &gt;= 20190801,'Not applicable 2019/20 onwards',IIF(d.F_ZSBJ1 IN ('', '/'),'Not applicable',jzsbj1.DW_CurrentLabel))</v>
      </c>
      <c r="AE743" t="str">
        <f t="shared" si="108"/>
        <v>[Subject of study 1]</v>
      </c>
    </row>
    <row r="744" spans="1:31" ht="32" x14ac:dyDescent="0.2">
      <c r="A744">
        <v>100707</v>
      </c>
      <c r="B744" s="29" t="str">
        <f>DataItems3[[#This Row],[Field]]&amp;IF(DataItems3[[#This Row],[Options for supplying the Field]]="",""," "&amp;DataItems3[[#This Row],[Options for supplying the Field]])</f>
        <v>Subject of study 1 (CAH1) (2019/20 onwards)</v>
      </c>
      <c r="C744">
        <v>100707</v>
      </c>
      <c r="D744" s="3" t="s">
        <v>86</v>
      </c>
      <c r="E744" s="3" t="s">
        <v>106</v>
      </c>
      <c r="F744" s="3" t="s">
        <v>2506</v>
      </c>
      <c r="G744" s="13" t="s">
        <v>2453</v>
      </c>
      <c r="H744" s="14" t="s">
        <v>2515</v>
      </c>
      <c r="I744" s="13"/>
      <c r="J744" s="3">
        <v>3</v>
      </c>
      <c r="K744" s="3">
        <v>4</v>
      </c>
      <c r="L744" s="3">
        <v>0</v>
      </c>
      <c r="M744" s="3">
        <v>0</v>
      </c>
      <c r="N744" s="3" t="s">
        <v>89</v>
      </c>
      <c r="Q744" s="28" t="s">
        <v>2516</v>
      </c>
      <c r="R744" t="s">
        <v>2516</v>
      </c>
      <c r="S744" s="28" t="s">
        <v>2517</v>
      </c>
      <c r="T744" t="s">
        <v>2517</v>
      </c>
      <c r="U744" s="3" t="s">
        <v>2518</v>
      </c>
      <c r="W744" s="57" t="s">
        <v>114</v>
      </c>
      <c r="X744" t="str">
        <f>DataItems3[[#This Row],[Collection]]&amp;DataItems3[[#This Row],[Field]]&amp;DataItems3[[#This Row],[Options for supplying the Field]]&amp;DataItems3[[#This Row],[Fieldname]]&amp;DataItems3[[#This Row],[Parent]]</f>
        <v>StudentSubject of study 1(CAH1) (2019/20 onwards)F_ZSBJ1_CAH1</v>
      </c>
      <c r="Y744" s="15">
        <v>44161</v>
      </c>
      <c r="Z744" t="s">
        <v>776</v>
      </c>
      <c r="AA744" s="28" t="str">
        <f t="shared" si="114"/>
        <v>case when s.DW_FromDate &gt;= 20190801 then IIF(sbj1.[CAH3 (Code only)]='CAH26-01-03','CAH26-01-03',ISNULL(sbj1.[CAH1 (Code only)],'/')) ELSE 'Not applicable before 2019/20' END</v>
      </c>
      <c r="AB744" s="28" t="str">
        <f t="shared" si="111"/>
        <v>case when s.DW_FromDate &gt;= 20190801 then IIF(sbj1.[CAH3 (Code only)]='CAH26-01-03','(CAH26) Geography, Earth and Environmental Studies(social sciences)',ISNULL(sbj1.[CAH1],'Not applicable')) ELSE 'Not applicable before 2019/20' END</v>
      </c>
      <c r="AC744" s="28" t="str">
        <f t="shared" si="112"/>
        <v>case when s.DW_FromDate &gt;= 20190801 then IIF(sbj1.[CAH3 (Code only)]='CAH26-01-03','CAH26-01-03',ISNULL(sbj1.[CAH1 (Code only)],'/')) ELSE 'Not applicable before 2019/20' END</v>
      </c>
      <c r="AD744" s="28" t="str">
        <f t="shared" si="113"/>
        <v>case when s.DW_FromDate &gt;= 20190801 then IIF(sbj1.[CAH3 (Code only)]='CAH26-01-03','(CAH26) Geography, Earth and Environmental Studies(social sciences)',ISNULL(sbj1.[CAH1],'Not applicable')) ELSE 'Not applicable before 2019/20' END</v>
      </c>
      <c r="AE744" t="str">
        <f t="shared" si="108"/>
        <v>[Subject of study 1]</v>
      </c>
    </row>
    <row r="745" spans="1:31" ht="32" x14ac:dyDescent="0.2">
      <c r="A745">
        <v>100859</v>
      </c>
      <c r="B745" s="23" t="str">
        <f>DataItems3[[#This Row],[Field]]&amp;IF(DataItems3[[#This Row],[Options for supplying the Field]]="",""," "&amp;DataItems3[[#This Row],[Options for supplying the Field]])</f>
        <v>Subject of study 1 (CAH1) (2012/13-2018/19)</v>
      </c>
      <c r="C745">
        <v>100859</v>
      </c>
      <c r="D745" s="3" t="s">
        <v>86</v>
      </c>
      <c r="E745" s="3" t="s">
        <v>106</v>
      </c>
      <c r="F745" s="3" t="s">
        <v>2506</v>
      </c>
      <c r="G745" s="13" t="s">
        <v>2458</v>
      </c>
      <c r="H745" s="14" t="s">
        <v>2519</v>
      </c>
      <c r="J745" s="3">
        <v>4</v>
      </c>
      <c r="K745" s="3">
        <v>4</v>
      </c>
      <c r="L745" s="3">
        <v>0</v>
      </c>
      <c r="M745" s="3">
        <v>0</v>
      </c>
      <c r="Q745" s="28" t="s">
        <v>2520</v>
      </c>
      <c r="R745" t="s">
        <v>2520</v>
      </c>
      <c r="S745" s="28" t="s">
        <v>2521</v>
      </c>
      <c r="T745" t="s">
        <v>2521</v>
      </c>
      <c r="U745" s="3" t="s">
        <v>2522</v>
      </c>
      <c r="W745" s="57" t="s">
        <v>3301</v>
      </c>
      <c r="X745" t="str">
        <f>DataItems3[[#This Row],[Collection]]&amp;DataItems3[[#This Row],[Field]]&amp;DataItems3[[#This Row],[Options for supplying the Field]]&amp;DataItems3[[#This Row],[Fieldname]]&amp;DataItems3[[#This Row],[Parent]]</f>
        <v>StudentSubject of study 1(CAH1) (2012/13-2018/19)F_ZSBJ1_CAH1_map</v>
      </c>
      <c r="Y745" s="4">
        <v>44684</v>
      </c>
      <c r="Z745" t="s">
        <v>135</v>
      </c>
      <c r="AA745" s="28" t="str">
        <f t="shared" si="114"/>
        <v>CASE WHEN s.DW_FromDate &lt; 20190801 THEN IIF(cahjacs1.[CAH3 (Code only)]='CAH26-01-03','(CAH26) Geography, Earth and Environmental Studies(social sciences)',ISNULL(cahjacs1.[CAH1 (code only)],'Not applicable')) ELSE 'Not applicable 2019/20 onwards' END</v>
      </c>
      <c r="AB745" s="28" t="str">
        <f t="shared" si="111"/>
        <v>CASE WHEN s.DW_FromDate &lt; 20190801 THEN IIF(cahjacs1.[CAH3 (Code only)]='CAH26-01-03','(CAH26) Geography, Earth and Environmental Studies(social sciences)',ISNULL(cahjacs1.[CAH1],'Not applicable')) ELSE 'Not applicable 2019/20 onwards' END</v>
      </c>
      <c r="AC745" s="28" t="str">
        <f t="shared" si="112"/>
        <v>CASE WHEN s.DW_FromDate &lt; 20190801 THEN IIF(cahjacs1.[CAH3 (Code only)]='CAH26-01-03','(CAH26) Geography, Earth and Environmental Studies(social sciences)',ISNULL(cahjacs1.[CAH1 (code only)],'Not applicable')) ELSE 'Not applicable 2019/20 onwards' END</v>
      </c>
      <c r="AD745" s="28" t="str">
        <f t="shared" si="113"/>
        <v>CASE WHEN s.DW_FromDate &lt; 20190801 THEN IIF(cahjacs1.[CAH3 (Code only)]='CAH26-01-03','(CAH26) Geography, Earth and Environmental Studies(social sciences)',ISNULL(cahjacs1.[CAH1],'Not applicable')) ELSE 'Not applicable 2019/20 onwards' END</v>
      </c>
      <c r="AE745" t="str">
        <f t="shared" si="108"/>
        <v>[Subject of study 1]</v>
      </c>
    </row>
    <row r="746" spans="1:31" ht="32" x14ac:dyDescent="0.2">
      <c r="A746">
        <v>100717</v>
      </c>
      <c r="B746" s="29" t="str">
        <f>DataItems3[[#This Row],[Field]]&amp;IF(DataItems3[[#This Row],[Options for supplying the Field]]="",""," "&amp;DataItems3[[#This Row],[Options for supplying the Field]])</f>
        <v>Subject of study 1 (CAH2) (2019/20 onwards)</v>
      </c>
      <c r="C746">
        <v>100717</v>
      </c>
      <c r="D746" s="3" t="s">
        <v>86</v>
      </c>
      <c r="E746" s="3" t="s">
        <v>106</v>
      </c>
      <c r="F746" s="3" t="s">
        <v>2506</v>
      </c>
      <c r="G746" s="13" t="s">
        <v>2464</v>
      </c>
      <c r="H746" s="14" t="s">
        <v>2523</v>
      </c>
      <c r="I746" s="13"/>
      <c r="J746" s="3">
        <v>3</v>
      </c>
      <c r="K746" s="3">
        <v>5</v>
      </c>
      <c r="L746" s="3">
        <v>0</v>
      </c>
      <c r="M746" s="3">
        <v>0</v>
      </c>
      <c r="N746" s="3" t="s">
        <v>89</v>
      </c>
      <c r="Q746" s="28" t="s">
        <v>2524</v>
      </c>
      <c r="R746" t="s">
        <v>2524</v>
      </c>
      <c r="S746" s="28" t="s">
        <v>2525</v>
      </c>
      <c r="T746" t="s">
        <v>2525</v>
      </c>
      <c r="U746" s="3" t="s">
        <v>2518</v>
      </c>
      <c r="W746" s="57" t="s">
        <v>114</v>
      </c>
      <c r="X746" t="str">
        <f>DataItems3[[#This Row],[Collection]]&amp;DataItems3[[#This Row],[Field]]&amp;DataItems3[[#This Row],[Options for supplying the Field]]&amp;DataItems3[[#This Row],[Fieldname]]&amp;DataItems3[[#This Row],[Parent]]</f>
        <v>StudentSubject of study 1(CAH2) (2019/20 onwards)F_ZSBJ1_CAH2</v>
      </c>
      <c r="Y746" s="15">
        <v>44161</v>
      </c>
      <c r="Z746" t="s">
        <v>776</v>
      </c>
      <c r="AA746" s="28" t="str">
        <f t="shared" si="114"/>
        <v>case when s.DW_FromDate &gt;= 20190801 then IIF(sbj1.[CAH3 (Code only)]='CAH26-01-03','CAH26-01-03',ISNULL(sbj1.[CAH2 (Code only)],'/')) ELSE 'Not applicable before 2019/20' END</v>
      </c>
      <c r="AB746" s="28" t="str">
        <f t="shared" si="111"/>
        <v>case when s.DW_FromDate &gt;= 20190801 then IIF(sbj1.[CAH3 (Code only)]='CAH26-01-03','(CAH26) Geography, Earth and Environmental Studies(social sciences)',ISNULL(sbj1.[CAH2],'Not applicable')) ELSE 'Not applicable before 2019/20' END</v>
      </c>
      <c r="AC746" s="28" t="str">
        <f t="shared" si="112"/>
        <v>case when s.DW_FromDate &gt;= 20190801 then IIF(sbj1.[CAH3 (Code only)]='CAH26-01-03','CAH26-01-03',ISNULL(sbj1.[CAH2 (Code only)],'/')) ELSE 'Not applicable before 2019/20' END</v>
      </c>
      <c r="AD746" s="28" t="str">
        <f t="shared" si="113"/>
        <v>case when s.DW_FromDate &gt;= 20190801 then IIF(sbj1.[CAH3 (Code only)]='CAH26-01-03','(CAH26) Geography, Earth and Environmental Studies(social sciences)',ISNULL(sbj1.[CAH2],'Not applicable')) ELSE 'Not applicable before 2019/20' END</v>
      </c>
      <c r="AE746" t="str">
        <f t="shared" si="108"/>
        <v>[Subject of study 1]</v>
      </c>
    </row>
    <row r="747" spans="1:31" ht="32" x14ac:dyDescent="0.2">
      <c r="A747">
        <v>100858</v>
      </c>
      <c r="B747" s="29" t="str">
        <f>DataItems3[[#This Row],[Field]]&amp;IF(DataItems3[[#This Row],[Options for supplying the Field]]="",""," "&amp;DataItems3[[#This Row],[Options for supplying the Field]])</f>
        <v>Subject of study 1 (CAH2) (2012/13-2018/19)</v>
      </c>
      <c r="C747">
        <v>100858</v>
      </c>
      <c r="D747" s="3" t="s">
        <v>86</v>
      </c>
      <c r="E747" s="3" t="s">
        <v>106</v>
      </c>
      <c r="F747" s="3" t="s">
        <v>2506</v>
      </c>
      <c r="G747" s="13" t="s">
        <v>2469</v>
      </c>
      <c r="H747" s="14" t="s">
        <v>2526</v>
      </c>
      <c r="I747" s="13"/>
      <c r="J747" s="3">
        <v>4</v>
      </c>
      <c r="K747" s="3">
        <v>4</v>
      </c>
      <c r="L747" s="3">
        <v>0</v>
      </c>
      <c r="M747" s="3">
        <v>0</v>
      </c>
      <c r="Q747" s="28" t="s">
        <v>2527</v>
      </c>
      <c r="R747" t="s">
        <v>2527</v>
      </c>
      <c r="S747" s="28" t="s">
        <v>2528</v>
      </c>
      <c r="T747" t="s">
        <v>2528</v>
      </c>
      <c r="U747" s="3" t="s">
        <v>2522</v>
      </c>
      <c r="W747" s="57" t="s">
        <v>3301</v>
      </c>
      <c r="X747" t="str">
        <f>DataItems3[[#This Row],[Collection]]&amp;DataItems3[[#This Row],[Field]]&amp;DataItems3[[#This Row],[Options for supplying the Field]]&amp;DataItems3[[#This Row],[Fieldname]]&amp;DataItems3[[#This Row],[Parent]]</f>
        <v>StudentSubject of study 1(CAH2) (2012/13-2018/19)F_ZSBJ1_CAH2_map</v>
      </c>
      <c r="Y747" s="4">
        <v>44684</v>
      </c>
      <c r="Z747" t="s">
        <v>135</v>
      </c>
      <c r="AA747" s="28" t="str">
        <f t="shared" si="114"/>
        <v>CASE WHEN s.DW_FromDate &lt; 20190801 THEN IIF(cahjacs1.[CAH3 (Code only)]='CAH26-01-03','(CAH26) Geography, Earth and Environmental Studies(social sciences)',ISNULL(cahjacs1.[CAH2 (code only)],'Not applicable')) ELSE 'Not applicable 2019/20 onwards' END</v>
      </c>
      <c r="AB747" s="28" t="str">
        <f t="shared" si="111"/>
        <v>CASE WHEN s.DW_FromDate &lt; 20190801 THEN IIF(cahjacs1.[CAH3 (Code only)]='CAH26-01-03','(CAH26) Geography, Earth and Environmental Studies(social sciences)',ISNULL(cahjacs1.[CAH2],'Not applicable')) ELSE 'Not applicable 2019/20 onwards' END</v>
      </c>
      <c r="AC747" s="28" t="str">
        <f t="shared" si="112"/>
        <v>CASE WHEN s.DW_FromDate &lt; 20190801 THEN IIF(cahjacs1.[CAH3 (Code only)]='CAH26-01-03','(CAH26) Geography, Earth and Environmental Studies(social sciences)',ISNULL(cahjacs1.[CAH2 (code only)],'Not applicable')) ELSE 'Not applicable 2019/20 onwards' END</v>
      </c>
      <c r="AD747" s="28" t="str">
        <f t="shared" si="113"/>
        <v>CASE WHEN s.DW_FromDate &lt; 20190801 THEN IIF(cahjacs1.[CAH3 (Code only)]='CAH26-01-03','(CAH26) Geography, Earth and Environmental Studies(social sciences)',ISNULL(cahjacs1.[CAH2],'Not applicable')) ELSE 'Not applicable 2019/20 onwards' END</v>
      </c>
      <c r="AE747" t="str">
        <f t="shared" si="108"/>
        <v>[Subject of study 1]</v>
      </c>
    </row>
    <row r="748" spans="1:31" ht="32" x14ac:dyDescent="0.2">
      <c r="A748">
        <v>100727</v>
      </c>
      <c r="B748" s="29" t="str">
        <f>DataItems3[[#This Row],[Field]]&amp;IF(DataItems3[[#This Row],[Options for supplying the Field]]="",""," "&amp;DataItems3[[#This Row],[Options for supplying the Field]])</f>
        <v>Subject of study 1 (CAH3) (2019/20 onwards)</v>
      </c>
      <c r="C748">
        <v>100727</v>
      </c>
      <c r="D748" s="3" t="s">
        <v>86</v>
      </c>
      <c r="E748" s="3" t="s">
        <v>106</v>
      </c>
      <c r="F748" s="3" t="s">
        <v>2506</v>
      </c>
      <c r="G748" s="13" t="s">
        <v>2473</v>
      </c>
      <c r="H748" s="14" t="s">
        <v>2529</v>
      </c>
      <c r="I748" s="13"/>
      <c r="J748" s="3">
        <v>3</v>
      </c>
      <c r="K748" s="3">
        <v>5</v>
      </c>
      <c r="L748" s="3">
        <v>0</v>
      </c>
      <c r="M748" s="3">
        <v>0</v>
      </c>
      <c r="N748" s="3" t="s">
        <v>89</v>
      </c>
      <c r="Q748" s="28" t="s">
        <v>2530</v>
      </c>
      <c r="R748" t="s">
        <v>2530</v>
      </c>
      <c r="S748" s="28" t="s">
        <v>2531</v>
      </c>
      <c r="T748" t="s">
        <v>2531</v>
      </c>
      <c r="U748" s="3" t="s">
        <v>2518</v>
      </c>
      <c r="W748" s="57" t="s">
        <v>114</v>
      </c>
      <c r="X748" t="str">
        <f>DataItems3[[#This Row],[Collection]]&amp;DataItems3[[#This Row],[Field]]&amp;DataItems3[[#This Row],[Options for supplying the Field]]&amp;DataItems3[[#This Row],[Fieldname]]&amp;DataItems3[[#This Row],[Parent]]</f>
        <v>StudentSubject of study 1(CAH3) (2019/20 onwards)F_ZSBJ1_CAH3</v>
      </c>
      <c r="Y748" s="15">
        <v>44161</v>
      </c>
      <c r="Z748" t="s">
        <v>776</v>
      </c>
      <c r="AA748" s="28" t="str">
        <f t="shared" si="114"/>
        <v>case when s.DW_FromDate &gt;= 20190801 then ISNULL(sbj1.[CAH3 (Code only)],'/') ELSE 'Not applicable before 2019/20' END</v>
      </c>
      <c r="AB748" s="28" t="str">
        <f t="shared" si="111"/>
        <v>case when s.DW_FromDate &gt;= 20190801 then ISNULL(sbj1.[CAH3],'Not applicable') ELSE 'Not applicable before 2019/20' END</v>
      </c>
      <c r="AC748" s="28" t="str">
        <f t="shared" si="112"/>
        <v>case when s.DW_FromDate &gt;= 20190801 then ISNULL(sbj1.[CAH3 (Code only)],'/') ELSE 'Not applicable before 2019/20' END</v>
      </c>
      <c r="AD748" s="28" t="str">
        <f t="shared" si="113"/>
        <v>case when s.DW_FromDate &gt;= 20190801 then ISNULL(sbj1.[CAH3],'Not applicable') ELSE 'Not applicable before 2019/20' END</v>
      </c>
      <c r="AE748" t="str">
        <f t="shared" si="108"/>
        <v>[Subject of study 1]</v>
      </c>
    </row>
    <row r="749" spans="1:31" ht="32" x14ac:dyDescent="0.2">
      <c r="A749">
        <v>100860</v>
      </c>
      <c r="B749" s="29" t="str">
        <f>DataItems3[[#This Row],[Field]]&amp;IF(DataItems3[[#This Row],[Options for supplying the Field]]="",""," "&amp;DataItems3[[#This Row],[Options for supplying the Field]])</f>
        <v>Subject of study 1 (CAH3) (2012/13-2018/19)</v>
      </c>
      <c r="C749">
        <v>100860</v>
      </c>
      <c r="D749" s="3" t="s">
        <v>86</v>
      </c>
      <c r="E749" s="3" t="s">
        <v>106</v>
      </c>
      <c r="F749" s="3" t="s">
        <v>2506</v>
      </c>
      <c r="G749" s="13" t="s">
        <v>2478</v>
      </c>
      <c r="H749" s="14" t="s">
        <v>2532</v>
      </c>
      <c r="I749" s="13"/>
      <c r="J749" s="3">
        <v>4</v>
      </c>
      <c r="K749" s="3">
        <v>4</v>
      </c>
      <c r="L749" s="3">
        <v>0</v>
      </c>
      <c r="M749" s="3">
        <v>0</v>
      </c>
      <c r="Q749" s="28" t="s">
        <v>2533</v>
      </c>
      <c r="R749" t="s">
        <v>2533</v>
      </c>
      <c r="S749" s="28" t="s">
        <v>2533</v>
      </c>
      <c r="T749" t="s">
        <v>2533</v>
      </c>
      <c r="U749" s="3" t="s">
        <v>2522</v>
      </c>
      <c r="W749" s="57" t="s">
        <v>3301</v>
      </c>
      <c r="X749" t="str">
        <f>DataItems3[[#This Row],[Collection]]&amp;DataItems3[[#This Row],[Field]]&amp;DataItems3[[#This Row],[Options for supplying the Field]]&amp;DataItems3[[#This Row],[Fieldname]]&amp;DataItems3[[#This Row],[Parent]]</f>
        <v>StudentSubject of study 1(CAH3) (2012/13-2018/19)F_ZSBJ1_CAH3_map</v>
      </c>
      <c r="Y749" s="4">
        <v>44684</v>
      </c>
      <c r="Z749" t="s">
        <v>135</v>
      </c>
      <c r="AA749" s="28" t="str">
        <f t="shared" si="114"/>
        <v>CASE WHEN s.DW_FromDate &lt; 20190801 THEN ISNULL(cahjacs1.[CAH3], '/') ELSE 'Not applicable 2019/20 onwards' END</v>
      </c>
      <c r="AB749" s="28" t="str">
        <f t="shared" si="111"/>
        <v>CASE WHEN s.DW_FromDate &lt; 20190801 THEN ISNULL(cahjacs1.[CAH3], '/') ELSE 'Not applicable 2019/20 onwards' END</v>
      </c>
      <c r="AC749" s="28" t="str">
        <f t="shared" si="112"/>
        <v>CASE WHEN s.DW_FromDate &lt; 20190801 THEN ISNULL(cahjacs1.[CAH3], '/') ELSE 'Not applicable 2019/20 onwards' END</v>
      </c>
      <c r="AD749" s="28" t="str">
        <f t="shared" si="113"/>
        <v>CASE WHEN s.DW_FromDate &lt; 20190801 THEN ISNULL(cahjacs1.[CAH3], '/') ELSE 'Not applicable 2019/20 onwards' END</v>
      </c>
      <c r="AE749" t="str">
        <f t="shared" si="108"/>
        <v>[Subject of study 1]</v>
      </c>
    </row>
    <row r="750" spans="1:31" ht="32" x14ac:dyDescent="0.2">
      <c r="A750">
        <v>100697</v>
      </c>
      <c r="B750" s="29" t="str">
        <f>DataItems3[[#This Row],[Field]]&amp;IF(DataItems3[[#This Row],[Options for supplying the Field]]="",""," "&amp;DataItems3[[#This Row],[Options for supplying the Field]])</f>
        <v>Subject of study 1 (HECOS 2019/20 onwards)</v>
      </c>
      <c r="C750">
        <v>100697</v>
      </c>
      <c r="D750" s="3" t="s">
        <v>86</v>
      </c>
      <c r="E750" s="3" t="s">
        <v>106</v>
      </c>
      <c r="F750" s="3" t="s">
        <v>2506</v>
      </c>
      <c r="G750" s="13" t="s">
        <v>2534</v>
      </c>
      <c r="H750" s="14" t="s">
        <v>2535</v>
      </c>
      <c r="I750" s="13"/>
      <c r="J750" s="3">
        <v>3</v>
      </c>
      <c r="K750" s="3">
        <v>9</v>
      </c>
      <c r="L750" s="3">
        <v>1</v>
      </c>
      <c r="M750" s="3">
        <v>0</v>
      </c>
      <c r="N750" s="3" t="s">
        <v>89</v>
      </c>
      <c r="Q750" s="16" t="s">
        <v>2536</v>
      </c>
      <c r="R750" s="3" t="s">
        <v>2536</v>
      </c>
      <c r="S750" s="28" t="s">
        <v>2537</v>
      </c>
      <c r="T750" t="s">
        <v>2537</v>
      </c>
      <c r="U750" s="3" t="s">
        <v>2538</v>
      </c>
      <c r="W750" s="57" t="s">
        <v>114</v>
      </c>
      <c r="X750" t="str">
        <f>DataItems3[[#This Row],[Collection]]&amp;DataItems3[[#This Row],[Field]]&amp;DataItems3[[#This Row],[Options for supplying the Field]]&amp;DataItems3[[#This Row],[Fieldname]]&amp;DataItems3[[#This Row],[Parent]]</f>
        <v>StudentSubject of study 1(HECOS 2019/20 onwards)F_ZSBJ1_HECOS</v>
      </c>
      <c r="Y750" s="15">
        <v>44161</v>
      </c>
      <c r="Z750" t="s">
        <v>776</v>
      </c>
      <c r="AA750" s="28" t="str">
        <f t="shared" si="114"/>
        <v>case when s.DW_FromDate &gt;= 20190801 then cast(d.f_zsbj1 as varchar) else 'Not applicable before 2019/20' end</v>
      </c>
      <c r="AB750" s="28" t="str">
        <f t="shared" si="111"/>
        <v>iif(s.DW_FromDate &gt;= 20190801,hzsbj1.dw_currentlabel,'Not applicable before 2019/20')</v>
      </c>
      <c r="AC750" s="28" t="str">
        <f t="shared" si="112"/>
        <v>case when s.DW_FromDate &gt;= 20190801 then cast(d.f_zsbj1 as varchar) else 'Not applicable before 2019/20' end</v>
      </c>
      <c r="AD750" s="28" t="str">
        <f t="shared" si="113"/>
        <v>iif(s.DW_FromDate &gt;= 20190801,hzsbj1.dw_currentlabel,'Not applicable before 2019/20')</v>
      </c>
      <c r="AE750" t="str">
        <f t="shared" si="108"/>
        <v>[Subject of study 1]</v>
      </c>
    </row>
    <row r="751" spans="1:31" ht="16" x14ac:dyDescent="0.2">
      <c r="A751">
        <v>100692</v>
      </c>
      <c r="B751" s="23" t="str">
        <f>DataItems3[[#This Row],[Field]]&amp;IF(DataItems3[[#This Row],[Options for supplying the Field]]="",""," "&amp;DataItems3[[#This Row],[Options for supplying the Field]])</f>
        <v>Subject of study 1 percentage (JACS before 2019/20)</v>
      </c>
      <c r="C751">
        <v>100692</v>
      </c>
      <c r="D751" s="3" t="s">
        <v>86</v>
      </c>
      <c r="E751" s="3" t="s">
        <v>106</v>
      </c>
      <c r="F751" s="3" t="s">
        <v>2539</v>
      </c>
      <c r="G751" s="13" t="s">
        <v>2294</v>
      </c>
      <c r="H751" s="14" t="s">
        <v>2540</v>
      </c>
      <c r="J751" s="3">
        <v>0</v>
      </c>
      <c r="K751" s="3">
        <v>0</v>
      </c>
      <c r="L751" s="3">
        <v>0</v>
      </c>
      <c r="M751" s="3">
        <v>0</v>
      </c>
      <c r="N751" s="3" t="s">
        <v>89</v>
      </c>
      <c r="Q751" s="28" t="s">
        <v>2541</v>
      </c>
      <c r="R751" t="s">
        <v>2541</v>
      </c>
      <c r="S751" s="28" t="s">
        <v>2542</v>
      </c>
      <c r="T751" t="s">
        <v>2542</v>
      </c>
      <c r="U751" s="3" t="s">
        <v>92</v>
      </c>
      <c r="W751" s="57" t="s">
        <v>114</v>
      </c>
      <c r="X751" t="str">
        <f>DataItems3[[#This Row],[Collection]]&amp;DataItems3[[#This Row],[Field]]&amp;DataItems3[[#This Row],[Options for supplying the Field]]&amp;DataItems3[[#This Row],[Fieldname]]&amp;DataItems3[[#This Row],[Parent]]</f>
        <v>StudentSubject of study 1 percentage(JACS before 2019/20)F_ZSBJPCT1</v>
      </c>
      <c r="Y751" s="4">
        <v>44161</v>
      </c>
      <c r="Z751" t="s">
        <v>99</v>
      </c>
      <c r="AA751" s="28" t="str">
        <f t="shared" si="114"/>
        <v>case when s.DW_FromDate between 20120801 and 20180801 then cast(d.F_ZSBJPCT1 as varchar) ELSE 'Not applicable 2019/20 onwards' END</v>
      </c>
      <c r="AB751" s="28" t="str">
        <f t="shared" si="111"/>
        <v>iif(s.DW_FromDate between 20120801 and 20180801,cast(d.F_ZSBJPCT1 as varchar),'Not applicable 2019/20 onwards')</v>
      </c>
      <c r="AC751" s="28" t="str">
        <f t="shared" si="112"/>
        <v>case when s.DW_FromDate between 20120801 and 20180801 then cast(d.F_ZSBJPCT1 as varchar) ELSE 'Not applicable 2019/20 onwards' END</v>
      </c>
      <c r="AD751" s="28" t="str">
        <f t="shared" si="113"/>
        <v>iif(s.DW_FromDate between 20120801 and 20180801,cast(d.F_ZSBJPCT1 as varchar),'Not applicable 2019/20 onwards')</v>
      </c>
      <c r="AE751" t="str">
        <f t="shared" si="108"/>
        <v>[Subject of study 1 percentage]</v>
      </c>
    </row>
    <row r="752" spans="1:31" ht="32" x14ac:dyDescent="0.2">
      <c r="A752">
        <v>100702</v>
      </c>
      <c r="B752" s="29" t="str">
        <f>DataItems3[[#This Row],[Field]]&amp;IF(DataItems3[[#This Row],[Options for supplying the Field]]="",""," "&amp;DataItems3[[#This Row],[Options for supplying the Field]])</f>
        <v>Subject of study 1 percentage (HECoS 2019/20 onwards)</v>
      </c>
      <c r="C752">
        <v>100702</v>
      </c>
      <c r="D752" s="3" t="s">
        <v>86</v>
      </c>
      <c r="E752" s="3" t="s">
        <v>106</v>
      </c>
      <c r="F752" s="3" t="s">
        <v>2539</v>
      </c>
      <c r="G752" s="13" t="s">
        <v>609</v>
      </c>
      <c r="H752" s="14" t="s">
        <v>2543</v>
      </c>
      <c r="I752" s="13"/>
      <c r="J752" s="3">
        <v>0</v>
      </c>
      <c r="K752" s="3">
        <v>0</v>
      </c>
      <c r="L752" s="3">
        <v>0</v>
      </c>
      <c r="M752" s="3">
        <v>0</v>
      </c>
      <c r="N752" s="3" t="s">
        <v>89</v>
      </c>
      <c r="Q752" s="28" t="s">
        <v>2544</v>
      </c>
      <c r="R752" t="s">
        <v>2544</v>
      </c>
      <c r="S752" s="28" t="s">
        <v>2545</v>
      </c>
      <c r="T752" t="s">
        <v>2545</v>
      </c>
      <c r="U752" s="3" t="s">
        <v>92</v>
      </c>
      <c r="W752" s="57" t="s">
        <v>114</v>
      </c>
      <c r="X752" t="str">
        <f>DataItems3[[#This Row],[Collection]]&amp;DataItems3[[#This Row],[Field]]&amp;DataItems3[[#This Row],[Options for supplying the Field]]&amp;DataItems3[[#This Row],[Fieldname]]&amp;DataItems3[[#This Row],[Parent]]</f>
        <v>StudentSubject of study 1 percentage(HECoS 2019/20 onwards)F_ZSBJPCT1_HECOS</v>
      </c>
      <c r="Y752" s="15">
        <v>44161</v>
      </c>
      <c r="Z752" t="s">
        <v>776</v>
      </c>
      <c r="AA752" s="28" t="str">
        <f t="shared" si="114"/>
        <v>case when s.DW_FromDate &gt;= 20190801 then cast(d.F_ZSBJPCT1 as varchar) ELSE 'Not applicable before 2019/20' END</v>
      </c>
      <c r="AB752" s="28" t="str">
        <f t="shared" si="111"/>
        <v>iif(s.DW_FromDate &gt;= 20190801,cast(d.F_ZSBJPCT1 as varchar),'Not applicable before 2019/20')</v>
      </c>
      <c r="AC752" s="28" t="str">
        <f t="shared" si="112"/>
        <v>case when s.DW_FromDate &gt;= 20190801 then cast(d.F_ZSBJPCT1 as varchar) ELSE 'Not applicable before 2019/20' END</v>
      </c>
      <c r="AD752" s="28" t="str">
        <f t="shared" si="113"/>
        <v>iif(s.DW_FromDate &gt;= 20190801,cast(d.F_ZSBJPCT1 as varchar),'Not applicable before 2019/20')</v>
      </c>
      <c r="AE752" t="str">
        <f t="shared" si="108"/>
        <v>[Subject of study 1 percentage]</v>
      </c>
    </row>
    <row r="753" spans="1:31" ht="16" x14ac:dyDescent="0.2">
      <c r="A753">
        <v>100543</v>
      </c>
      <c r="B753" s="11" t="str">
        <f>DataItems3[[#This Row],[Field]]&amp;IF(DataItems3[[#This Row],[Options for supplying the Field]]="",""," "&amp;DataItems3[[#This Row],[Options for supplying the Field]])</f>
        <v>Subject of study 2 (4-digit JACS)</v>
      </c>
      <c r="C753">
        <v>100543</v>
      </c>
      <c r="D753" s="3" t="s">
        <v>86</v>
      </c>
      <c r="E753" s="3" t="s">
        <v>106</v>
      </c>
      <c r="F753" s="3" t="s">
        <v>2546</v>
      </c>
      <c r="G753" s="13" t="s">
        <v>2507</v>
      </c>
      <c r="H753" s="14" t="s">
        <v>2547</v>
      </c>
      <c r="J753" s="3">
        <v>0</v>
      </c>
      <c r="K753" s="3">
        <v>0</v>
      </c>
      <c r="L753" s="3">
        <v>0</v>
      </c>
      <c r="M753" s="3">
        <v>0</v>
      </c>
      <c r="N753" s="3" t="s">
        <v>89</v>
      </c>
      <c r="Q753" s="28" t="s">
        <v>2548</v>
      </c>
      <c r="R753" t="s">
        <v>2548</v>
      </c>
      <c r="S753" s="28" t="s">
        <v>3302</v>
      </c>
      <c r="T753" t="s">
        <v>3302</v>
      </c>
      <c r="U753" s="3" t="s">
        <v>2549</v>
      </c>
      <c r="V753" s="3" t="s">
        <v>93</v>
      </c>
      <c r="W753" s="57" t="s">
        <v>114</v>
      </c>
      <c r="X753" t="str">
        <f>DataItems3[[#This Row],[Collection]]&amp;DataItems3[[#This Row],[Field]]&amp;DataItems3[[#This Row],[Options for supplying the Field]]&amp;DataItems3[[#This Row],[Fieldname]]&amp;DataItems3[[#This Row],[Parent]]</f>
        <v>StudentSubject of study 2(4-digit JACS)F_ZSBJ2</v>
      </c>
      <c r="Y753" s="15">
        <v>43434</v>
      </c>
      <c r="Z753" t="s">
        <v>95</v>
      </c>
      <c r="AA753" s="28" t="str">
        <f t="shared" si="114"/>
        <v>case when s.DW_FromDate between 20120801 and 20180801 then case when d.f_zsbj2 in ('','/') then 'Not applicable'  else d.f_zsbj2 end ELSE 'Not applicable 2019/20 onwards' end</v>
      </c>
      <c r="AB753" s="28" t="str">
        <f t="shared" si="111"/>
        <v>IIF(s.DW_FromDate &gt;= 20190801,'Not applicable 2019/20 onwards',IIF(d.F_ZSBJ2 IN ('', '/'),'Not applicable',jzsbj2.DW_CurrentLabel))</v>
      </c>
      <c r="AC753" s="28" t="str">
        <f t="shared" si="112"/>
        <v>case when s.DW_FromDate between 20120801 and 20180801 then case when d.f_zsbj2 in ('','/') then 'Not applicable'  else d.f_zsbj2 end ELSE 'Not applicable 2019/20 onwards' end</v>
      </c>
      <c r="AD753" s="28" t="str">
        <f t="shared" si="113"/>
        <v>IIF(s.DW_FromDate &gt;= 20190801,'Not applicable 2019/20 onwards',IIF(d.F_ZSBJ2 IN ('', '/'),'Not applicable',jzsbj2.DW_CurrentLabel))</v>
      </c>
      <c r="AE753" t="str">
        <f t="shared" si="108"/>
        <v>[Subject of study 2]</v>
      </c>
    </row>
    <row r="754" spans="1:31" ht="16" x14ac:dyDescent="0.2">
      <c r="A754">
        <v>100687</v>
      </c>
      <c r="B754" s="11" t="str">
        <f>DataItems3[[#This Row],[Field]]&amp;IF(DataItems3[[#This Row],[Options for supplying the Field]]="",""," "&amp;DataItems3[[#This Row],[Options for supplying the Field]])</f>
        <v>Subject of study 2 (Principal subject)</v>
      </c>
      <c r="C754">
        <v>100687</v>
      </c>
      <c r="D754" s="3" t="s">
        <v>86</v>
      </c>
      <c r="E754" s="3" t="s">
        <v>106</v>
      </c>
      <c r="F754" s="3" t="s">
        <v>2546</v>
      </c>
      <c r="G754" s="13" t="s">
        <v>2499</v>
      </c>
      <c r="H754" s="14" t="s">
        <v>2547</v>
      </c>
      <c r="J754" s="3">
        <v>0</v>
      </c>
      <c r="K754" s="3">
        <v>0</v>
      </c>
      <c r="L754" s="3">
        <v>0</v>
      </c>
      <c r="M754" s="3">
        <v>0</v>
      </c>
      <c r="N754" s="3" t="s">
        <v>89</v>
      </c>
      <c r="Q754" s="28" t="s">
        <v>2550</v>
      </c>
      <c r="R754" t="s">
        <v>2550</v>
      </c>
      <c r="S754" s="28" t="s">
        <v>3302</v>
      </c>
      <c r="T754" t="s">
        <v>3302</v>
      </c>
      <c r="U754" s="3" t="s">
        <v>2512</v>
      </c>
      <c r="W754" s="57" t="s">
        <v>114</v>
      </c>
      <c r="X754" t="str">
        <f>DataItems3[[#This Row],[Collection]]&amp;DataItems3[[#This Row],[Field]]&amp;DataItems3[[#This Row],[Options for supplying the Field]]&amp;DataItems3[[#This Row],[Fieldname]]&amp;DataItems3[[#This Row],[Parent]]</f>
        <v>StudentSubject of study 2(Principal subject)F_ZSBJ2</v>
      </c>
      <c r="Y754" s="4">
        <v>44161</v>
      </c>
      <c r="Z754" t="s">
        <v>99</v>
      </c>
      <c r="AA754" s="28" t="str">
        <f t="shared" si="114"/>
        <v xml:space="preserve">case when s.DW_FromDate between 20120801 and 20180801 then CASE WHEN d.F_ZSBJ2 in ('', '/') then 'Not applicable' WHEN SUBSTRING(d.F_ZSBJ2, 1, 2) IN ('R0', 'T0') THEN 'Q0' ELSE SUBSTRING(d.F_ZSBJ2, 1, 2)END ELSE 'Not applicable 2019/20 onwards' END </v>
      </c>
      <c r="AB754" s="28" t="str">
        <f t="shared" si="111"/>
        <v>IIF(s.DW_FromDate &gt;= 20190801,'Not applicable 2019/20 onwards',IIF(d.F_ZSBJ2 IN ('', '/'),'Not applicable',jzsbj2.DW_CurrentLabel))</v>
      </c>
      <c r="AC754" s="28" t="str">
        <f t="shared" si="112"/>
        <v xml:space="preserve">case when s.DW_FromDate between 20120801 and 20180801 then CASE WHEN d.F_ZSBJ2 in ('', '/') then 'Not applicable' WHEN SUBSTRING(d.F_ZSBJ2, 1, 2) IN ('R0', 'T0') THEN 'Q0' ELSE SUBSTRING(d.F_ZSBJ2, 1, 2)END ELSE 'Not applicable 2019/20 onwards' END </v>
      </c>
      <c r="AD754" s="28" t="str">
        <f t="shared" si="113"/>
        <v>IIF(s.DW_FromDate &gt;= 20190801,'Not applicable 2019/20 onwards',IIF(d.F_ZSBJ2 IN ('', '/'),'Not applicable',jzsbj2.DW_CurrentLabel))</v>
      </c>
      <c r="AE754" t="str">
        <f t="shared" si="108"/>
        <v>[Subject of study 2]</v>
      </c>
    </row>
    <row r="755" spans="1:31" ht="16" x14ac:dyDescent="0.2">
      <c r="A755">
        <v>100690</v>
      </c>
      <c r="B755" s="11" t="str">
        <f>DataItems3[[#This Row],[Field]]&amp;IF(DataItems3[[#This Row],[Options for supplying the Field]]="",""," "&amp;DataItems3[[#This Row],[Options for supplying the Field]])</f>
        <v>Subject of study 2 (Subject area)</v>
      </c>
      <c r="C755">
        <v>100690</v>
      </c>
      <c r="D755" s="3" t="s">
        <v>86</v>
      </c>
      <c r="E755" s="3" t="s">
        <v>106</v>
      </c>
      <c r="F755" s="3" t="s">
        <v>2546</v>
      </c>
      <c r="G755" s="13" t="s">
        <v>2439</v>
      </c>
      <c r="H755" s="14" t="s">
        <v>2547</v>
      </c>
      <c r="J755" s="3">
        <v>0</v>
      </c>
      <c r="K755" s="3">
        <v>0</v>
      </c>
      <c r="L755" s="3">
        <v>0</v>
      </c>
      <c r="M755" s="3">
        <v>0</v>
      </c>
      <c r="N755" s="3" t="s">
        <v>89</v>
      </c>
      <c r="Q755" s="28" t="s">
        <v>2551</v>
      </c>
      <c r="R755" t="s">
        <v>2551</v>
      </c>
      <c r="S755" s="28" t="s">
        <v>3302</v>
      </c>
      <c r="T755" t="s">
        <v>3302</v>
      </c>
      <c r="U755" s="3" t="s">
        <v>2514</v>
      </c>
      <c r="W755" s="57" t="s">
        <v>114</v>
      </c>
      <c r="X755" t="str">
        <f>DataItems3[[#This Row],[Collection]]&amp;DataItems3[[#This Row],[Field]]&amp;DataItems3[[#This Row],[Options for supplying the Field]]&amp;DataItems3[[#This Row],[Fieldname]]&amp;DataItems3[[#This Row],[Parent]]</f>
        <v>StudentSubject of study 2(Subject area)F_ZSBJ2</v>
      </c>
      <c r="Y755" s="4">
        <v>44161</v>
      </c>
      <c r="Z755" t="s">
        <v>99</v>
      </c>
      <c r="AA755" s="28" t="str">
        <f t="shared" si="114"/>
        <v>case when s.DW_FromDate between 20070801 and 20180801 then CASE WHEN d.F_ZSBJ2 in ('', '/') THEN 'Not applicable' ELSE dbo.SP_JACSA01_area(d.f_zsbj2) end ELSE 'Not applicable 2019/20 onwards' END</v>
      </c>
      <c r="AB755" s="28" t="str">
        <f t="shared" si="111"/>
        <v>IIF(s.DW_FromDate &gt;= 20190801,'Not applicable 2019/20 onwards',IIF(d.F_ZSBJ2 IN ('', '/'),'Not applicable',jzsbj2.DW_CurrentLabel))</v>
      </c>
      <c r="AC755" s="28" t="str">
        <f t="shared" si="112"/>
        <v>case when s.DW_FromDate between 20070801 and 20180801 then CASE WHEN d.F_ZSBJ2 in ('', '/') THEN 'Not applicable' ELSE dbo.SP_JACSA01_area(d.f_zsbj2) end ELSE 'Not applicable 2019/20 onwards' END</v>
      </c>
      <c r="AD755" s="28" t="str">
        <f t="shared" si="113"/>
        <v>IIF(s.DW_FromDate &gt;= 20190801,'Not applicable 2019/20 onwards',IIF(d.F_ZSBJ2 IN ('', '/'),'Not applicable',jzsbj2.DW_CurrentLabel))</v>
      </c>
      <c r="AE755" t="str">
        <f t="shared" si="108"/>
        <v>[Subject of study 2]</v>
      </c>
    </row>
    <row r="756" spans="1:31" ht="32" x14ac:dyDescent="0.2">
      <c r="A756">
        <v>100708</v>
      </c>
      <c r="B756" s="29" t="str">
        <f>DataItems3[[#This Row],[Field]]&amp;IF(DataItems3[[#This Row],[Options for supplying the Field]]="",""," "&amp;DataItems3[[#This Row],[Options for supplying the Field]])</f>
        <v>Subject of study 2 (CAH1) (2019/20 onwards)</v>
      </c>
      <c r="C756">
        <v>100708</v>
      </c>
      <c r="D756" s="3" t="s">
        <v>86</v>
      </c>
      <c r="E756" s="3" t="s">
        <v>106</v>
      </c>
      <c r="F756" s="3" t="s">
        <v>2546</v>
      </c>
      <c r="G756" s="13" t="s">
        <v>2453</v>
      </c>
      <c r="H756" s="14" t="s">
        <v>2552</v>
      </c>
      <c r="I756" s="13"/>
      <c r="J756" s="3">
        <v>0</v>
      </c>
      <c r="K756" s="3">
        <v>0</v>
      </c>
      <c r="L756" s="3">
        <v>0</v>
      </c>
      <c r="M756" s="3">
        <v>0</v>
      </c>
      <c r="N756" s="3" t="s">
        <v>89</v>
      </c>
      <c r="Q756" s="28" t="s">
        <v>3303</v>
      </c>
      <c r="R756" t="s">
        <v>3303</v>
      </c>
      <c r="S756" s="28" t="s">
        <v>2553</v>
      </c>
      <c r="T756" t="s">
        <v>2553</v>
      </c>
      <c r="U756" s="3" t="s">
        <v>2554</v>
      </c>
      <c r="W756" s="57" t="s">
        <v>3301</v>
      </c>
      <c r="X756" t="str">
        <f>DataItems3[[#This Row],[Collection]]&amp;DataItems3[[#This Row],[Field]]&amp;DataItems3[[#This Row],[Options for supplying the Field]]&amp;DataItems3[[#This Row],[Fieldname]]&amp;DataItems3[[#This Row],[Parent]]</f>
        <v>StudentSubject of study 2(CAH1) (2019/20 onwards)F_ZSBJ2_CAH1</v>
      </c>
      <c r="Y756" s="15">
        <v>44161</v>
      </c>
      <c r="Z756" t="s">
        <v>776</v>
      </c>
      <c r="AA756" s="28" t="str">
        <f t="shared" si="114"/>
        <v>case when s.DW_FromDate &gt;= 20190801 then case when isnull(sbj2.[CAH3 (Code only)],'/') in ('','/','-99') then 'Not applicable' else IIF(sbj2.[CAH3 (Code only)]='CAH26-01-03','CAH26-01-03',ISNULL(sbj2.[CAH1 (Code only)],'/')) end ELSE 'Not applicable before 2019/20' END</v>
      </c>
      <c r="AB756" s="28" t="str">
        <f t="shared" si="111"/>
        <v>case when s.DW_FromDate &gt;= 20190801 then IIF(sbj2.[CAH3 (Code only)]='CAH26-01-03','(CAH26) Geography, Earth and Environmental Studies(social sciences)',ISNULL(sbj2.[CAH1],'Not applicable')) ELSE 'Not applicable before 2019/20' END</v>
      </c>
      <c r="AC756" s="28" t="str">
        <f t="shared" si="112"/>
        <v>case when s.DW_FromDate &gt;= 20190801 then case when isnull(sbj2.[CAH3 (Code only)],'/') in ('','/','-99') then 'Not applicable' else IIF(sbj2.[CAH3 (Code only)]='CAH26-01-03','CAH26-01-03',ISNULL(sbj2.[CAH1 (Code only)],'/')) end ELSE 'Not applicable before 2019/20' END</v>
      </c>
      <c r="AD756" s="28" t="str">
        <f t="shared" si="113"/>
        <v>case when s.DW_FromDate &gt;= 20190801 then IIF(sbj2.[CAH3 (Code only)]='CAH26-01-03','(CAH26) Geography, Earth and Environmental Studies(social sciences)',ISNULL(sbj2.[CAH1],'Not applicable')) ELSE 'Not applicable before 2019/20' END</v>
      </c>
      <c r="AE756" t="str">
        <f t="shared" si="108"/>
        <v>[Subject of study 2]</v>
      </c>
    </row>
    <row r="757" spans="1:31" ht="32" x14ac:dyDescent="0.2">
      <c r="A757">
        <v>100861</v>
      </c>
      <c r="B757" s="29" t="str">
        <f>DataItems3[[#This Row],[Field]]&amp;IF(DataItems3[[#This Row],[Options for supplying the Field]]="",""," "&amp;DataItems3[[#This Row],[Options for supplying the Field]])</f>
        <v>Subject of study 2 (CAH1) (2012/13-2018/19)</v>
      </c>
      <c r="C757">
        <v>100861</v>
      </c>
      <c r="D757" s="3" t="s">
        <v>86</v>
      </c>
      <c r="E757" s="3" t="s">
        <v>106</v>
      </c>
      <c r="F757" s="3" t="s">
        <v>2546</v>
      </c>
      <c r="G757" s="13" t="s">
        <v>2458</v>
      </c>
      <c r="H757" s="14" t="s">
        <v>2555</v>
      </c>
      <c r="I757" s="13"/>
      <c r="J757" s="3">
        <v>0</v>
      </c>
      <c r="K757" s="3">
        <v>0</v>
      </c>
      <c r="L757" s="3">
        <v>0</v>
      </c>
      <c r="M757" s="3">
        <v>0</v>
      </c>
      <c r="Q757" s="28" t="s">
        <v>2556</v>
      </c>
      <c r="R757" t="s">
        <v>2556</v>
      </c>
      <c r="S757" s="28" t="s">
        <v>2557</v>
      </c>
      <c r="T757" s="28" t="s">
        <v>2557</v>
      </c>
      <c r="U757" s="3" t="s">
        <v>2558</v>
      </c>
      <c r="W757" s="57" t="s">
        <v>114</v>
      </c>
      <c r="X757" t="str">
        <f>DataItems3[[#This Row],[Collection]]&amp;DataItems3[[#This Row],[Field]]&amp;DataItems3[[#This Row],[Options for supplying the Field]]&amp;DataItems3[[#This Row],[Fieldname]]&amp;DataItems3[[#This Row],[Parent]]</f>
        <v>StudentSubject of study 2(CAH1) (2012/13-2018/19)F_ZSBJ2_CAH1_map</v>
      </c>
      <c r="Y757" s="4">
        <v>44684</v>
      </c>
      <c r="Z757" t="s">
        <v>135</v>
      </c>
      <c r="AA757" s="28" t="str">
        <f t="shared" si="114"/>
        <v>case when s.DW_FromDate &lt; 20190801 then case when isnull(cahjacs2.[CAH3 (Code only)],'/') in ('','/') then 'Not applicable' else IIF(cahjacs2.[CAH3 (Code only)]='CAH26-01-03','CAH26-01-03',ISNULL(cahjacs2.[CAH1 (Code only)],'/')) end ELSE 'Not applicable 2019/20 onwards' END</v>
      </c>
      <c r="AB757" s="28" t="str">
        <f t="shared" si="111"/>
        <v>case when s.DW_FromDate &lt; 20190801 then case when isnull(cahjacs2.[CAH3 (Code only)],'/') in ('','/') then 'Not applicable' else IIF(cahjacs2.[CAH3 (Code only)]='CAH26-01-03','CAH26-01-03',ISNULL(cahjacs2.[CAH1],'/')) end ELSE 'Not applicable 2019/20 onwards' END</v>
      </c>
      <c r="AC757" s="28" t="str">
        <f t="shared" si="112"/>
        <v>case when s.DW_FromDate &lt; 20190801 then case when isnull(cahjacs2.[CAH3 (Code only)],'/') in ('','/') then 'Not applicable' else IIF(cahjacs2.[CAH3 (Code only)]='CAH26-01-03','CAH26-01-03',ISNULL(cahjacs2.[CAH1 (Code only)],'/')) end ELSE 'Not applicable 2019/20 onwards' END</v>
      </c>
      <c r="AD757" s="28" t="str">
        <f t="shared" si="113"/>
        <v>case when s.DW_FromDate &lt; 20190801 then case when isnull(cahjacs2.[CAH3 (Code only)],'/') in ('','/') then 'Not applicable' else IIF(cahjacs2.[CAH3 (Code only)]='CAH26-01-03','CAH26-01-03',ISNULL(cahjacs2.[CAH1],'/')) end ELSE 'Not applicable 2019/20 onwards' END</v>
      </c>
      <c r="AE757" t="str">
        <f t="shared" si="108"/>
        <v>[Subject of study 2]</v>
      </c>
    </row>
    <row r="758" spans="1:31" ht="32" x14ac:dyDescent="0.2">
      <c r="A758">
        <v>100718</v>
      </c>
      <c r="B758" s="29" t="str">
        <f>DataItems3[[#This Row],[Field]]&amp;IF(DataItems3[[#This Row],[Options for supplying the Field]]="",""," "&amp;DataItems3[[#This Row],[Options for supplying the Field]])</f>
        <v>Subject of study 2 (CAH2) (2019/20 onwards)</v>
      </c>
      <c r="C758">
        <v>100718</v>
      </c>
      <c r="D758" s="3" t="s">
        <v>86</v>
      </c>
      <c r="E758" s="3" t="s">
        <v>106</v>
      </c>
      <c r="F758" s="3" t="s">
        <v>2546</v>
      </c>
      <c r="G758" s="13" t="s">
        <v>2464</v>
      </c>
      <c r="H758" s="14" t="s">
        <v>2559</v>
      </c>
      <c r="I758" s="13"/>
      <c r="J758" s="3">
        <v>0</v>
      </c>
      <c r="K758" s="3">
        <v>0</v>
      </c>
      <c r="L758" s="3">
        <v>0</v>
      </c>
      <c r="M758" s="3">
        <v>0</v>
      </c>
      <c r="N758" s="3" t="s">
        <v>89</v>
      </c>
      <c r="Q758" s="28" t="s">
        <v>3304</v>
      </c>
      <c r="R758" t="s">
        <v>3304</v>
      </c>
      <c r="S758" s="28" t="s">
        <v>2560</v>
      </c>
      <c r="T758" t="s">
        <v>2560</v>
      </c>
      <c r="U758" s="3" t="s">
        <v>2554</v>
      </c>
      <c r="W758" s="57" t="s">
        <v>3301</v>
      </c>
      <c r="X758" t="str">
        <f>DataItems3[[#This Row],[Collection]]&amp;DataItems3[[#This Row],[Field]]&amp;DataItems3[[#This Row],[Options for supplying the Field]]&amp;DataItems3[[#This Row],[Fieldname]]&amp;DataItems3[[#This Row],[Parent]]</f>
        <v>StudentSubject of study 2(CAH2) (2019/20 onwards)F_ZSBJ2_CAH2</v>
      </c>
      <c r="Y758" s="15">
        <v>44161</v>
      </c>
      <c r="Z758" t="s">
        <v>776</v>
      </c>
      <c r="AA758" s="28" t="str">
        <f t="shared" si="114"/>
        <v>case when s.DW_FromDate &gt;= 20190801 then case when isnull(sbj2.[CAH3 (Code only)],'/') in ('','/','-99') then 'Not applicable' else IIF(sbj2.[CAH3 (Code only)]='CAH26-01-03','CAH26-01-03',ISNULL(sbj2.[CAH2 (Code only)],'/')) end ELSE 'Not applicable before 2019/20' END</v>
      </c>
      <c r="AB758" s="28" t="str">
        <f t="shared" si="111"/>
        <v>case when s.DW_FromDate &gt;= 20190801 then IIF(sbj2.[CAH3 (Code only)]='CAH26-01-03','(CAH26) Geography, Earth and Environmental Studies(social sciences)',ISNULL(sbj2.[CAH2],'Not applicable')) ELSE 'Not applicable before 2019/20' END</v>
      </c>
      <c r="AC758" s="28" t="str">
        <f t="shared" si="112"/>
        <v>case when s.DW_FromDate &gt;= 20190801 then case when isnull(sbj2.[CAH3 (Code only)],'/') in ('','/','-99') then 'Not applicable' else IIF(sbj2.[CAH3 (Code only)]='CAH26-01-03','CAH26-01-03',ISNULL(sbj2.[CAH2 (Code only)],'/')) end ELSE 'Not applicable before 2019/20' END</v>
      </c>
      <c r="AD758" s="28" t="str">
        <f t="shared" si="113"/>
        <v>case when s.DW_FromDate &gt;= 20190801 then IIF(sbj2.[CAH3 (Code only)]='CAH26-01-03','(CAH26) Geography, Earth and Environmental Studies(social sciences)',ISNULL(sbj2.[CAH2],'Not applicable')) ELSE 'Not applicable before 2019/20' END</v>
      </c>
      <c r="AE758" t="str">
        <f t="shared" si="108"/>
        <v>[Subject of study 2]</v>
      </c>
    </row>
    <row r="759" spans="1:31" ht="32" x14ac:dyDescent="0.2">
      <c r="A759">
        <v>100862</v>
      </c>
      <c r="B759" s="29" t="str">
        <f>DataItems3[[#This Row],[Field]]&amp;IF(DataItems3[[#This Row],[Options for supplying the Field]]="",""," "&amp;DataItems3[[#This Row],[Options for supplying the Field]])</f>
        <v>Subject of study 2 (CAH2) (2012/13-2018/19)</v>
      </c>
      <c r="C759">
        <v>100862</v>
      </c>
      <c r="D759" s="3" t="s">
        <v>86</v>
      </c>
      <c r="E759" s="3" t="s">
        <v>106</v>
      </c>
      <c r="F759" s="3" t="s">
        <v>2546</v>
      </c>
      <c r="G759" s="13" t="s">
        <v>2469</v>
      </c>
      <c r="H759" s="14" t="s">
        <v>2561</v>
      </c>
      <c r="I759" s="13"/>
      <c r="J759" s="3">
        <v>0</v>
      </c>
      <c r="K759" s="3">
        <v>0</v>
      </c>
      <c r="L759" s="3">
        <v>0</v>
      </c>
      <c r="M759" s="3">
        <v>0</v>
      </c>
      <c r="Q759" s="28" t="s">
        <v>2562</v>
      </c>
      <c r="R759" t="s">
        <v>2562</v>
      </c>
      <c r="S759" s="28" t="s">
        <v>2563</v>
      </c>
      <c r="T759" s="28" t="s">
        <v>2563</v>
      </c>
      <c r="U759" s="3" t="s">
        <v>2558</v>
      </c>
      <c r="W759" s="57" t="s">
        <v>114</v>
      </c>
      <c r="X759" t="str">
        <f>DataItems3[[#This Row],[Collection]]&amp;DataItems3[[#This Row],[Field]]&amp;DataItems3[[#This Row],[Options for supplying the Field]]&amp;DataItems3[[#This Row],[Fieldname]]&amp;DataItems3[[#This Row],[Parent]]</f>
        <v>StudentSubject of study 2(CAH2) (2012/13-2018/19)F_ZSBJ2_CAH2_map</v>
      </c>
      <c r="Y759" s="4">
        <v>44684</v>
      </c>
      <c r="Z759" t="s">
        <v>135</v>
      </c>
      <c r="AA759" s="28" t="str">
        <f t="shared" si="114"/>
        <v>case when s.DW_FromDate &lt; 20190801 then case when isnull(cahjacs2.[CAH3 (Code only)],'/') in ('','/') then 'Not applicable' else IIF(cahjacs2.[CAH3 (Code only)]='CAH26-01-03','CAH26-01-03',ISNULL(cahjacs2.[CAH2 (code only)],'/')) end ELSE 'Not applicable 2019/20 onwards' END</v>
      </c>
      <c r="AB759" s="28" t="str">
        <f t="shared" si="111"/>
        <v>case when s.DW_FromDate &lt; 20190801 then case when isnull(cahjacs2.[CAH3 (Code only)],'/') in ('','/') then 'Not applicable' else IIF(cahjacs2.[CAH3 (Code only)]='CAH26-01-03','CAH26-01-03',ISNULL(cahjacs2.[CAH2],'/')) end ELSE 'Not applicable 2019/20 onwards' END</v>
      </c>
      <c r="AC759" s="28" t="str">
        <f t="shared" si="112"/>
        <v>case when s.DW_FromDate &lt; 20190801 then case when isnull(cahjacs2.[CAH3 (Code only)],'/') in ('','/') then 'Not applicable' else IIF(cahjacs2.[CAH3 (Code only)]='CAH26-01-03','CAH26-01-03',ISNULL(cahjacs2.[CAH2 (code only)],'/')) end ELSE 'Not applicable 2019/20 onwards' END</v>
      </c>
      <c r="AD759" s="28" t="str">
        <f t="shared" si="113"/>
        <v>case when s.DW_FromDate &lt; 20190801 then case when isnull(cahjacs2.[CAH3 (Code only)],'/') in ('','/') then 'Not applicable' else IIF(cahjacs2.[CAH3 (Code only)]='CAH26-01-03','CAH26-01-03',ISNULL(cahjacs2.[CAH2],'/')) end ELSE 'Not applicable 2019/20 onwards' END</v>
      </c>
      <c r="AE759" t="str">
        <f t="shared" si="108"/>
        <v>[Subject of study 2]</v>
      </c>
    </row>
    <row r="760" spans="1:31" ht="32" x14ac:dyDescent="0.2">
      <c r="A760">
        <v>100728</v>
      </c>
      <c r="B760" s="29" t="str">
        <f>DataItems3[[#This Row],[Field]]&amp;IF(DataItems3[[#This Row],[Options for supplying the Field]]="",""," "&amp;DataItems3[[#This Row],[Options for supplying the Field]])</f>
        <v>Subject of study 2 (CAH3) (2019/20 onwards)</v>
      </c>
      <c r="C760">
        <v>100728</v>
      </c>
      <c r="D760" s="3" t="s">
        <v>86</v>
      </c>
      <c r="E760" s="3" t="s">
        <v>106</v>
      </c>
      <c r="F760" s="3" t="s">
        <v>2546</v>
      </c>
      <c r="G760" s="13" t="s">
        <v>2473</v>
      </c>
      <c r="H760" s="14" t="s">
        <v>2564</v>
      </c>
      <c r="I760" s="13"/>
      <c r="J760" s="3">
        <v>0</v>
      </c>
      <c r="K760" s="3">
        <v>0</v>
      </c>
      <c r="L760" s="3">
        <v>0</v>
      </c>
      <c r="M760" s="3">
        <v>0</v>
      </c>
      <c r="N760" s="3" t="s">
        <v>89</v>
      </c>
      <c r="Q760" s="28" t="s">
        <v>3305</v>
      </c>
      <c r="R760" t="s">
        <v>3305</v>
      </c>
      <c r="S760" s="28" t="s">
        <v>3306</v>
      </c>
      <c r="T760" t="s">
        <v>3306</v>
      </c>
      <c r="U760" s="3" t="s">
        <v>2554</v>
      </c>
      <c r="W760" s="57" t="s">
        <v>3301</v>
      </c>
      <c r="X760" t="str">
        <f>DataItems3[[#This Row],[Collection]]&amp;DataItems3[[#This Row],[Field]]&amp;DataItems3[[#This Row],[Options for supplying the Field]]&amp;DataItems3[[#This Row],[Fieldname]]&amp;DataItems3[[#This Row],[Parent]]</f>
        <v>StudentSubject of study 2(CAH3) (2019/20 onwards)F_ZSBJ2_CAH3</v>
      </c>
      <c r="Y760" s="15">
        <v>44161</v>
      </c>
      <c r="Z760" t="s">
        <v>776</v>
      </c>
      <c r="AA760" s="28" t="str">
        <f t="shared" si="114"/>
        <v>case when s.DW_FromDate &gt;= 20190801 then case when isnull(sbj2.[CAH3 (Code only)],'/') in ('','/','-99') then 'Not applicable' else ISNULL(sbj2.[CAH3 (Code only)],'/') end ELSE 'Not applicable before 2019/20' END</v>
      </c>
      <c r="AB760" s="28" t="str">
        <f t="shared" si="111"/>
        <v xml:space="preserve">case when s.DW_FromDate &gt;= 20190801 then case when isnull(sbj2.[CAH3 (Code only)],'/') in ('','/','-99') then 'Not applicable' else ISNULL(sbj2.[CAH3],'/') end ELSE 'Not applicable before 2019/20' END </v>
      </c>
      <c r="AC760" s="28" t="str">
        <f t="shared" si="112"/>
        <v>case when s.DW_FromDate &gt;= 20190801 then case when isnull(sbj2.[CAH3 (Code only)],'/') in ('','/','-99') then 'Not applicable' else ISNULL(sbj2.[CAH3 (Code only)],'/') end ELSE 'Not applicable before 2019/20' END</v>
      </c>
      <c r="AD760" s="28" t="str">
        <f t="shared" si="113"/>
        <v xml:space="preserve">case when s.DW_FromDate &gt;= 20190801 then case when isnull(sbj2.[CAH3 (Code only)],'/') in ('','/','-99') then 'Not applicable' else ISNULL(sbj2.[CAH3],'/') end ELSE 'Not applicable before 2019/20' END </v>
      </c>
      <c r="AE760" t="str">
        <f t="shared" si="108"/>
        <v>[Subject of study 2]</v>
      </c>
    </row>
    <row r="761" spans="1:31" ht="32" x14ac:dyDescent="0.2">
      <c r="A761">
        <v>100863</v>
      </c>
      <c r="B761" s="29" t="str">
        <f>DataItems3[[#This Row],[Field]]&amp;IF(DataItems3[[#This Row],[Options for supplying the Field]]="",""," "&amp;DataItems3[[#This Row],[Options for supplying the Field]])</f>
        <v>Subject of study 2 (CAH3) (2012/13-2018/19)</v>
      </c>
      <c r="C761">
        <v>100863</v>
      </c>
      <c r="D761" s="3" t="s">
        <v>86</v>
      </c>
      <c r="E761" s="3" t="s">
        <v>106</v>
      </c>
      <c r="F761" s="3" t="s">
        <v>2546</v>
      </c>
      <c r="G761" s="13" t="s">
        <v>2478</v>
      </c>
      <c r="H761" s="14" t="s">
        <v>2565</v>
      </c>
      <c r="I761" s="13"/>
      <c r="J761" s="3">
        <v>0</v>
      </c>
      <c r="K761" s="3">
        <v>0</v>
      </c>
      <c r="L761" s="3">
        <v>0</v>
      </c>
      <c r="M761" s="3">
        <v>0</v>
      </c>
      <c r="Q761" s="28" t="s">
        <v>2566</v>
      </c>
      <c r="R761" t="s">
        <v>2566</v>
      </c>
      <c r="S761" s="28" t="s">
        <v>2567</v>
      </c>
      <c r="T761" t="s">
        <v>2567</v>
      </c>
      <c r="U761" s="3" t="s">
        <v>2558</v>
      </c>
      <c r="W761" s="57" t="s">
        <v>114</v>
      </c>
      <c r="X761" t="str">
        <f>DataItems3[[#This Row],[Collection]]&amp;DataItems3[[#This Row],[Field]]&amp;DataItems3[[#This Row],[Options for supplying the Field]]&amp;DataItems3[[#This Row],[Fieldname]]&amp;DataItems3[[#This Row],[Parent]]</f>
        <v>StudentSubject of study 2(CAH3) (2012/13-2018/19)F_ZSBJ2_CAH3_map</v>
      </c>
      <c r="Y761" s="4">
        <v>44684</v>
      </c>
      <c r="Z761" t="s">
        <v>135</v>
      </c>
      <c r="AA761" s="28" t="str">
        <f t="shared" si="114"/>
        <v xml:space="preserve">case when s.DW_FromDate &lt; 20190801 then case when isnull(cahjacs2.[CAH3 (Code only)],'/') in ('','/') then 'Not applicable' else ISNULL(cahjacs2.[CAH3 (code only)],'/') end ELSE 'Not applicable 2019/20 onwards' END </v>
      </c>
      <c r="AB761" s="28" t="str">
        <f t="shared" si="111"/>
        <v xml:space="preserve">case when s.DW_FromDate &lt; 20190801 then case when isnull(cahjacs2.[CAH3 (Code only)],'/') in ('','/') then 'Not applicable' else ISNULL(cahjacs2.[CAH3],'/') end ELSE 'Not applicable 2019/20 onwards' END </v>
      </c>
      <c r="AC761" s="28" t="str">
        <f t="shared" si="112"/>
        <v xml:space="preserve">case when s.DW_FromDate &lt; 20190801 then case when isnull(cahjacs2.[CAH3 (Code only)],'/') in ('','/') then 'Not applicable' else ISNULL(cahjacs2.[CAH3 (code only)],'/') end ELSE 'Not applicable 2019/20 onwards' END </v>
      </c>
      <c r="AD761" s="28" t="str">
        <f t="shared" si="113"/>
        <v xml:space="preserve">case when s.DW_FromDate &lt; 20190801 then case when isnull(cahjacs2.[CAH3 (Code only)],'/') in ('','/') then 'Not applicable' else ISNULL(cahjacs2.[CAH3],'/') end ELSE 'Not applicable 2019/20 onwards' END </v>
      </c>
      <c r="AE761" t="str">
        <f t="shared" si="108"/>
        <v>[Subject of study 2]</v>
      </c>
    </row>
    <row r="762" spans="1:31" ht="15" customHeight="1" x14ac:dyDescent="0.2">
      <c r="A762">
        <v>100698</v>
      </c>
      <c r="B762" s="29" t="str">
        <f>DataItems3[[#This Row],[Field]]&amp;IF(DataItems3[[#This Row],[Options for supplying the Field]]="",""," "&amp;DataItems3[[#This Row],[Options for supplying the Field]])</f>
        <v>Subject of study 2 (HECoS 2019/20 onwards)</v>
      </c>
      <c r="C762">
        <v>100698</v>
      </c>
      <c r="D762" s="3" t="s">
        <v>86</v>
      </c>
      <c r="E762" s="3" t="s">
        <v>106</v>
      </c>
      <c r="F762" s="3" t="s">
        <v>2546</v>
      </c>
      <c r="G762" s="13" t="s">
        <v>609</v>
      </c>
      <c r="H762" s="14" t="s">
        <v>2568</v>
      </c>
      <c r="I762" s="13"/>
      <c r="J762" s="3">
        <v>0</v>
      </c>
      <c r="K762" s="3">
        <v>0</v>
      </c>
      <c r="L762" s="3">
        <v>0</v>
      </c>
      <c r="M762" s="3">
        <v>0</v>
      </c>
      <c r="N762" s="3" t="s">
        <v>89</v>
      </c>
      <c r="Q762" s="28" t="s">
        <v>3307</v>
      </c>
      <c r="R762" t="s">
        <v>3307</v>
      </c>
      <c r="S762" s="28" t="s">
        <v>3308</v>
      </c>
      <c r="T762" t="s">
        <v>3308</v>
      </c>
      <c r="U762" s="3" t="s">
        <v>2569</v>
      </c>
      <c r="W762" s="57" t="s">
        <v>114</v>
      </c>
      <c r="X762" t="str">
        <f>DataItems3[[#This Row],[Collection]]&amp;DataItems3[[#This Row],[Field]]&amp;DataItems3[[#This Row],[Options for supplying the Field]]&amp;DataItems3[[#This Row],[Fieldname]]&amp;DataItems3[[#This Row],[Parent]]</f>
        <v>StudentSubject of study 2(HECoS 2019/20 onwards)F_ZSBJ2_HECOS</v>
      </c>
      <c r="Y762" s="15">
        <v>44161</v>
      </c>
      <c r="Z762" t="s">
        <v>776</v>
      </c>
      <c r="AA762" s="28" t="str">
        <f t="shared" si="114"/>
        <v>case when s.DW_FromDate &gt;= 20190801 then case when isnull(d.f_zsbj2,'/') in ('','/','-99') then 'Not applicable' else  cast(d.f_zsbj2 as varchar) end ELSE 'Not applicable 2019/20 onwards' END</v>
      </c>
      <c r="AB762" s="28" t="str">
        <f t="shared" si="111"/>
        <v>case when s.DW_FromDate &gt;= 20190801 then IIF(d.f_zsbj2 IN ('','/','-99'),'Not applicable',hzsbj2.dw_Currentlabel) else  'Not applicable before 2019/20' end</v>
      </c>
      <c r="AC762" s="28" t="str">
        <f t="shared" si="112"/>
        <v>case when s.DW_FromDate &gt;= 20190801 then case when isnull(d.f_zsbj2,'/') in ('','/','-99') then 'Not applicable' else  cast(d.f_zsbj2 as varchar) end ELSE 'Not applicable 2019/20 onwards' END</v>
      </c>
      <c r="AD762" s="28" t="str">
        <f t="shared" si="113"/>
        <v>case when s.DW_FromDate &gt;= 20190801 then IIF(d.f_zsbj2 IN ('','/','-99'),'Not applicable',hzsbj2.dw_Currentlabel) else  'Not applicable before 2019/20' end</v>
      </c>
      <c r="AE762" t="str">
        <f t="shared" si="108"/>
        <v>[Subject of study 2]</v>
      </c>
    </row>
    <row r="763" spans="1:31" ht="16" x14ac:dyDescent="0.2">
      <c r="A763">
        <v>100693</v>
      </c>
      <c r="B763" s="11" t="str">
        <f>DataItems3[[#This Row],[Field]]&amp;IF(DataItems3[[#This Row],[Options for supplying the Field]]="",""," "&amp;DataItems3[[#This Row],[Options for supplying the Field]])</f>
        <v>Subject of study 2 percentage (JACS before 2019/20)</v>
      </c>
      <c r="C763">
        <v>100693</v>
      </c>
      <c r="D763" s="3" t="s">
        <v>86</v>
      </c>
      <c r="E763" s="3" t="s">
        <v>106</v>
      </c>
      <c r="F763" s="3" t="s">
        <v>2570</v>
      </c>
      <c r="G763" s="13" t="s">
        <v>2294</v>
      </c>
      <c r="H763" s="14" t="s">
        <v>2571</v>
      </c>
      <c r="J763" s="3">
        <v>0</v>
      </c>
      <c r="K763" s="3">
        <v>0</v>
      </c>
      <c r="L763" s="3">
        <v>0</v>
      </c>
      <c r="M763" s="3">
        <v>0</v>
      </c>
      <c r="N763" s="3" t="s">
        <v>89</v>
      </c>
      <c r="Q763" s="28" t="s">
        <v>2572</v>
      </c>
      <c r="R763" t="s">
        <v>2572</v>
      </c>
      <c r="S763" s="28" t="s">
        <v>2573</v>
      </c>
      <c r="T763" t="s">
        <v>2573</v>
      </c>
      <c r="U763" s="3" t="s">
        <v>92</v>
      </c>
      <c r="W763" s="57" t="s">
        <v>114</v>
      </c>
      <c r="X763" t="str">
        <f>DataItems3[[#This Row],[Collection]]&amp;DataItems3[[#This Row],[Field]]&amp;DataItems3[[#This Row],[Options for supplying the Field]]&amp;DataItems3[[#This Row],[Fieldname]]&amp;DataItems3[[#This Row],[Parent]]</f>
        <v>StudentSubject of study 2 percentage(JACS before 2019/20)F_ZSBJPCT2</v>
      </c>
      <c r="Y763" s="4">
        <v>44161</v>
      </c>
      <c r="Z763" t="s">
        <v>99</v>
      </c>
      <c r="AA763" s="28" t="str">
        <f t="shared" si="114"/>
        <v>case when s.DW_FromDate between 20120801 and 20180801 then case when isnull(cast(d.f_zsbjpct2 as varchar),'/') in ('','/') then 'Not applicable' else cast(d.F_ZSBJPCT2 as varchar) end ELSE 'Not applicable 2019/20 onwards' END</v>
      </c>
      <c r="AB763" s="28" t="str">
        <f t="shared" si="111"/>
        <v>case when s.DW_FromDate between 20120801 and 20180801 then case when isnull(cast(d.f_ZSBJPCT2 as varchar),'') in ('','/') then 'Not applicable' else cast(d.F_ZSBJPCT2 as varchar) end else 'Not applicable 2019/20 onwards' end</v>
      </c>
      <c r="AC763" s="28" t="str">
        <f t="shared" si="112"/>
        <v>case when s.DW_FromDate between 20120801 and 20180801 then case when isnull(cast(d.f_zsbjpct2 as varchar),'/') in ('','/') then 'Not applicable' else cast(d.F_ZSBJPCT2 as varchar) end ELSE 'Not applicable 2019/20 onwards' END</v>
      </c>
      <c r="AD763" s="28" t="str">
        <f t="shared" si="113"/>
        <v>case when s.DW_FromDate between 20120801 and 20180801 then case when isnull(cast(d.f_ZSBJPCT2 as varchar),'') in ('','/') then 'Not applicable' else cast(d.F_ZSBJPCT2 as varchar) end else 'Not applicable 2019/20 onwards' end</v>
      </c>
      <c r="AE763" t="str">
        <f t="shared" si="108"/>
        <v>[Subject of study 2 percentage]</v>
      </c>
    </row>
    <row r="764" spans="1:31" ht="15" customHeight="1" x14ac:dyDescent="0.2">
      <c r="A764">
        <v>100703</v>
      </c>
      <c r="B764" s="29" t="str">
        <f>DataItems3[[#This Row],[Field]]&amp;IF(DataItems3[[#This Row],[Options for supplying the Field]]="",""," "&amp;DataItems3[[#This Row],[Options for supplying the Field]])</f>
        <v>Subject of study 2 percentage (HECoS 2019/20 onwards)</v>
      </c>
      <c r="C764">
        <v>100703</v>
      </c>
      <c r="D764" s="3" t="s">
        <v>86</v>
      </c>
      <c r="E764" s="3" t="s">
        <v>106</v>
      </c>
      <c r="F764" s="3" t="s">
        <v>2570</v>
      </c>
      <c r="G764" s="13" t="s">
        <v>609</v>
      </c>
      <c r="H764" s="14" t="s">
        <v>2574</v>
      </c>
      <c r="I764" s="13"/>
      <c r="J764" s="3">
        <v>0</v>
      </c>
      <c r="K764" s="3">
        <v>0</v>
      </c>
      <c r="L764" s="3">
        <v>0</v>
      </c>
      <c r="M764" s="3">
        <v>0</v>
      </c>
      <c r="N764" s="3" t="s">
        <v>89</v>
      </c>
      <c r="Q764" s="28" t="s">
        <v>2575</v>
      </c>
      <c r="R764" t="s">
        <v>2575</v>
      </c>
      <c r="S764" s="28" t="s">
        <v>2576</v>
      </c>
      <c r="T764" t="s">
        <v>2576</v>
      </c>
      <c r="U764" s="3" t="s">
        <v>92</v>
      </c>
      <c r="W764" s="57" t="s">
        <v>114</v>
      </c>
      <c r="X764" t="str">
        <f>DataItems3[[#This Row],[Collection]]&amp;DataItems3[[#This Row],[Field]]&amp;DataItems3[[#This Row],[Options for supplying the Field]]&amp;DataItems3[[#This Row],[Fieldname]]&amp;DataItems3[[#This Row],[Parent]]</f>
        <v>StudentSubject of study 2 percentage(HECoS 2019/20 onwards)F_ZSBJPCT2_HECOS</v>
      </c>
      <c r="Y764" s="15">
        <v>44161</v>
      </c>
      <c r="Z764" t="s">
        <v>776</v>
      </c>
      <c r="AA764" s="28" t="str">
        <f t="shared" si="114"/>
        <v>case when s.DW_FromDate &gt;= 20190801 then case when isnull(cast(d.f_zsbjpct2 as varchar),'/') in ('','/') then 'Not applicable' else  cast(d.F_ZSBJPCT2 as varchar)  end ELSE 'Not applicable before 2019/20' END</v>
      </c>
      <c r="AB764" s="28" t="str">
        <f t="shared" si="111"/>
        <v>case when s.DW_FromDate &gt;= 20190801 then case when isnull(cast(d.f_ZSBJPCT2 as varchar),'') in ('','/') then 'Not applicable' else cast(d.F_ZSBJPCT2 as varchar) end else 'Not applicable before 2019/20' end</v>
      </c>
      <c r="AC764" s="28" t="str">
        <f t="shared" si="112"/>
        <v>case when s.DW_FromDate &gt;= 20190801 then case when isnull(cast(d.f_zsbjpct2 as varchar),'/') in ('','/') then 'Not applicable' else  cast(d.F_ZSBJPCT2 as varchar)  end ELSE 'Not applicable before 2019/20' END</v>
      </c>
      <c r="AD764" s="28" t="str">
        <f t="shared" si="113"/>
        <v>case when s.DW_FromDate &gt;= 20190801 then case when isnull(cast(d.f_ZSBJPCT2 as varchar),'') in ('','/') then 'Not applicable' else cast(d.F_ZSBJPCT2 as varchar) end else 'Not applicable before 2019/20' end</v>
      </c>
      <c r="AE764" t="str">
        <f t="shared" si="108"/>
        <v>[Subject of study 2 percentage]</v>
      </c>
    </row>
    <row r="765" spans="1:31" ht="15" customHeight="1" x14ac:dyDescent="0.2">
      <c r="A765">
        <v>100544</v>
      </c>
      <c r="B765" s="11" t="str">
        <f>DataItems3[[#This Row],[Field]]&amp;IF(DataItems3[[#This Row],[Options for supplying the Field]]="",""," "&amp;DataItems3[[#This Row],[Options for supplying the Field]])</f>
        <v>Subject of study 3 (4-digit JACS)</v>
      </c>
      <c r="C765">
        <v>100544</v>
      </c>
      <c r="D765" s="3" t="s">
        <v>86</v>
      </c>
      <c r="E765" s="3" t="s">
        <v>106</v>
      </c>
      <c r="F765" s="3" t="s">
        <v>2577</v>
      </c>
      <c r="G765" s="13" t="s">
        <v>2507</v>
      </c>
      <c r="H765" s="14" t="s">
        <v>2578</v>
      </c>
      <c r="J765" s="3">
        <v>0</v>
      </c>
      <c r="K765" s="3">
        <v>0</v>
      </c>
      <c r="L765" s="3">
        <v>0</v>
      </c>
      <c r="M765" s="3">
        <v>0</v>
      </c>
      <c r="N765" s="3" t="s">
        <v>89</v>
      </c>
      <c r="Q765" s="28" t="s">
        <v>2579</v>
      </c>
      <c r="R765" t="s">
        <v>2579</v>
      </c>
      <c r="S765" s="28" t="s">
        <v>3309</v>
      </c>
      <c r="T765" t="s">
        <v>3309</v>
      </c>
      <c r="U765" s="3" t="s">
        <v>2580</v>
      </c>
      <c r="V765" s="3" t="s">
        <v>93</v>
      </c>
      <c r="W765" s="57" t="s">
        <v>114</v>
      </c>
      <c r="X765" t="str">
        <f>DataItems3[[#This Row],[Collection]]&amp;DataItems3[[#This Row],[Field]]&amp;DataItems3[[#This Row],[Options for supplying the Field]]&amp;DataItems3[[#This Row],[Fieldname]]&amp;DataItems3[[#This Row],[Parent]]</f>
        <v>StudentSubject of study 3(4-digit JACS)F_ZSBJ3</v>
      </c>
      <c r="Y765" s="15">
        <v>43434</v>
      </c>
      <c r="Z765" t="s">
        <v>95</v>
      </c>
      <c r="AA765" s="28" t="str">
        <f t="shared" si="114"/>
        <v>case when s.DW_FromDate between 20120801 and 20180801 then case when isnull(d.f_zsbj3,'/') in ('','/') then 'Not applicable' else  d.f_zsbj3 end ELSE 'Not applicable 2019/20 onwards' END</v>
      </c>
      <c r="AB765" s="28" t="str">
        <f t="shared" si="111"/>
        <v>IIF(s.DW_FromDate &gt;= 20190801,'Not applicable 2019/20 onwards',IIF(d.F_ZSBJ3 IN ('', '/'),'Not applicable',jzsbj3.DW_CurrentLabel))</v>
      </c>
      <c r="AC765" s="28" t="str">
        <f t="shared" si="112"/>
        <v>case when s.DW_FromDate between 20120801 and 20180801 then case when isnull(d.f_zsbj3,'/') in ('','/') then 'Not applicable' else  d.f_zsbj3 end ELSE 'Not applicable 2019/20 onwards' END</v>
      </c>
      <c r="AD765" s="28" t="str">
        <f t="shared" si="113"/>
        <v>IIF(s.DW_FromDate &gt;= 20190801,'Not applicable 2019/20 onwards',IIF(d.F_ZSBJ3 IN ('', '/'),'Not applicable',jzsbj3.DW_CurrentLabel))</v>
      </c>
      <c r="AE765" t="str">
        <f t="shared" si="108"/>
        <v>[Subject of study 3]</v>
      </c>
    </row>
    <row r="766" spans="1:31" ht="16" x14ac:dyDescent="0.2">
      <c r="A766">
        <v>100688</v>
      </c>
      <c r="B766" s="11" t="str">
        <f>DataItems3[[#This Row],[Field]]&amp;IF(DataItems3[[#This Row],[Options for supplying the Field]]="",""," "&amp;DataItems3[[#This Row],[Options for supplying the Field]])</f>
        <v>Subject of study 3 (Principal subject)</v>
      </c>
      <c r="C766">
        <v>100688</v>
      </c>
      <c r="D766" s="3" t="s">
        <v>86</v>
      </c>
      <c r="E766" s="3" t="s">
        <v>106</v>
      </c>
      <c r="F766" s="3" t="s">
        <v>2577</v>
      </c>
      <c r="G766" s="13" t="s">
        <v>2499</v>
      </c>
      <c r="H766" s="14" t="s">
        <v>2578</v>
      </c>
      <c r="J766" s="3">
        <v>0</v>
      </c>
      <c r="K766" s="3">
        <v>0</v>
      </c>
      <c r="L766" s="3">
        <v>0</v>
      </c>
      <c r="M766" s="3">
        <v>0</v>
      </c>
      <c r="N766" s="3" t="s">
        <v>89</v>
      </c>
      <c r="Q766" s="28" t="s">
        <v>2581</v>
      </c>
      <c r="R766" t="s">
        <v>2581</v>
      </c>
      <c r="S766" s="28" t="s">
        <v>3309</v>
      </c>
      <c r="T766" t="s">
        <v>3309</v>
      </c>
      <c r="U766" s="3" t="s">
        <v>2512</v>
      </c>
      <c r="W766" s="57" t="s">
        <v>114</v>
      </c>
      <c r="X766" t="str">
        <f>DataItems3[[#This Row],[Collection]]&amp;DataItems3[[#This Row],[Field]]&amp;DataItems3[[#This Row],[Options for supplying the Field]]&amp;DataItems3[[#This Row],[Fieldname]]&amp;DataItems3[[#This Row],[Parent]]</f>
        <v>StudentSubject of study 3(Principal subject)F_ZSBJ3</v>
      </c>
      <c r="Y766" s="4">
        <v>44161</v>
      </c>
      <c r="Z766" t="s">
        <v>99</v>
      </c>
      <c r="AA766" s="28" t="str">
        <f t="shared" si="114"/>
        <v>case when s.DW_FromDate between 20120801 and 20180801 then CASE when isnull(d.f_zsbj3,'/') in ('','/') THEN 'Not applicable' WHEN SUBSTRING(d.F_ZSBJ3, 1, 2) IN ('R0', 'T0') THEN 'Q0' ELSE SUBSTRING(d.F_ZSBJ3, 1, 2)END ELSE 'Not applicable 2019/20 onwards' END</v>
      </c>
      <c r="AB766" s="28" t="str">
        <f t="shared" si="111"/>
        <v>IIF(s.DW_FromDate &gt;= 20190801,'Not applicable 2019/20 onwards',IIF(d.F_ZSBJ3 IN ('', '/'),'Not applicable',jzsbj3.DW_CurrentLabel))</v>
      </c>
      <c r="AC766" s="28" t="str">
        <f t="shared" si="112"/>
        <v>case when s.DW_FromDate between 20120801 and 20180801 then CASE when isnull(d.f_zsbj3,'/') in ('','/') THEN 'Not applicable' WHEN SUBSTRING(d.F_ZSBJ3, 1, 2) IN ('R0', 'T0') THEN 'Q0' ELSE SUBSTRING(d.F_ZSBJ3, 1, 2)END ELSE 'Not applicable 2019/20 onwards' END</v>
      </c>
      <c r="AD766" s="28" t="str">
        <f t="shared" si="113"/>
        <v>IIF(s.DW_FromDate &gt;= 20190801,'Not applicable 2019/20 onwards',IIF(d.F_ZSBJ3 IN ('', '/'),'Not applicable',jzsbj3.DW_CurrentLabel))</v>
      </c>
      <c r="AE766" t="str">
        <f t="shared" ref="AE766:AE829" si="115">IF(F766="","","["&amp;SUBSTITUTE(SUBSTITUTE(SUBSTITUTE(F766,"[","{"),"]","}"),"⁽"&amp;CHAR(185)&amp;"⁾","")&amp;"]")</f>
        <v>[Subject of study 3]</v>
      </c>
    </row>
    <row r="767" spans="1:31" ht="15" customHeight="1" x14ac:dyDescent="0.2">
      <c r="A767">
        <v>100691</v>
      </c>
      <c r="B767" s="11" t="str">
        <f>DataItems3[[#This Row],[Field]]&amp;IF(DataItems3[[#This Row],[Options for supplying the Field]]="",""," "&amp;DataItems3[[#This Row],[Options for supplying the Field]])</f>
        <v>Subject of study 3 (Subject area)</v>
      </c>
      <c r="C767">
        <v>100691</v>
      </c>
      <c r="D767" s="3" t="s">
        <v>86</v>
      </c>
      <c r="E767" s="3" t="s">
        <v>106</v>
      </c>
      <c r="F767" s="3" t="s">
        <v>2577</v>
      </c>
      <c r="G767" s="13" t="s">
        <v>2439</v>
      </c>
      <c r="H767" s="14" t="s">
        <v>2578</v>
      </c>
      <c r="J767" s="3">
        <v>0</v>
      </c>
      <c r="K767" s="3">
        <v>0</v>
      </c>
      <c r="L767" s="3">
        <v>0</v>
      </c>
      <c r="M767" s="3">
        <v>0</v>
      </c>
      <c r="N767" s="3" t="s">
        <v>89</v>
      </c>
      <c r="Q767" s="28" t="s">
        <v>2582</v>
      </c>
      <c r="R767" t="s">
        <v>2582</v>
      </c>
      <c r="S767" s="28" t="s">
        <v>3309</v>
      </c>
      <c r="T767" t="s">
        <v>3309</v>
      </c>
      <c r="U767" s="3" t="s">
        <v>2514</v>
      </c>
      <c r="W767" s="57" t="s">
        <v>114</v>
      </c>
      <c r="X767" t="str">
        <f>DataItems3[[#This Row],[Collection]]&amp;DataItems3[[#This Row],[Field]]&amp;DataItems3[[#This Row],[Options for supplying the Field]]&amp;DataItems3[[#This Row],[Fieldname]]&amp;DataItems3[[#This Row],[Parent]]</f>
        <v>StudentSubject of study 3(Subject area)F_ZSBJ3</v>
      </c>
      <c r="Y767" s="4">
        <v>44161</v>
      </c>
      <c r="Z767" t="s">
        <v>99</v>
      </c>
      <c r="AA767" s="28" t="str">
        <f t="shared" si="114"/>
        <v>case when s.DW_FromDate between 20070801 and 20180801 then CASE WHEN isnull(d.F_ZSBJ3,'/') in ('', '/') THEN 'Not applicable' ELSE dbo.SP_JACSA01_area(d.f_zsbj3) end ELSE 'Not applicable 2019/20 onwards' END</v>
      </c>
      <c r="AB767" s="28" t="str">
        <f t="shared" si="111"/>
        <v>IIF(s.DW_FromDate &gt;= 20190801,'Not applicable 2019/20 onwards',IIF(d.F_ZSBJ3 IN ('', '/'),'Not applicable',jzsbj3.DW_CurrentLabel))</v>
      </c>
      <c r="AC767" s="28" t="str">
        <f t="shared" si="112"/>
        <v>case when s.DW_FromDate between 20070801 and 20180801 then CASE WHEN isnull(d.F_ZSBJ3,'/') in ('', '/') THEN 'Not applicable' ELSE dbo.SP_JACSA01_area(d.f_zsbj3) end ELSE 'Not applicable 2019/20 onwards' END</v>
      </c>
      <c r="AD767" s="28" t="str">
        <f t="shared" si="113"/>
        <v>IIF(s.DW_FromDate &gt;= 20190801,'Not applicable 2019/20 onwards',IIF(d.F_ZSBJ3 IN ('', '/'),'Not applicable',jzsbj3.DW_CurrentLabel))</v>
      </c>
      <c r="AE767" t="str">
        <f t="shared" si="115"/>
        <v>[Subject of study 3]</v>
      </c>
    </row>
    <row r="768" spans="1:31" ht="32" x14ac:dyDescent="0.2">
      <c r="A768">
        <v>100709</v>
      </c>
      <c r="B768" s="29" t="str">
        <f>DataItems3[[#This Row],[Field]]&amp;IF(DataItems3[[#This Row],[Options for supplying the Field]]="",""," "&amp;DataItems3[[#This Row],[Options for supplying the Field]])</f>
        <v>Subject of study 3 (CAH1) (2019/20 onwards)</v>
      </c>
      <c r="C768">
        <v>100709</v>
      </c>
      <c r="D768" s="3" t="s">
        <v>86</v>
      </c>
      <c r="E768" s="3" t="s">
        <v>106</v>
      </c>
      <c r="F768" s="3" t="s">
        <v>2577</v>
      </c>
      <c r="G768" s="13" t="s">
        <v>2453</v>
      </c>
      <c r="H768" s="14" t="s">
        <v>2583</v>
      </c>
      <c r="I768" s="13"/>
      <c r="J768" s="3">
        <v>0</v>
      </c>
      <c r="K768" s="3">
        <v>0</v>
      </c>
      <c r="L768" s="3">
        <v>0</v>
      </c>
      <c r="M768" s="3">
        <v>0</v>
      </c>
      <c r="N768" s="3" t="s">
        <v>89</v>
      </c>
      <c r="Q768" s="28" t="s">
        <v>3310</v>
      </c>
      <c r="R768" t="s">
        <v>3310</v>
      </c>
      <c r="S768" s="28" t="s">
        <v>2584</v>
      </c>
      <c r="T768" t="s">
        <v>2584</v>
      </c>
      <c r="U768" s="3" t="s">
        <v>2585</v>
      </c>
      <c r="W768" s="57" t="s">
        <v>114</v>
      </c>
      <c r="X768" t="str">
        <f>DataItems3[[#This Row],[Collection]]&amp;DataItems3[[#This Row],[Field]]&amp;DataItems3[[#This Row],[Options for supplying the Field]]&amp;DataItems3[[#This Row],[Fieldname]]&amp;DataItems3[[#This Row],[Parent]]</f>
        <v>StudentSubject of study 3(CAH1) (2019/20 onwards)F_ZSBJ3_CAH1</v>
      </c>
      <c r="Y768" s="15">
        <v>44161</v>
      </c>
      <c r="Z768" t="s">
        <v>776</v>
      </c>
      <c r="AA768" s="28" t="str">
        <f t="shared" si="114"/>
        <v>case when s.DW_FromDate &gt;= 20190801 then case when isnull(sbj3.[CAH3 (Code only)],'/') in ('','/','-99') then 'Not applicable' else IIF(sbj3.[CAH3 (Code only)]='CAH26-01-03','CAH26-01-03',ISNULL(sbj3.[CAH1 (Code only)],'/')) end ELSE 'Not applicable before 2019/20' END</v>
      </c>
      <c r="AB768" s="28" t="str">
        <f t="shared" si="111"/>
        <v>case when s.DW_FromDate &gt;= 20190801 then IIF(sbj3.[CAH3 (Code only)]='CAH26-01-03','(CAH26) Geography, Earth and Environmental Studies(social sciences)',ISNULL(sbj3.[CAH1],'Not applicable')) ELSE 'Not applicable before 2019/20' END</v>
      </c>
      <c r="AC768" s="28" t="str">
        <f t="shared" si="112"/>
        <v>case when s.DW_FromDate &gt;= 20190801 then case when isnull(sbj3.[CAH3 (Code only)],'/') in ('','/','-99') then 'Not applicable' else IIF(sbj3.[CAH3 (Code only)]='CAH26-01-03','CAH26-01-03',ISNULL(sbj3.[CAH1 (Code only)],'/')) end ELSE 'Not applicable before 2019/20' END</v>
      </c>
      <c r="AD768" s="28" t="str">
        <f t="shared" si="113"/>
        <v>case when s.DW_FromDate &gt;= 20190801 then IIF(sbj3.[CAH3 (Code only)]='CAH26-01-03','(CAH26) Geography, Earth and Environmental Studies(social sciences)',ISNULL(sbj3.[CAH1],'Not applicable')) ELSE 'Not applicable before 2019/20' END</v>
      </c>
      <c r="AE768" t="str">
        <f t="shared" si="115"/>
        <v>[Subject of study 3]</v>
      </c>
    </row>
    <row r="769" spans="1:31" ht="32" x14ac:dyDescent="0.2">
      <c r="A769">
        <v>100864</v>
      </c>
      <c r="B769" s="29" t="str">
        <f>DataItems3[[#This Row],[Field]]&amp;IF(DataItems3[[#This Row],[Options for supplying the Field]]="",""," "&amp;DataItems3[[#This Row],[Options for supplying the Field]])</f>
        <v>Subject of study 3 (CAH1) (2012/13-2018/19)</v>
      </c>
      <c r="C769">
        <v>100864</v>
      </c>
      <c r="D769" s="3" t="s">
        <v>86</v>
      </c>
      <c r="E769" s="3" t="s">
        <v>106</v>
      </c>
      <c r="F769" s="3" t="s">
        <v>2577</v>
      </c>
      <c r="G769" s="13" t="s">
        <v>2458</v>
      </c>
      <c r="H769" s="14" t="s">
        <v>2586</v>
      </c>
      <c r="I769" s="13"/>
      <c r="J769" s="3">
        <v>0</v>
      </c>
      <c r="K769" s="3">
        <v>0</v>
      </c>
      <c r="L769" s="3">
        <v>0</v>
      </c>
      <c r="M769" s="3">
        <v>0</v>
      </c>
      <c r="Q769" s="28" t="s">
        <v>2587</v>
      </c>
      <c r="R769" t="s">
        <v>2587</v>
      </c>
      <c r="S769" s="28" t="s">
        <v>2588</v>
      </c>
      <c r="T769" t="s">
        <v>2588</v>
      </c>
      <c r="U769" s="3" t="s">
        <v>2589</v>
      </c>
      <c r="W769" s="57" t="s">
        <v>3301</v>
      </c>
      <c r="X769" t="str">
        <f>DataItems3[[#This Row],[Collection]]&amp;DataItems3[[#This Row],[Field]]&amp;DataItems3[[#This Row],[Options for supplying the Field]]&amp;DataItems3[[#This Row],[Fieldname]]&amp;DataItems3[[#This Row],[Parent]]</f>
        <v>StudentSubject of study 3(CAH1) (2012/13-2018/19)F_ZSBJ3_CAH1_map</v>
      </c>
      <c r="Y769" s="4">
        <v>44684</v>
      </c>
      <c r="Z769" t="s">
        <v>135</v>
      </c>
      <c r="AA769" s="28" t="str">
        <f t="shared" si="114"/>
        <v>case when s.DW_FromDate &lt; 20190801 then IIF(cahjacs3.[CAH3 (Code only)]='CAH26-01-03','(CAH26) Geography, Earth and Environmental Studies(social sciences)',ISNULL(cahjacs3.[CAH1 (code only)],'Not applicable')) ELSE 'Not applicable 2019/20 onwards' END</v>
      </c>
      <c r="AB769" s="28" t="str">
        <f t="shared" si="111"/>
        <v>case when s.DW_FromDate &lt; 20190801 then IIF(cahjacs3.[CAH3 (Code only)]='CAH26-01-03','(CAH26) Geography, Earth and Environmental Studies(social sciences)',ISNULL(cahjacs3.[CAH1],'Not applicable')) ELSE 'Not applicable 2019/20 onwards' END</v>
      </c>
      <c r="AC769" s="28" t="str">
        <f t="shared" si="112"/>
        <v>case when s.DW_FromDate &lt; 20190801 then IIF(cahjacs3.[CAH3 (Code only)]='CAH26-01-03','(CAH26) Geography, Earth and Environmental Studies(social sciences)',ISNULL(cahjacs3.[CAH1 (code only)],'Not applicable')) ELSE 'Not applicable 2019/20 onwards' END</v>
      </c>
      <c r="AD769" s="28" t="str">
        <f t="shared" si="113"/>
        <v>case when s.DW_FromDate &lt; 20190801 then IIF(cahjacs3.[CAH3 (Code only)]='CAH26-01-03','(CAH26) Geography, Earth and Environmental Studies(social sciences)',ISNULL(cahjacs3.[CAH1],'Not applicable')) ELSE 'Not applicable 2019/20 onwards' END</v>
      </c>
      <c r="AE769" t="str">
        <f t="shared" si="115"/>
        <v>[Subject of study 3]</v>
      </c>
    </row>
    <row r="770" spans="1:31" ht="32" x14ac:dyDescent="0.2">
      <c r="A770">
        <v>100719</v>
      </c>
      <c r="B770" s="29" t="str">
        <f>DataItems3[[#This Row],[Field]]&amp;IF(DataItems3[[#This Row],[Options for supplying the Field]]="",""," "&amp;DataItems3[[#This Row],[Options for supplying the Field]])</f>
        <v>Subject of study 3 (CAH2) (2019/20 onwards)</v>
      </c>
      <c r="C770">
        <v>100719</v>
      </c>
      <c r="D770" s="3" t="s">
        <v>86</v>
      </c>
      <c r="E770" s="3" t="s">
        <v>106</v>
      </c>
      <c r="F770" s="3" t="s">
        <v>2577</v>
      </c>
      <c r="G770" s="13" t="s">
        <v>2464</v>
      </c>
      <c r="H770" s="14" t="s">
        <v>2590</v>
      </c>
      <c r="I770" s="13"/>
      <c r="J770" s="3">
        <v>0</v>
      </c>
      <c r="K770" s="3">
        <v>0</v>
      </c>
      <c r="L770" s="3">
        <v>0</v>
      </c>
      <c r="M770" s="3">
        <v>0</v>
      </c>
      <c r="N770" s="3" t="s">
        <v>89</v>
      </c>
      <c r="Q770" s="28" t="s">
        <v>3311</v>
      </c>
      <c r="R770" t="s">
        <v>3311</v>
      </c>
      <c r="S770" s="28" t="s">
        <v>2591</v>
      </c>
      <c r="T770" t="s">
        <v>2591</v>
      </c>
      <c r="U770" s="3" t="s">
        <v>2585</v>
      </c>
      <c r="W770" s="57" t="s">
        <v>114</v>
      </c>
      <c r="X770" t="str">
        <f>DataItems3[[#This Row],[Collection]]&amp;DataItems3[[#This Row],[Field]]&amp;DataItems3[[#This Row],[Options for supplying the Field]]&amp;DataItems3[[#This Row],[Fieldname]]&amp;DataItems3[[#This Row],[Parent]]</f>
        <v>StudentSubject of study 3(CAH2) (2019/20 onwards)F_ZSBJ3_CAH2</v>
      </c>
      <c r="Y770" s="15">
        <v>44161</v>
      </c>
      <c r="Z770" t="s">
        <v>776</v>
      </c>
      <c r="AA770" s="28" t="str">
        <f t="shared" si="114"/>
        <v>case when s.DW_FromDate &gt;= 20190801 then case when isnull(sbj3.[CAH3 (Code only)],'/') in ('','/','-99') then 'Not applicable' else IIF(sbj3.[CAH3 (Code only)]='CAH26-01-03','CAH26-01-03',ISNULL(sbj3.[CAH2 (Code only)],'/')) end ELSE 'Not applicable before 2019/20' END</v>
      </c>
      <c r="AB770" s="28" t="str">
        <f t="shared" si="111"/>
        <v>case when s.DW_FromDate &gt;= 20190801 then IIF(sbj3.[CAH3 (Code only)]='CAH26-01-03','(CAH26) Geography, Earth and Environmental Studies(social sciences)',ISNULL(sbj3.[CAH2],'Not applicable')) ELSE 'Not applicable before 2019/20' END</v>
      </c>
      <c r="AC770" s="28" t="str">
        <f t="shared" si="112"/>
        <v>case when s.DW_FromDate &gt;= 20190801 then case when isnull(sbj3.[CAH3 (Code only)],'/') in ('','/','-99') then 'Not applicable' else IIF(sbj3.[CAH3 (Code only)]='CAH26-01-03','CAH26-01-03',ISNULL(sbj3.[CAH2 (Code only)],'/')) end ELSE 'Not applicable before 2019/20' END</v>
      </c>
      <c r="AD770" s="28" t="str">
        <f t="shared" si="113"/>
        <v>case when s.DW_FromDate &gt;= 20190801 then IIF(sbj3.[CAH3 (Code only)]='CAH26-01-03','(CAH26) Geography, Earth and Environmental Studies(social sciences)',ISNULL(sbj3.[CAH2],'Not applicable')) ELSE 'Not applicable before 2019/20' END</v>
      </c>
      <c r="AE770" t="str">
        <f t="shared" si="115"/>
        <v>[Subject of study 3]</v>
      </c>
    </row>
    <row r="771" spans="1:31" ht="32" x14ac:dyDescent="0.2">
      <c r="A771">
        <v>100865</v>
      </c>
      <c r="B771" s="29" t="str">
        <f>DataItems3[[#This Row],[Field]]&amp;IF(DataItems3[[#This Row],[Options for supplying the Field]]="",""," "&amp;DataItems3[[#This Row],[Options for supplying the Field]])</f>
        <v>Subject of study 3 (CAH2) (2012/13-2018/19)</v>
      </c>
      <c r="C771">
        <v>100865</v>
      </c>
      <c r="D771" s="3" t="s">
        <v>86</v>
      </c>
      <c r="E771" s="3" t="s">
        <v>106</v>
      </c>
      <c r="F771" s="3" t="s">
        <v>2577</v>
      </c>
      <c r="G771" s="13" t="s">
        <v>2469</v>
      </c>
      <c r="H771" s="14" t="s">
        <v>2592</v>
      </c>
      <c r="I771" s="13"/>
      <c r="J771" s="3">
        <v>0</v>
      </c>
      <c r="K771" s="3">
        <v>0</v>
      </c>
      <c r="L771" s="3">
        <v>0</v>
      </c>
      <c r="M771" s="3">
        <v>0</v>
      </c>
      <c r="Q771" s="28" t="s">
        <v>2593</v>
      </c>
      <c r="R771" t="s">
        <v>2593</v>
      </c>
      <c r="S771" s="28" t="s">
        <v>2594</v>
      </c>
      <c r="T771" s="28" t="s">
        <v>2594</v>
      </c>
      <c r="U771" s="3" t="s">
        <v>2589</v>
      </c>
      <c r="W771" s="57" t="s">
        <v>114</v>
      </c>
      <c r="X771" t="str">
        <f>DataItems3[[#This Row],[Collection]]&amp;DataItems3[[#This Row],[Field]]&amp;DataItems3[[#This Row],[Options for supplying the Field]]&amp;DataItems3[[#This Row],[Fieldname]]&amp;DataItems3[[#This Row],[Parent]]</f>
        <v>StudentSubject of study 3(CAH2) (2012/13-2018/19)F_ZSBJ3_CAH2_map</v>
      </c>
      <c r="Y771" s="4">
        <v>44684</v>
      </c>
      <c r="Z771" t="s">
        <v>135</v>
      </c>
      <c r="AA771" s="28" t="str">
        <f t="shared" si="114"/>
        <v>case when s.DW_FromDate &lt; 20190801 then case when isnull(cahjacs3.[CAH3 (Code only)],'/') in ('','/') then 'Not applicable' else IIF(sbj3.[CAH3 (Code only)]='CAH26-01-03','CAH26-01-03',ISNULL(cahjacs3.[CAH2 (Code only)],'/')) end ELSE 'Not applicable 2019/20 onwards' END</v>
      </c>
      <c r="AB771" s="28" t="str">
        <f t="shared" si="111"/>
        <v>case when s.DW_FromDate &lt; 20190801 then case when isnull(cahjacs3.[CAH3 (Code only)],'/') in ('','/') then 'Not applicable' else IIF(sbj3.[CAH3 (Code only)]='CAH26-01-03','CAH26-01-03',ISNULL(cahjacs3.[CAH2],'/')) end ELSE 'Not applicable 2019/20 onwards' END</v>
      </c>
      <c r="AC771" s="28" t="str">
        <f t="shared" si="112"/>
        <v>case when s.DW_FromDate &lt; 20190801 then case when isnull(cahjacs3.[CAH3 (Code only)],'/') in ('','/') then 'Not applicable' else IIF(sbj3.[CAH3 (Code only)]='CAH26-01-03','CAH26-01-03',ISNULL(cahjacs3.[CAH2 (Code only)],'/')) end ELSE 'Not applicable 2019/20 onwards' END</v>
      </c>
      <c r="AD771" s="28" t="str">
        <f t="shared" si="113"/>
        <v>case when s.DW_FromDate &lt; 20190801 then case when isnull(cahjacs3.[CAH3 (Code only)],'/') in ('','/') then 'Not applicable' else IIF(sbj3.[CAH3 (Code only)]='CAH26-01-03','CAH26-01-03',ISNULL(cahjacs3.[CAH2],'/')) end ELSE 'Not applicable 2019/20 onwards' END</v>
      </c>
      <c r="AE771" t="str">
        <f t="shared" si="115"/>
        <v>[Subject of study 3]</v>
      </c>
    </row>
    <row r="772" spans="1:31" ht="30" customHeight="1" x14ac:dyDescent="0.2">
      <c r="A772">
        <v>100729</v>
      </c>
      <c r="B772" s="29" t="str">
        <f>DataItems3[[#This Row],[Field]]&amp;IF(DataItems3[[#This Row],[Options for supplying the Field]]="",""," "&amp;DataItems3[[#This Row],[Options for supplying the Field]])</f>
        <v>Subject of study 3 (CAH3) (2019/20 onwards)</v>
      </c>
      <c r="C772">
        <v>100729</v>
      </c>
      <c r="D772" s="3" t="s">
        <v>86</v>
      </c>
      <c r="E772" s="3" t="s">
        <v>106</v>
      </c>
      <c r="F772" s="3" t="s">
        <v>2577</v>
      </c>
      <c r="G772" s="13" t="s">
        <v>2473</v>
      </c>
      <c r="H772" s="14" t="s">
        <v>2595</v>
      </c>
      <c r="I772" s="13"/>
      <c r="J772" s="3">
        <v>0</v>
      </c>
      <c r="K772" s="3">
        <v>0</v>
      </c>
      <c r="L772" s="3">
        <v>0</v>
      </c>
      <c r="M772" s="3">
        <v>0</v>
      </c>
      <c r="N772" s="3" t="s">
        <v>89</v>
      </c>
      <c r="Q772" s="28" t="s">
        <v>3312</v>
      </c>
      <c r="R772" t="s">
        <v>3312</v>
      </c>
      <c r="S772" s="28" t="s">
        <v>2596</v>
      </c>
      <c r="T772" t="s">
        <v>2596</v>
      </c>
      <c r="U772" s="3" t="s">
        <v>2585</v>
      </c>
      <c r="W772" s="57" t="s">
        <v>114</v>
      </c>
      <c r="X772" t="str">
        <f>DataItems3[[#This Row],[Collection]]&amp;DataItems3[[#This Row],[Field]]&amp;DataItems3[[#This Row],[Options for supplying the Field]]&amp;DataItems3[[#This Row],[Fieldname]]&amp;DataItems3[[#This Row],[Parent]]</f>
        <v>StudentSubject of study 3(CAH3) (2019/20 onwards)F_ZSBJ3_CAH3</v>
      </c>
      <c r="Y772" s="15">
        <v>44161</v>
      </c>
      <c r="Z772" t="s">
        <v>776</v>
      </c>
      <c r="AA772" s="28" t="str">
        <f t="shared" si="114"/>
        <v>case when s.DW_FromDate &gt;= 20190801 then case when isnull(sbj3.[CAH3 (Code only)],'/') in ('','/','-99') then 'Not applicable' else ISNULL(sbj3.[CAH3 (Code only)],'/') end ELSE 'Not applicable before 2019/20' END</v>
      </c>
      <c r="AB772" s="28" t="str">
        <f t="shared" si="111"/>
        <v>case when s.DW_FromDate &gt;= 20190801 then ISNULL(sbj3.[CAH3],'Not applicable') ELSE 'Not applicable before 2019/20' END</v>
      </c>
      <c r="AC772" s="28" t="str">
        <f t="shared" si="112"/>
        <v>case when s.DW_FromDate &gt;= 20190801 then case when isnull(sbj3.[CAH3 (Code only)],'/') in ('','/','-99') then 'Not applicable' else ISNULL(sbj3.[CAH3 (Code only)],'/') end ELSE 'Not applicable before 2019/20' END</v>
      </c>
      <c r="AD772" s="28" t="str">
        <f t="shared" si="113"/>
        <v>case when s.DW_FromDate &gt;= 20190801 then ISNULL(sbj3.[CAH3],'Not applicable') ELSE 'Not applicable before 2019/20' END</v>
      </c>
      <c r="AE772" t="str">
        <f t="shared" si="115"/>
        <v>[Subject of study 3]</v>
      </c>
    </row>
    <row r="773" spans="1:31" ht="30" customHeight="1" x14ac:dyDescent="0.2">
      <c r="A773">
        <v>100866</v>
      </c>
      <c r="B773" s="29" t="str">
        <f>DataItems3[[#This Row],[Field]]&amp;IF(DataItems3[[#This Row],[Options for supplying the Field]]="",""," "&amp;DataItems3[[#This Row],[Options for supplying the Field]])</f>
        <v>Subject of study 3 (CAH3) (2012/13-2018/19)</v>
      </c>
      <c r="C773">
        <v>100866</v>
      </c>
      <c r="D773" s="3" t="s">
        <v>86</v>
      </c>
      <c r="E773" s="3" t="s">
        <v>106</v>
      </c>
      <c r="F773" s="3" t="s">
        <v>2577</v>
      </c>
      <c r="G773" s="13" t="s">
        <v>2478</v>
      </c>
      <c r="H773" s="14" t="s">
        <v>2597</v>
      </c>
      <c r="I773" s="13"/>
      <c r="J773" s="3">
        <v>0</v>
      </c>
      <c r="K773" s="3">
        <v>0</v>
      </c>
      <c r="L773" s="3">
        <v>0</v>
      </c>
      <c r="M773" s="3">
        <v>0</v>
      </c>
      <c r="Q773" s="28" t="s">
        <v>2598</v>
      </c>
      <c r="R773" t="s">
        <v>2598</v>
      </c>
      <c r="S773" s="28" t="s">
        <v>2599</v>
      </c>
      <c r="T773" s="28" t="s">
        <v>2599</v>
      </c>
      <c r="U773" s="3" t="s">
        <v>2589</v>
      </c>
      <c r="W773" s="57" t="s">
        <v>114</v>
      </c>
      <c r="X773" t="str">
        <f>DataItems3[[#This Row],[Collection]]&amp;DataItems3[[#This Row],[Field]]&amp;DataItems3[[#This Row],[Options for supplying the Field]]&amp;DataItems3[[#This Row],[Fieldname]]&amp;DataItems3[[#This Row],[Parent]]</f>
        <v>StudentSubject of study 3(CAH3) (2012/13-2018/19)F_ZSBJ3_CAH3_map</v>
      </c>
      <c r="Y773" s="4">
        <v>44684</v>
      </c>
      <c r="Z773" t="s">
        <v>135</v>
      </c>
      <c r="AA773" s="28" t="str">
        <f t="shared" si="114"/>
        <v>case when s.DW_FromDate &lt; 20190801 then case when isnull(cahjacs3.[CAH3 (Code only)],'/') in ('','/') then 'Not applicable' else ISNULL(cahjacs3.[CAH3 (Code only)],'/') end ELSE 'Not applicable 2019/20 onwards' END</v>
      </c>
      <c r="AB773" s="28" t="str">
        <f t="shared" si="111"/>
        <v>case when s.DW_FromDate &lt; 20190801 then case when isnull(cahjacs3.[CAH3 (Code only)],'/') in ('','/') then 'Not applicable' else ISNULL(cahjacs3.[CAH3],'/') end ELSE 'Not applicable 2019/20 onwards' END</v>
      </c>
      <c r="AC773" s="28" t="str">
        <f t="shared" si="112"/>
        <v>case when s.DW_FromDate &lt; 20190801 then case when isnull(cahjacs3.[CAH3 (Code only)],'/') in ('','/') then 'Not applicable' else ISNULL(cahjacs3.[CAH3 (Code only)],'/') end ELSE 'Not applicable 2019/20 onwards' END</v>
      </c>
      <c r="AD773" s="28" t="str">
        <f t="shared" si="113"/>
        <v>case when s.DW_FromDate &lt; 20190801 then case when isnull(cahjacs3.[CAH3 (Code only)],'/') in ('','/') then 'Not applicable' else ISNULL(cahjacs3.[CAH3],'/') end ELSE 'Not applicable 2019/20 onwards' END</v>
      </c>
      <c r="AE773" t="str">
        <f t="shared" si="115"/>
        <v>[Subject of study 3]</v>
      </c>
    </row>
    <row r="774" spans="1:31" ht="32" x14ac:dyDescent="0.2">
      <c r="A774">
        <v>100699</v>
      </c>
      <c r="B774" s="29" t="str">
        <f>DataItems3[[#This Row],[Field]]&amp;IF(DataItems3[[#This Row],[Options for supplying the Field]]="",""," "&amp;DataItems3[[#This Row],[Options for supplying the Field]])</f>
        <v>Subject of study 3 (HECoS 2019/20 onwards)</v>
      </c>
      <c r="C774">
        <v>100699</v>
      </c>
      <c r="D774" s="3" t="s">
        <v>86</v>
      </c>
      <c r="E774" s="3" t="s">
        <v>106</v>
      </c>
      <c r="F774" s="3" t="s">
        <v>2577</v>
      </c>
      <c r="G774" s="13" t="s">
        <v>609</v>
      </c>
      <c r="H774" s="14" t="s">
        <v>2600</v>
      </c>
      <c r="I774" s="13"/>
      <c r="J774" s="3">
        <v>0</v>
      </c>
      <c r="K774" s="3">
        <v>0</v>
      </c>
      <c r="L774" s="3">
        <v>0</v>
      </c>
      <c r="M774" s="3">
        <v>0</v>
      </c>
      <c r="N774" s="3" t="s">
        <v>89</v>
      </c>
      <c r="Q774" s="28" t="s">
        <v>3313</v>
      </c>
      <c r="R774" t="s">
        <v>3313</v>
      </c>
      <c r="S774" s="28" t="s">
        <v>3314</v>
      </c>
      <c r="T774" t="s">
        <v>3314</v>
      </c>
      <c r="U774" s="3" t="s">
        <v>2601</v>
      </c>
      <c r="W774" s="57" t="s">
        <v>114</v>
      </c>
      <c r="X774" t="str">
        <f>DataItems3[[#This Row],[Collection]]&amp;DataItems3[[#This Row],[Field]]&amp;DataItems3[[#This Row],[Options for supplying the Field]]&amp;DataItems3[[#This Row],[Fieldname]]&amp;DataItems3[[#This Row],[Parent]]</f>
        <v>StudentSubject of study 3(HECoS 2019/20 onwards)F_ZSBJ3_HECOS</v>
      </c>
      <c r="Y774" s="15">
        <v>44161</v>
      </c>
      <c r="Z774" t="s">
        <v>776</v>
      </c>
      <c r="AA774" s="28" t="str">
        <f t="shared" si="114"/>
        <v>case when s.DW_FromDate &gt;= 20190801 then case when isnull(d.f_zsbj3,'/') in ('','/','-99') then 'Not applicable' else cast(d.f_zsbj3 as varchar) end ELSE 'Not applicable before 2019/20' END</v>
      </c>
      <c r="AB774" s="28" t="str">
        <f t="shared" si="111"/>
        <v>case when s.DW_FromDate &gt;= 20190801 then IIF(d.f_zsbj3 IN ('','/','-99'),'Not applicable',hzsbj3.dw_Currentlabel) else  'Not applicable before 2019/20' end</v>
      </c>
      <c r="AC774" s="28" t="str">
        <f t="shared" si="112"/>
        <v>case when s.DW_FromDate &gt;= 20190801 then case when isnull(d.f_zsbj3,'/') in ('','/','-99') then 'Not applicable' else cast(d.f_zsbj3 as varchar) end ELSE 'Not applicable before 2019/20' END</v>
      </c>
      <c r="AD774" s="28" t="str">
        <f t="shared" si="113"/>
        <v>case when s.DW_FromDate &gt;= 20190801 then IIF(d.f_zsbj3 IN ('','/','-99'),'Not applicable',hzsbj3.dw_Currentlabel) else  'Not applicable before 2019/20' end</v>
      </c>
      <c r="AE774" t="str">
        <f t="shared" si="115"/>
        <v>[Subject of study 3]</v>
      </c>
    </row>
    <row r="775" spans="1:31" ht="16" x14ac:dyDescent="0.2">
      <c r="A775">
        <v>100694</v>
      </c>
      <c r="B775" s="11" t="str">
        <f>DataItems3[[#This Row],[Field]]&amp;IF(DataItems3[[#This Row],[Options for supplying the Field]]="",""," "&amp;DataItems3[[#This Row],[Options for supplying the Field]])</f>
        <v>Subject of study 3 percentage (JACS before 2019/20)</v>
      </c>
      <c r="C775">
        <v>100694</v>
      </c>
      <c r="D775" s="3" t="s">
        <v>86</v>
      </c>
      <c r="E775" s="3" t="s">
        <v>106</v>
      </c>
      <c r="F775" s="3" t="s">
        <v>2602</v>
      </c>
      <c r="G775" s="13" t="s">
        <v>2294</v>
      </c>
      <c r="H775" s="14" t="s">
        <v>2603</v>
      </c>
      <c r="J775" s="3">
        <v>0</v>
      </c>
      <c r="K775" s="3">
        <v>0</v>
      </c>
      <c r="L775" s="3">
        <v>0</v>
      </c>
      <c r="M775" s="3">
        <v>0</v>
      </c>
      <c r="N775" s="3" t="s">
        <v>89</v>
      </c>
      <c r="Q775" s="28" t="s">
        <v>2604</v>
      </c>
      <c r="R775" t="s">
        <v>2604</v>
      </c>
      <c r="S775" s="28" t="s">
        <v>2604</v>
      </c>
      <c r="T775" t="s">
        <v>2604</v>
      </c>
      <c r="U775" s="3" t="s">
        <v>92</v>
      </c>
      <c r="W775" s="57" t="s">
        <v>114</v>
      </c>
      <c r="X775" t="str">
        <f>DataItems3[[#This Row],[Collection]]&amp;DataItems3[[#This Row],[Field]]&amp;DataItems3[[#This Row],[Options for supplying the Field]]&amp;DataItems3[[#This Row],[Fieldname]]&amp;DataItems3[[#This Row],[Parent]]</f>
        <v>StudentSubject of study 3 percentage(JACS before 2019/20)F_ZSBJPCT3</v>
      </c>
      <c r="Y775" s="4">
        <v>44161</v>
      </c>
      <c r="Z775" t="s">
        <v>99</v>
      </c>
      <c r="AA775" s="28" t="str">
        <f t="shared" si="114"/>
        <v>case when s.DW_FromDate between 20120801 and 20180801 then case when isnull(cast(d.f_zsbjpct3 as varchar),'/') in ('','/') then 'Not applicable' else  cast(d.F_ZSBJPCT3 as varchar) end else 'Not applicable after 2019/20' end</v>
      </c>
      <c r="AB775" s="28" t="str">
        <f t="shared" si="111"/>
        <v>case when s.DW_FromDate between 20120801 and 20180801 then case when isnull(cast(d.f_zsbjpct3 as varchar),'/') in ('','/') then 'Not applicable' else  cast(d.F_ZSBJPCT3 as varchar) end else 'Not applicable after 2019/20' end</v>
      </c>
      <c r="AC775" s="28" t="str">
        <f t="shared" si="112"/>
        <v>case when s.DW_FromDate between 20120801 and 20180801 then case when isnull(cast(d.f_zsbjpct3 as varchar),'/') in ('','/') then 'Not applicable' else  cast(d.F_ZSBJPCT3 as varchar) end else 'Not applicable after 2019/20' end</v>
      </c>
      <c r="AD775" s="28" t="str">
        <f t="shared" si="113"/>
        <v>case when s.DW_FromDate between 20120801 and 20180801 then case when isnull(cast(d.f_zsbjpct3 as varchar),'/') in ('','/') then 'Not applicable' else  cast(d.F_ZSBJPCT3 as varchar) end else 'Not applicable after 2019/20' end</v>
      </c>
      <c r="AE775" t="str">
        <f t="shared" si="115"/>
        <v>[Subject of study 3 percentage]</v>
      </c>
    </row>
    <row r="776" spans="1:31" ht="32" x14ac:dyDescent="0.2">
      <c r="A776">
        <v>100704</v>
      </c>
      <c r="B776" s="29" t="str">
        <f>DataItems3[[#This Row],[Field]]&amp;IF(DataItems3[[#This Row],[Options for supplying the Field]]="",""," "&amp;DataItems3[[#This Row],[Options for supplying the Field]])</f>
        <v>Subject of study 3 percentage (HECoS 2019/20 onwards)</v>
      </c>
      <c r="C776">
        <v>100704</v>
      </c>
      <c r="D776" s="3" t="s">
        <v>86</v>
      </c>
      <c r="E776" s="3" t="s">
        <v>106</v>
      </c>
      <c r="F776" s="3" t="s">
        <v>2602</v>
      </c>
      <c r="G776" s="13" t="s">
        <v>609</v>
      </c>
      <c r="H776" s="14" t="s">
        <v>2605</v>
      </c>
      <c r="I776" s="13"/>
      <c r="J776" s="3">
        <v>0</v>
      </c>
      <c r="K776" s="3">
        <v>0</v>
      </c>
      <c r="L776" s="3">
        <v>0</v>
      </c>
      <c r="M776" s="3">
        <v>0</v>
      </c>
      <c r="N776" s="3" t="s">
        <v>89</v>
      </c>
      <c r="Q776" s="28" t="s">
        <v>2606</v>
      </c>
      <c r="R776" t="s">
        <v>2606</v>
      </c>
      <c r="S776" s="28" t="s">
        <v>2606</v>
      </c>
      <c r="T776" t="s">
        <v>2606</v>
      </c>
      <c r="U776" s="3" t="s">
        <v>92</v>
      </c>
      <c r="W776" s="57" t="s">
        <v>114</v>
      </c>
      <c r="X776" t="str">
        <f>DataItems3[[#This Row],[Collection]]&amp;DataItems3[[#This Row],[Field]]&amp;DataItems3[[#This Row],[Options for supplying the Field]]&amp;DataItems3[[#This Row],[Fieldname]]&amp;DataItems3[[#This Row],[Parent]]</f>
        <v>StudentSubject of study 3 percentage(HECoS 2019/20 onwards)F_ZSBJPCT3_HECOS</v>
      </c>
      <c r="Y776" s="15">
        <v>44161</v>
      </c>
      <c r="Z776" t="s">
        <v>776</v>
      </c>
      <c r="AA776" s="28" t="str">
        <f t="shared" si="114"/>
        <v>case when s.DW_FromDate &gt;= 20190801 then case when isnull(cast(d.f_zsbjpct3 as varchar),'/') in ('','/') then 'Not applicable' else cast(d.F_ZSBJPCT3 as varchar) end ELSE 'Not applicable before 2019/20' END</v>
      </c>
      <c r="AB776" s="28" t="str">
        <f t="shared" si="111"/>
        <v>case when s.DW_FromDate &gt;= 20190801 then case when isnull(cast(d.f_zsbjpct3 as varchar),'/') in ('','/') then 'Not applicable' else cast(d.F_ZSBJPCT3 as varchar) end ELSE 'Not applicable before 2019/20' END</v>
      </c>
      <c r="AC776" s="28" t="str">
        <f t="shared" si="112"/>
        <v>case when s.DW_FromDate &gt;= 20190801 then case when isnull(cast(d.f_zsbjpct3 as varchar),'/') in ('','/') then 'Not applicable' else cast(d.F_ZSBJPCT3 as varchar) end ELSE 'Not applicable before 2019/20' END</v>
      </c>
      <c r="AD776" s="28" t="str">
        <f t="shared" si="113"/>
        <v>case when s.DW_FromDate &gt;= 20190801 then case when isnull(cast(d.f_zsbjpct3 as varchar),'/') in ('','/') then 'Not applicable' else cast(d.F_ZSBJPCT3 as varchar) end ELSE 'Not applicable before 2019/20' END</v>
      </c>
      <c r="AE776" t="str">
        <f t="shared" si="115"/>
        <v>[Subject of study 3 percentage]</v>
      </c>
    </row>
    <row r="777" spans="1:31" ht="16" x14ac:dyDescent="0.2">
      <c r="A777">
        <v>100710</v>
      </c>
      <c r="B777" s="29" t="str">
        <f>DataItems3[[#This Row],[Field]]&amp;IF(DataItems3[[#This Row],[Options for supplying the Field]]="",""," "&amp;DataItems3[[#This Row],[Options for supplying the Field]])</f>
        <v>Subject of study 4 (CAH1)</v>
      </c>
      <c r="C777">
        <v>100710</v>
      </c>
      <c r="D777" s="3" t="s">
        <v>86</v>
      </c>
      <c r="E777" s="3" t="s">
        <v>106</v>
      </c>
      <c r="F777" s="3" t="s">
        <v>2607</v>
      </c>
      <c r="G777" s="13" t="s">
        <v>2608</v>
      </c>
      <c r="H777" s="14" t="s">
        <v>2609</v>
      </c>
      <c r="I777" s="13"/>
      <c r="J777" s="3">
        <v>0</v>
      </c>
      <c r="K777" s="3">
        <v>0</v>
      </c>
      <c r="L777" s="3">
        <v>0</v>
      </c>
      <c r="M777" s="3">
        <v>0</v>
      </c>
      <c r="N777" s="3" t="s">
        <v>89</v>
      </c>
      <c r="Q777" s="28" t="s">
        <v>3315</v>
      </c>
      <c r="R777" t="s">
        <v>3315</v>
      </c>
      <c r="S777" s="28" t="s">
        <v>2610</v>
      </c>
      <c r="T777" t="s">
        <v>2610</v>
      </c>
      <c r="U777" s="3" t="s">
        <v>2611</v>
      </c>
      <c r="W777" s="57" t="s">
        <v>114</v>
      </c>
      <c r="X777" t="str">
        <f>DataItems3[[#This Row],[Collection]]&amp;DataItems3[[#This Row],[Field]]&amp;DataItems3[[#This Row],[Options for supplying the Field]]&amp;DataItems3[[#This Row],[Fieldname]]&amp;DataItems3[[#This Row],[Parent]]</f>
        <v>StudentSubject of study 4(CAH1)F_ZSBJ4_CAH1</v>
      </c>
      <c r="Y777" s="15">
        <v>44161</v>
      </c>
      <c r="Z777" t="s">
        <v>776</v>
      </c>
      <c r="AA777" s="28" t="str">
        <f t="shared" si="114"/>
        <v>case when s.DW_FromDate &gt;= 20190801 then case when isnull(sbj4.[CAH3 (Code only)],'/') in ('','/','-99') then 'Not applicable' else IIF(sbj4.[CAH3 (Code only)]='CAH26-01-03','CAH26-01-03',ISNULL(sbj4.[CAH1 (Code only)],'/')) end else 'Not applicable before 2019/20' end</v>
      </c>
      <c r="AB777" s="28" t="str">
        <f t="shared" si="111"/>
        <v>case when s.DW_FromDate &gt;= 20190801 then IIF(sbj4.[CAH3 (Code only)]='CAH26-01-03','(CAH26) Geography, Earth and Environmental Studies(social sciences)',ISNULL(sbj4.[CAH1],'Not applicable')) ELSE 'Not applicable before 2019/20' END</v>
      </c>
      <c r="AC777" s="28" t="str">
        <f t="shared" si="112"/>
        <v>case when s.DW_FromDate &gt;= 20190801 then case when isnull(sbj4.[CAH3 (Code only)],'/') in ('','/','-99') then 'Not applicable' else IIF(sbj4.[CAH3 (Code only)]='CAH26-01-03','CAH26-01-03',ISNULL(sbj4.[CAH1 (Code only)],'/')) end else 'Not applicable before 2019/20' end</v>
      </c>
      <c r="AD777" s="28" t="str">
        <f t="shared" si="113"/>
        <v>case when s.DW_FromDate &gt;= 20190801 then IIF(sbj4.[CAH3 (Code only)]='CAH26-01-03','(CAH26) Geography, Earth and Environmental Studies(social sciences)',ISNULL(sbj4.[CAH1],'Not applicable')) ELSE 'Not applicable before 2019/20' END</v>
      </c>
      <c r="AE777" t="str">
        <f t="shared" si="115"/>
        <v>[Subject of study 4]</v>
      </c>
    </row>
    <row r="778" spans="1:31" ht="16" x14ac:dyDescent="0.2">
      <c r="A778">
        <v>100720</v>
      </c>
      <c r="B778" s="29" t="str">
        <f>DataItems3[[#This Row],[Field]]&amp;IF(DataItems3[[#This Row],[Options for supplying the Field]]="",""," "&amp;DataItems3[[#This Row],[Options for supplying the Field]])</f>
        <v>Subject of study 4 (CAH2)</v>
      </c>
      <c r="C778">
        <v>100720</v>
      </c>
      <c r="D778" s="3" t="s">
        <v>86</v>
      </c>
      <c r="E778" s="3" t="s">
        <v>106</v>
      </c>
      <c r="F778" s="3" t="s">
        <v>2607</v>
      </c>
      <c r="G778" s="13" t="s">
        <v>2612</v>
      </c>
      <c r="H778" s="14" t="s">
        <v>2613</v>
      </c>
      <c r="I778" s="13"/>
      <c r="J778" s="3">
        <v>0</v>
      </c>
      <c r="K778" s="3">
        <v>0</v>
      </c>
      <c r="L778" s="3">
        <v>0</v>
      </c>
      <c r="M778" s="3">
        <v>0</v>
      </c>
      <c r="N778" s="3" t="s">
        <v>89</v>
      </c>
      <c r="Q778" s="28" t="s">
        <v>3316</v>
      </c>
      <c r="R778" t="s">
        <v>3316</v>
      </c>
      <c r="S778" s="28" t="s">
        <v>2614</v>
      </c>
      <c r="T778" t="s">
        <v>2614</v>
      </c>
      <c r="U778" s="3" t="s">
        <v>2611</v>
      </c>
      <c r="W778" s="57" t="s">
        <v>114</v>
      </c>
      <c r="X778" t="str">
        <f>DataItems3[[#This Row],[Collection]]&amp;DataItems3[[#This Row],[Field]]&amp;DataItems3[[#This Row],[Options for supplying the Field]]&amp;DataItems3[[#This Row],[Fieldname]]&amp;DataItems3[[#This Row],[Parent]]</f>
        <v>StudentSubject of study 4(CAH2)F_ZSBJ4_CAH2</v>
      </c>
      <c r="Y778" s="15">
        <v>44161</v>
      </c>
      <c r="Z778" t="s">
        <v>776</v>
      </c>
      <c r="AA778" s="28" t="str">
        <f t="shared" si="114"/>
        <v>case when s.DW_FromDate &gt;= 20190801 then case when isnull(sbj4.[CAH3 (Code only)],'/') in ('','/','-99') then 'Not applicable' else IIF(sbj4.[CAH3 (Code only)]='CAH26-01-03','CAH26-01-03',ISNULL(sbj4.[CAH2 (Code only)],'/')) end else 'Not applicable before 2019/20' end</v>
      </c>
      <c r="AB778" s="28" t="str">
        <f t="shared" si="111"/>
        <v>case when s.DW_FromDate &gt;= 20190801 then IIF(sbj4.[CAH3 (Code only)]='CAH26-01-03','(CAH26) Geography, Earth and Environmental Studies(social sciences)',ISNULL(sbj4.[CAH2],'Not applicable')) ELSE 'Not applicable before 2019/20' END</v>
      </c>
      <c r="AC778" s="28" t="str">
        <f t="shared" si="112"/>
        <v>case when s.DW_FromDate &gt;= 20190801 then case when isnull(sbj4.[CAH3 (Code only)],'/') in ('','/','-99') then 'Not applicable' else IIF(sbj4.[CAH3 (Code only)]='CAH26-01-03','CAH26-01-03',ISNULL(sbj4.[CAH2 (Code only)],'/')) end else 'Not applicable before 2019/20' end</v>
      </c>
      <c r="AD778" s="28" t="str">
        <f t="shared" si="113"/>
        <v>case when s.DW_FromDate &gt;= 20190801 then IIF(sbj4.[CAH3 (Code only)]='CAH26-01-03','(CAH26) Geography, Earth and Environmental Studies(social sciences)',ISNULL(sbj4.[CAH2],'Not applicable')) ELSE 'Not applicable before 2019/20' END</v>
      </c>
      <c r="AE778" t="str">
        <f t="shared" si="115"/>
        <v>[Subject of study 4]</v>
      </c>
    </row>
    <row r="779" spans="1:31" ht="16" x14ac:dyDescent="0.2">
      <c r="A779">
        <v>100730</v>
      </c>
      <c r="B779" s="29" t="str">
        <f>DataItems3[[#This Row],[Field]]&amp;IF(DataItems3[[#This Row],[Options for supplying the Field]]="",""," "&amp;DataItems3[[#This Row],[Options for supplying the Field]])</f>
        <v>Subject of study 4 (CAH3)</v>
      </c>
      <c r="C779">
        <v>100730</v>
      </c>
      <c r="D779" s="3" t="s">
        <v>86</v>
      </c>
      <c r="E779" s="3" t="s">
        <v>106</v>
      </c>
      <c r="F779" s="3" t="s">
        <v>2607</v>
      </c>
      <c r="G779" s="13" t="s">
        <v>2615</v>
      </c>
      <c r="H779" s="14" t="s">
        <v>2616</v>
      </c>
      <c r="I779" s="13"/>
      <c r="J779" s="3">
        <v>0</v>
      </c>
      <c r="K779" s="3">
        <v>0</v>
      </c>
      <c r="L779" s="3">
        <v>0</v>
      </c>
      <c r="M779" s="3">
        <v>0</v>
      </c>
      <c r="N779" s="3" t="s">
        <v>89</v>
      </c>
      <c r="Q779" s="28" t="s">
        <v>3317</v>
      </c>
      <c r="R779" t="s">
        <v>3317</v>
      </c>
      <c r="S779" s="28" t="s">
        <v>2617</v>
      </c>
      <c r="T779" t="s">
        <v>2617</v>
      </c>
      <c r="U779" s="3" t="s">
        <v>2611</v>
      </c>
      <c r="W779" s="57" t="s">
        <v>114</v>
      </c>
      <c r="X779" t="str">
        <f>DataItems3[[#This Row],[Collection]]&amp;DataItems3[[#This Row],[Field]]&amp;DataItems3[[#This Row],[Options for supplying the Field]]&amp;DataItems3[[#This Row],[Fieldname]]&amp;DataItems3[[#This Row],[Parent]]</f>
        <v>StudentSubject of study 4(CAH3)F_ZSBJ4_CAH3</v>
      </c>
      <c r="Y779" s="15">
        <v>44161</v>
      </c>
      <c r="Z779" t="s">
        <v>776</v>
      </c>
      <c r="AA779" s="28" t="str">
        <f t="shared" si="114"/>
        <v>case when s.DW_FromDate &gt;= 20190801 then  case when isnull(sbj4.[CAH3 (Code only)],'/') in ('','/','-99') then 'Not applicable' else ISNULL(sbj4.[CAH3 (Code only)],'/') end else 'Not applicable before 2019/20' end</v>
      </c>
      <c r="AB779" s="28" t="str">
        <f t="shared" si="111"/>
        <v>case when s.DW_FromDate &gt;= 20190801 then ISNULL(sbj4.[CAH3],'Not applicable') ELSE 'Not applicable before 2019/20' END</v>
      </c>
      <c r="AC779" s="28" t="str">
        <f t="shared" si="112"/>
        <v>case when s.DW_FromDate &gt;= 20190801 then  case when isnull(sbj4.[CAH3 (Code only)],'/') in ('','/','-99') then 'Not applicable' else ISNULL(sbj4.[CAH3 (Code only)],'/') end else 'Not applicable before 2019/20' end</v>
      </c>
      <c r="AD779" s="28" t="str">
        <f t="shared" si="113"/>
        <v>case when s.DW_FromDate &gt;= 20190801 then ISNULL(sbj4.[CAH3],'Not applicable') ELSE 'Not applicable before 2019/20' END</v>
      </c>
      <c r="AE779" t="str">
        <f t="shared" si="115"/>
        <v>[Subject of study 4]</v>
      </c>
    </row>
    <row r="780" spans="1:31" ht="32" x14ac:dyDescent="0.2">
      <c r="A780">
        <v>100700</v>
      </c>
      <c r="B780" s="29" t="str">
        <f>DataItems3[[#This Row],[Field]]&amp;IF(DataItems3[[#This Row],[Options for supplying the Field]]="",""," "&amp;DataItems3[[#This Row],[Options for supplying the Field]])</f>
        <v>Subject of study 4 (HECoS 2019/20 onwards)</v>
      </c>
      <c r="C780">
        <v>100700</v>
      </c>
      <c r="D780" s="3" t="s">
        <v>86</v>
      </c>
      <c r="E780" s="3" t="s">
        <v>106</v>
      </c>
      <c r="F780" s="3" t="s">
        <v>2607</v>
      </c>
      <c r="G780" s="13" t="s">
        <v>609</v>
      </c>
      <c r="H780" s="14" t="s">
        <v>2618</v>
      </c>
      <c r="I780" s="13"/>
      <c r="J780" s="3">
        <v>0</v>
      </c>
      <c r="K780" s="3">
        <v>0</v>
      </c>
      <c r="L780" s="3">
        <v>0</v>
      </c>
      <c r="M780" s="3">
        <v>0</v>
      </c>
      <c r="N780" s="3" t="s">
        <v>89</v>
      </c>
      <c r="Q780" s="28" t="s">
        <v>3318</v>
      </c>
      <c r="R780" t="s">
        <v>3318</v>
      </c>
      <c r="S780" s="28" t="s">
        <v>3319</v>
      </c>
      <c r="T780" t="s">
        <v>3319</v>
      </c>
      <c r="U780" s="3" t="s">
        <v>2619</v>
      </c>
      <c r="W780" s="57" t="s">
        <v>114</v>
      </c>
      <c r="X780" t="str">
        <f>DataItems3[[#This Row],[Collection]]&amp;DataItems3[[#This Row],[Field]]&amp;DataItems3[[#This Row],[Options for supplying the Field]]&amp;DataItems3[[#This Row],[Fieldname]]&amp;DataItems3[[#This Row],[Parent]]</f>
        <v>StudentSubject of study 4(HECoS 2019/20 onwards)F_ZSBJ4_HECOS</v>
      </c>
      <c r="Y780" s="15">
        <v>44161</v>
      </c>
      <c r="Z780" t="s">
        <v>776</v>
      </c>
      <c r="AA780" s="28" t="str">
        <f t="shared" si="114"/>
        <v>case when s.DW_FromDate &gt;= 20190801 then  case when isnull(d.f_zsbj4,'/') in ('','/','-99') then 'Not applicable' else cast(d.f_zsbj4 as varchar) end else 'Not applicable before 2019/20' end</v>
      </c>
      <c r="AB780" s="28" t="str">
        <f t="shared" si="111"/>
        <v>case when s.DW_FromDate &gt;= 20190801 then IIF(d.f_zsbj4 IN ('','/','-99'),'Not applicable',hzsbj4.dw_Currentlabel) else  'Not applicable before 2019/20' end</v>
      </c>
      <c r="AC780" s="28" t="str">
        <f t="shared" si="112"/>
        <v>case when s.DW_FromDate &gt;= 20190801 then  case when isnull(d.f_zsbj4,'/') in ('','/','-99') then 'Not applicable' else cast(d.f_zsbj4 as varchar) end else 'Not applicable before 2019/20' end</v>
      </c>
      <c r="AD780" s="28" t="str">
        <f t="shared" si="113"/>
        <v>case when s.DW_FromDate &gt;= 20190801 then IIF(d.f_zsbj4 IN ('','/','-99'),'Not applicable',hzsbj4.dw_Currentlabel) else  'Not applicable before 2019/20' end</v>
      </c>
      <c r="AE780" t="str">
        <f t="shared" si="115"/>
        <v>[Subject of study 4]</v>
      </c>
    </row>
    <row r="781" spans="1:31" ht="32" x14ac:dyDescent="0.2">
      <c r="A781">
        <v>100705</v>
      </c>
      <c r="B781" s="29" t="str">
        <f>DataItems3[[#This Row],[Field]]&amp;IF(DataItems3[[#This Row],[Options for supplying the Field]]="",""," "&amp;DataItems3[[#This Row],[Options for supplying the Field]])</f>
        <v>Subject of study 4 percentage (HECoS 2019/20 onwards)</v>
      </c>
      <c r="C781">
        <v>100705</v>
      </c>
      <c r="D781" s="3" t="s">
        <v>86</v>
      </c>
      <c r="E781" s="3" t="s">
        <v>106</v>
      </c>
      <c r="F781" s="3" t="s">
        <v>2620</v>
      </c>
      <c r="G781" s="13" t="s">
        <v>609</v>
      </c>
      <c r="H781" s="14" t="s">
        <v>2621</v>
      </c>
      <c r="I781" s="13"/>
      <c r="J781" s="3">
        <v>0</v>
      </c>
      <c r="K781" s="3">
        <v>0</v>
      </c>
      <c r="L781" s="3">
        <v>0</v>
      </c>
      <c r="M781" s="3">
        <v>0</v>
      </c>
      <c r="N781" s="3" t="s">
        <v>89</v>
      </c>
      <c r="Q781" s="28" t="s">
        <v>2622</v>
      </c>
      <c r="R781" t="s">
        <v>2622</v>
      </c>
      <c r="S781" s="28" t="s">
        <v>2622</v>
      </c>
      <c r="T781" s="28" t="s">
        <v>2622</v>
      </c>
      <c r="U781" s="3" t="s">
        <v>92</v>
      </c>
      <c r="W781" s="57" t="s">
        <v>114</v>
      </c>
      <c r="X781" t="str">
        <f>DataItems3[[#This Row],[Collection]]&amp;DataItems3[[#This Row],[Field]]&amp;DataItems3[[#This Row],[Options for supplying the Field]]&amp;DataItems3[[#This Row],[Fieldname]]&amp;DataItems3[[#This Row],[Parent]]</f>
        <v>StudentSubject of study 4 percentage(HECoS 2019/20 onwards)F_ZSBJPCT4_HECOS</v>
      </c>
      <c r="Y781" s="15">
        <v>44161</v>
      </c>
      <c r="Z781" t="s">
        <v>776</v>
      </c>
      <c r="AA781" s="28" t="str">
        <f t="shared" si="114"/>
        <v>case when s.DW_FromDate &gt;= 20190801 then  case when isnull(cast(d.f_zsbjpct4 as varchar),'/') in ('','/') then 'Not applicable' else cast(d.F_ZSBJPCT4 as varchar) end ELSE 'Not applicable before 2019/20' END</v>
      </c>
      <c r="AB781" s="28" t="str">
        <f>IF(S781="","",IF(IFERROR(SEARCH("select",S781)&gt;0,0),IF(U781="",IF(MID(S781,SEARCH(H781,S781)-4,1)=" ",MID(S781,SEARCH(H781,S781)-2,LEN(#REF!)+2),MID(S781,SEARCH(H781,S781)-3,LEN(H781)+3)),U781&amp;"."&amp;H781),S781))</f>
        <v>case when s.DW_FromDate &gt;= 20190801 then  case when isnull(cast(d.f_zsbjpct4 as varchar),'/') in ('','/') then 'Not applicable' else cast(d.F_ZSBJPCT4 as varchar) end ELSE 'Not applicable before 2019/20' END</v>
      </c>
      <c r="AC781" s="28" t="str">
        <f t="shared" si="112"/>
        <v>case when s.DW_FromDate &gt;= 20190801 then  case when isnull(cast(d.f_zsbjpct4 as varchar),'/') in ('','/') then 'Not applicable' else cast(d.F_ZSBJPCT4 as varchar) end ELSE 'Not applicable before 2019/20' END</v>
      </c>
      <c r="AD781" s="28" t="str">
        <f>IF(T781="","",IF(IFERROR(SEARCH("select",T781)&gt;0,0),IF(U781="",IF(MID(T781,SEARCH(H781,T781)-4,1)=" ",MID(T781,SEARCH(H781,T781)-2,LEN(#REF!)+2),MID(T781,SEARCH(H781,T781)-3,LEN(H781)+3)),U781&amp;"."&amp;H781),T781))</f>
        <v>case when s.DW_FromDate &gt;= 20190801 then  case when isnull(cast(d.f_zsbjpct4 as varchar),'/') in ('','/') then 'Not applicable' else cast(d.F_ZSBJPCT4 as varchar) end ELSE 'Not applicable before 2019/20' END</v>
      </c>
      <c r="AE781" t="str">
        <f t="shared" si="115"/>
        <v>[Subject of study 4 percentage]</v>
      </c>
    </row>
    <row r="782" spans="1:31" ht="16" x14ac:dyDescent="0.2">
      <c r="A782">
        <v>100711</v>
      </c>
      <c r="B782" s="29" t="str">
        <f>DataItems3[[#This Row],[Field]]&amp;IF(DataItems3[[#This Row],[Options for supplying the Field]]="",""," "&amp;DataItems3[[#This Row],[Options for supplying the Field]])</f>
        <v>Subject of study 5 (CAH1)</v>
      </c>
      <c r="C782">
        <v>100711</v>
      </c>
      <c r="D782" s="3" t="s">
        <v>86</v>
      </c>
      <c r="E782" s="3" t="s">
        <v>106</v>
      </c>
      <c r="F782" s="3" t="s">
        <v>2623</v>
      </c>
      <c r="G782" s="13" t="s">
        <v>2608</v>
      </c>
      <c r="H782" s="13" t="s">
        <v>2624</v>
      </c>
      <c r="I782" s="13"/>
      <c r="J782" s="3">
        <v>0</v>
      </c>
      <c r="K782" s="3">
        <v>0</v>
      </c>
      <c r="L782" s="3">
        <v>0</v>
      </c>
      <c r="M782" s="3">
        <v>0</v>
      </c>
      <c r="N782" s="3" t="s">
        <v>89</v>
      </c>
      <c r="Q782" s="28" t="s">
        <v>3320</v>
      </c>
      <c r="R782" s="3" t="s">
        <v>3320</v>
      </c>
      <c r="S782" s="28" t="s">
        <v>2625</v>
      </c>
      <c r="T782" t="s">
        <v>2625</v>
      </c>
      <c r="U782" s="3" t="s">
        <v>2626</v>
      </c>
      <c r="W782" s="57" t="s">
        <v>114</v>
      </c>
      <c r="X782" t="str">
        <f>DataItems3[[#This Row],[Collection]]&amp;DataItems3[[#This Row],[Field]]&amp;DataItems3[[#This Row],[Options for supplying the Field]]&amp;DataItems3[[#This Row],[Fieldname]]&amp;DataItems3[[#This Row],[Parent]]</f>
        <v>StudentSubject of study 5(CAH1)F_ZSBJ5_CAH1</v>
      </c>
      <c r="Y782" s="15">
        <v>44161</v>
      </c>
      <c r="Z782" t="s">
        <v>776</v>
      </c>
      <c r="AA782" s="28" t="str">
        <f t="shared" si="114"/>
        <v>case when s.DW_FromDate &gt;= 20190801 then  case when isnull(sbj5.[CAH3 (Code only)],'/') in ('','/','-99') then 'Not applicable' else IIF(sbj5.[CAH3 (Code only)]='CAH26-01-03','CAH26-01-03',ISNULL(sbj5.[CAH1 (Code only)],'/')) end else 'Not applicable before 2019/20' end</v>
      </c>
      <c r="AB782" s="28" t="str">
        <f>IF(S782="","",IF(IFERROR(SEARCH("select",S782)&gt;0,0),IF(U782="",IF(MID(S782,SEARCH(H782,S782)-4,1)=" ",MID(S782,SEARCH(H782,S782)-2,LEN(O790)+2),MID(S782,SEARCH(H782,S782)-3,LEN(H782)+3)),U782&amp;"."&amp;H782),S782))</f>
        <v>case when s.DW_FromDate &gt;= 20190801 then IIF(sbj5.[CAH3 (Code only)]='CAH26-01-03','(CAH26) Geography, Earth and Environmental Studies(social sciences)',ISNULL(sbj5.[CAH1],'Not applicable')) ELSE 'Not applicable before 2019/20' END</v>
      </c>
      <c r="AC782" s="28" t="str">
        <f t="shared" si="112"/>
        <v>case when s.DW_FromDate &gt;= 20190801 then  case when isnull(sbj5.[CAH3 (Code only)],'/') in ('','/','-99') then 'Not applicable' else IIF(sbj5.[CAH3 (Code only)]='CAH26-01-03','CAH26-01-03',ISNULL(sbj5.[CAH1 (Code only)],'/')) end else 'Not applicable before 2019/20' end</v>
      </c>
      <c r="AD782" s="28" t="str">
        <f t="shared" ref="AD782:AD787" si="116">IF(T782="","",IF(IFERROR(SEARCH("select",T782)&gt;0,0),IF(U782="",IF(MID(T782,SEARCH(H782,T782)-4,1)=" ",MID(T782,SEARCH(H782,T782)-2,LEN(O790)+2),MID(T782,SEARCH(H782,T782)-3,LEN(H782)+3)),U782&amp;"."&amp;H782),T782))</f>
        <v>case when s.DW_FromDate &gt;= 20190801 then IIF(sbj5.[CAH3 (Code only)]='CAH26-01-03','(CAH26) Geography, Earth and Environmental Studies(social sciences)',ISNULL(sbj5.[CAH1],'Not applicable')) ELSE 'Not applicable before 2019/20' END</v>
      </c>
      <c r="AE782" t="str">
        <f t="shared" si="115"/>
        <v>[Subject of study 5]</v>
      </c>
    </row>
    <row r="783" spans="1:31" ht="16" x14ac:dyDescent="0.2">
      <c r="A783">
        <v>100721</v>
      </c>
      <c r="B783" s="29" t="str">
        <f>DataItems3[[#This Row],[Field]]&amp;IF(DataItems3[[#This Row],[Options for supplying the Field]]="",""," "&amp;DataItems3[[#This Row],[Options for supplying the Field]])</f>
        <v>Subject of study 5 (CAH2)</v>
      </c>
      <c r="C783">
        <v>100721</v>
      </c>
      <c r="D783" s="3" t="s">
        <v>86</v>
      </c>
      <c r="E783" s="3" t="s">
        <v>106</v>
      </c>
      <c r="F783" s="3" t="s">
        <v>2623</v>
      </c>
      <c r="G783" s="13" t="s">
        <v>2612</v>
      </c>
      <c r="H783" s="13" t="s">
        <v>2627</v>
      </c>
      <c r="I783" s="13"/>
      <c r="J783" s="3">
        <v>0</v>
      </c>
      <c r="K783" s="3">
        <v>0</v>
      </c>
      <c r="L783" s="3">
        <v>0</v>
      </c>
      <c r="M783" s="3">
        <v>0</v>
      </c>
      <c r="N783" s="3" t="s">
        <v>89</v>
      </c>
      <c r="Q783" s="28" t="s">
        <v>3321</v>
      </c>
      <c r="R783" t="s">
        <v>3321</v>
      </c>
      <c r="S783" s="28" t="s">
        <v>2628</v>
      </c>
      <c r="T783" t="s">
        <v>2628</v>
      </c>
      <c r="U783" s="3" t="s">
        <v>2626</v>
      </c>
      <c r="W783" s="57" t="s">
        <v>114</v>
      </c>
      <c r="X783" t="str">
        <f>DataItems3[[#This Row],[Collection]]&amp;DataItems3[[#This Row],[Field]]&amp;DataItems3[[#This Row],[Options for supplying the Field]]&amp;DataItems3[[#This Row],[Fieldname]]&amp;DataItems3[[#This Row],[Parent]]</f>
        <v>StudentSubject of study 5(CAH2)F_ZSBJ5_CAH2</v>
      </c>
      <c r="Y783" s="15">
        <v>44161</v>
      </c>
      <c r="Z783" t="s">
        <v>776</v>
      </c>
      <c r="AA783" s="28" t="str">
        <f t="shared" si="114"/>
        <v>case when s.DW_FromDate &gt;= 20190801 then case when isnull(sbj5.[CAH3 (Code only)],'/') in ('','/','-99') then 'Not applicable' else IIF(sbj5.[CAH3 (Code only)]='CAH26-01-03','CAH26-01-03',ISNULL(sbj5.[CAH2 (Code only)],'/')) end else 'Not applicable before 2019/20' end</v>
      </c>
      <c r="AB783" s="28" t="str">
        <f>IF(S783="","",IF(IFERROR(SEARCH("select",S783)&gt;0,0),IF(U783="",IF(MID(S783,SEARCH(H783,S783)-4,1)=" ",MID(S783,SEARCH(H783,S783)-2,LEN(O791)+2),MID(S783,SEARCH(H783,S783)-3,LEN(H783)+3)),U783&amp;"."&amp;H783),S783))</f>
        <v>case when s.DW_FromDate &gt;= 20190801 then case when isnull(sbj5.[CAH3 (Code only)],'/') in ('','/') then 'Not applicable' else IIF(sbj5.[CAH3 (Code only)]='CAH26-01-03','(CAH26) Geography, Earth and Environmental Studies(social sciences)',ISNULL(sbj5.[CAH2],'Not applicable')) end ELSE 'Not applicable before 2019/20' END</v>
      </c>
      <c r="AC783" s="28" t="str">
        <f t="shared" si="112"/>
        <v>case when s.DW_FromDate &gt;= 20190801 then case when isnull(sbj5.[CAH3 (Code only)],'/') in ('','/','-99') then 'Not applicable' else IIF(sbj5.[CAH3 (Code only)]='CAH26-01-03','CAH26-01-03',ISNULL(sbj5.[CAH2 (Code only)],'/')) end else 'Not applicable before 2019/20' end</v>
      </c>
      <c r="AD783" s="28" t="str">
        <f t="shared" si="116"/>
        <v>case when s.DW_FromDate &gt;= 20190801 then case when isnull(sbj5.[CAH3 (Code only)],'/') in ('','/') then 'Not applicable' else IIF(sbj5.[CAH3 (Code only)]='CAH26-01-03','(CAH26) Geography, Earth and Environmental Studies(social sciences)',ISNULL(sbj5.[CAH2],'Not applicable')) end ELSE 'Not applicable before 2019/20' END</v>
      </c>
      <c r="AE783" t="str">
        <f t="shared" si="115"/>
        <v>[Subject of study 5]</v>
      </c>
    </row>
    <row r="784" spans="1:31" ht="16" x14ac:dyDescent="0.2">
      <c r="A784">
        <v>100731</v>
      </c>
      <c r="B784" s="29" t="str">
        <f>DataItems3[[#This Row],[Field]]&amp;IF(DataItems3[[#This Row],[Options for supplying the Field]]="",""," "&amp;DataItems3[[#This Row],[Options for supplying the Field]])</f>
        <v>Subject of study 5 (CAH3)</v>
      </c>
      <c r="C784">
        <v>100731</v>
      </c>
      <c r="D784" s="3" t="s">
        <v>86</v>
      </c>
      <c r="E784" s="3" t="s">
        <v>106</v>
      </c>
      <c r="F784" s="3" t="s">
        <v>2623</v>
      </c>
      <c r="G784" s="13" t="s">
        <v>2615</v>
      </c>
      <c r="H784" s="13" t="s">
        <v>2629</v>
      </c>
      <c r="I784" s="13"/>
      <c r="J784" s="3">
        <v>0</v>
      </c>
      <c r="K784" s="3">
        <v>0</v>
      </c>
      <c r="L784" s="3">
        <v>0</v>
      </c>
      <c r="M784" s="3">
        <v>0</v>
      </c>
      <c r="N784" s="3" t="s">
        <v>89</v>
      </c>
      <c r="Q784" s="28" t="s">
        <v>3322</v>
      </c>
      <c r="R784" s="3" t="s">
        <v>3322</v>
      </c>
      <c r="S784" s="28" t="s">
        <v>2630</v>
      </c>
      <c r="T784" t="s">
        <v>2630</v>
      </c>
      <c r="U784" s="3" t="s">
        <v>2626</v>
      </c>
      <c r="W784" s="57" t="s">
        <v>114</v>
      </c>
      <c r="X784" t="str">
        <f>DataItems3[[#This Row],[Collection]]&amp;DataItems3[[#This Row],[Field]]&amp;DataItems3[[#This Row],[Options for supplying the Field]]&amp;DataItems3[[#This Row],[Fieldname]]&amp;DataItems3[[#This Row],[Parent]]</f>
        <v>StudentSubject of study 5(CAH3)F_ZSBJ5_CAH3</v>
      </c>
      <c r="Y784" s="15">
        <v>44161</v>
      </c>
      <c r="Z784" t="s">
        <v>776</v>
      </c>
      <c r="AA784" s="28" t="str">
        <f t="shared" si="114"/>
        <v>case when s.DW_FromDate &gt;= 20190801 then  case when isnull(sbj5.[CAH3 (Code only)],'/') in ('','/','-99') then 'Not applicable' else ISNULL(sbj5.[CAH3 (Code only)],'/') end else 'Not applicable before 2019/20' end</v>
      </c>
      <c r="AB784" s="28" t="str">
        <f>IF(S784="","",IF(IFERROR(SEARCH("select",S784)&gt;0,0),IF(U784="",IF(MID(S784,SEARCH(H784,S784)-4,1)=" ",MID(S784,SEARCH(H784,S784)-2,LEN(O792)+2),MID(S784,SEARCH(H784,S784)-3,LEN(H784)+3)),U784&amp;"."&amp;H784),S784))</f>
        <v>case when s.DW_FromDate &gt;= 20190801 then ISNULL(sbj5.[CAH3],'Not applicable') ELSE 'Not applicable before 2019/20' END</v>
      </c>
      <c r="AC784" s="28" t="str">
        <f t="shared" si="112"/>
        <v>case when s.DW_FromDate &gt;= 20190801 then  case when isnull(sbj5.[CAH3 (Code only)],'/') in ('','/','-99') then 'Not applicable' else ISNULL(sbj5.[CAH3 (Code only)],'/') end else 'Not applicable before 2019/20' end</v>
      </c>
      <c r="AD784" s="28" t="str">
        <f t="shared" si="116"/>
        <v>case when s.DW_FromDate &gt;= 20190801 then ISNULL(sbj5.[CAH3],'Not applicable') ELSE 'Not applicable before 2019/20' END</v>
      </c>
      <c r="AE784" t="str">
        <f t="shared" si="115"/>
        <v>[Subject of study 5]</v>
      </c>
    </row>
    <row r="785" spans="1:31" ht="32" x14ac:dyDescent="0.2">
      <c r="A785">
        <v>100701</v>
      </c>
      <c r="B785" s="29" t="str">
        <f>DataItems3[[#This Row],[Field]]&amp;IF(DataItems3[[#This Row],[Options for supplying the Field]]="",""," "&amp;DataItems3[[#This Row],[Options for supplying the Field]])</f>
        <v>Subject of study 5 (HECoS 2019/20 onwards)</v>
      </c>
      <c r="C785">
        <v>100701</v>
      </c>
      <c r="D785" s="3" t="s">
        <v>86</v>
      </c>
      <c r="E785" s="3" t="s">
        <v>106</v>
      </c>
      <c r="F785" s="3" t="s">
        <v>2623</v>
      </c>
      <c r="G785" s="13" t="s">
        <v>609</v>
      </c>
      <c r="H785" s="13" t="s">
        <v>2631</v>
      </c>
      <c r="I785" s="13"/>
      <c r="J785" s="3">
        <v>0</v>
      </c>
      <c r="K785" s="3">
        <v>0</v>
      </c>
      <c r="L785" s="3">
        <v>0</v>
      </c>
      <c r="M785" s="3">
        <v>0</v>
      </c>
      <c r="N785" s="3" t="s">
        <v>89</v>
      </c>
      <c r="Q785" s="28" t="s">
        <v>3323</v>
      </c>
      <c r="R785" t="s">
        <v>3323</v>
      </c>
      <c r="S785" s="28" t="s">
        <v>3324</v>
      </c>
      <c r="T785" t="s">
        <v>3324</v>
      </c>
      <c r="U785" s="3" t="s">
        <v>2632</v>
      </c>
      <c r="W785" s="57" t="s">
        <v>114</v>
      </c>
      <c r="X785" t="str">
        <f>DataItems3[[#This Row],[Collection]]&amp;DataItems3[[#This Row],[Field]]&amp;DataItems3[[#This Row],[Options for supplying the Field]]&amp;DataItems3[[#This Row],[Fieldname]]&amp;DataItems3[[#This Row],[Parent]]</f>
        <v>StudentSubject of study 5(HECoS 2019/20 onwards)F_ZSBJ5_HECOS</v>
      </c>
      <c r="Y785" s="15">
        <v>44161</v>
      </c>
      <c r="Z785" t="s">
        <v>776</v>
      </c>
      <c r="AA785" s="28" t="str">
        <f t="shared" si="114"/>
        <v>case when s.DW_FromDate &gt;= 20190801 then  case when isnull(d.f_zsbj5,'/') in ('','/','-99') then 'Not applicable' else  cast(d.f_zsbj5 as varchar) end else 'Not applicable before 2019/20' end</v>
      </c>
      <c r="AB785" s="28" t="str">
        <f>IF(S785="","",IF(IFERROR(SEARCH("select",S785)&gt;0,0),IF(U785="",IF(MID(S785,SEARCH(H785,S785)-4,1)=" ",MID(S785,SEARCH(H785,S785)-2,LEN(#REF!)+2),MID(S785,SEARCH(H785,S785)-3,LEN(H785)+3)),U785&amp;"."&amp;H785),S785))</f>
        <v>case when s.DW_FromDate &gt;= 20190801 then IIF(d.f_zsbj5 IN ('','/','-99'),'Not applicable',hzsbj5.dw_Currentlabel) else  'Not applicable before 2019/20' end</v>
      </c>
      <c r="AC785" s="28" t="str">
        <f t="shared" si="112"/>
        <v>case when s.DW_FromDate &gt;= 20190801 then  case when isnull(d.f_zsbj5,'/') in ('','/','-99') then 'Not applicable' else  cast(d.f_zsbj5 as varchar) end else 'Not applicable before 2019/20' end</v>
      </c>
      <c r="AD785" s="28" t="str">
        <f t="shared" si="116"/>
        <v>case when s.DW_FromDate &gt;= 20190801 then IIF(d.f_zsbj5 IN ('','/','-99'),'Not applicable',hzsbj5.dw_Currentlabel) else  'Not applicable before 2019/20' end</v>
      </c>
      <c r="AE785" t="str">
        <f t="shared" si="115"/>
        <v>[Subject of study 5]</v>
      </c>
    </row>
    <row r="786" spans="1:31" ht="30" customHeight="1" x14ac:dyDescent="0.2">
      <c r="A786">
        <v>100706</v>
      </c>
      <c r="B786" s="29" t="str">
        <f>DataItems3[[#This Row],[Field]]&amp;IF(DataItems3[[#This Row],[Options for supplying the Field]]="",""," "&amp;DataItems3[[#This Row],[Options for supplying the Field]])</f>
        <v>Subject of study 5 percentage (HECoS 2019/20 onwards)</v>
      </c>
      <c r="C786">
        <v>100706</v>
      </c>
      <c r="D786" s="3" t="s">
        <v>86</v>
      </c>
      <c r="E786" s="3" t="s">
        <v>106</v>
      </c>
      <c r="F786" s="3" t="s">
        <v>2633</v>
      </c>
      <c r="G786" s="13" t="s">
        <v>609</v>
      </c>
      <c r="H786" s="13" t="s">
        <v>2634</v>
      </c>
      <c r="I786" s="13"/>
      <c r="J786" s="3">
        <v>0</v>
      </c>
      <c r="K786" s="3">
        <v>0</v>
      </c>
      <c r="L786" s="3">
        <v>0</v>
      </c>
      <c r="M786" s="3">
        <v>0</v>
      </c>
      <c r="N786" s="3" t="s">
        <v>89</v>
      </c>
      <c r="Q786" s="16" t="s">
        <v>2635</v>
      </c>
      <c r="R786" s="3" t="s">
        <v>2635</v>
      </c>
      <c r="S786" s="28" t="s">
        <v>2635</v>
      </c>
      <c r="T786" t="s">
        <v>2635</v>
      </c>
      <c r="U786" s="3" t="s">
        <v>92</v>
      </c>
      <c r="W786" s="57" t="s">
        <v>114</v>
      </c>
      <c r="X786" t="str">
        <f>DataItems3[[#This Row],[Collection]]&amp;DataItems3[[#This Row],[Field]]&amp;DataItems3[[#This Row],[Options for supplying the Field]]&amp;DataItems3[[#This Row],[Fieldname]]&amp;DataItems3[[#This Row],[Parent]]</f>
        <v>StudentSubject of study 5 percentage(HECoS 2019/20 onwards)F_ZSBJPCT5_HECOS</v>
      </c>
      <c r="Y786" s="15">
        <v>44161</v>
      </c>
      <c r="Z786" t="s">
        <v>776</v>
      </c>
      <c r="AA786" s="28" t="str">
        <f t="shared" si="114"/>
        <v>case when s.DW_FromDate &gt;= 20190801 then case when isnull(cast(d.f_zsbjpct5 as varchar),'/') in ('','/') then 'Not applicable' else cast(d.F_ZSBJPCT5 as varchar) end ELSE 'Not applicable before 2019/20' END</v>
      </c>
      <c r="AB786" s="28" t="str">
        <f>IF(S786="","",IF(IFERROR(SEARCH("select",S786)&gt;0,0),IF(U786="",IF(MID(S786,SEARCH(H786,S786)-4,1)=" ",MID(S786,SEARCH(H786,S786)-2,LEN(O793)+2),MID(S786,SEARCH(H786,S786)-3,LEN(H786)+3)),U786&amp;"."&amp;H786),S786))</f>
        <v>case when s.DW_FromDate &gt;= 20190801 then case when isnull(cast(d.f_zsbjpct5 as varchar),'/') in ('','/') then 'Not applicable' else cast(d.F_ZSBJPCT5 as varchar) end ELSE 'Not applicable before 2019/20' END</v>
      </c>
      <c r="AC786" s="28" t="str">
        <f t="shared" si="112"/>
        <v>case when s.DW_FromDate &gt;= 20190801 then case when isnull(cast(d.f_zsbjpct5 as varchar),'/') in ('','/') then 'Not applicable' else cast(d.F_ZSBJPCT5 as varchar) end ELSE 'Not applicable before 2019/20' END</v>
      </c>
      <c r="AD786" s="28" t="str">
        <f t="shared" si="116"/>
        <v>case when s.DW_FromDate &gt;= 20190801 then case when isnull(cast(d.f_zsbjpct5 as varchar),'/') in ('','/') then 'Not applicable' else cast(d.F_ZSBJPCT5 as varchar) end ELSE 'Not applicable before 2019/20' END</v>
      </c>
      <c r="AE786" t="str">
        <f t="shared" si="115"/>
        <v>[Subject of study 5 percentage]</v>
      </c>
    </row>
    <row r="787" spans="1:31" ht="32" x14ac:dyDescent="0.2">
      <c r="A787">
        <v>100696</v>
      </c>
      <c r="B787" s="29" t="str">
        <f>DataItems3[[#This Row],[Field]]&amp;IF(DataItems3[[#This Row],[Options for supplying the Field]]="",""," "&amp;DataItems3[[#This Row],[Options for supplying the Field]])</f>
        <v>Subject of study balance indicator (HECoS 2019/20 onwards)</v>
      </c>
      <c r="C787">
        <v>100696</v>
      </c>
      <c r="D787" s="3" t="s">
        <v>86</v>
      </c>
      <c r="E787" s="3" t="s">
        <v>106</v>
      </c>
      <c r="F787" s="3" t="s">
        <v>2636</v>
      </c>
      <c r="G787" s="13" t="s">
        <v>609</v>
      </c>
      <c r="H787" s="13" t="s">
        <v>2637</v>
      </c>
      <c r="I787" s="13"/>
      <c r="J787" s="3">
        <v>0</v>
      </c>
      <c r="K787" s="3">
        <v>1</v>
      </c>
      <c r="L787" s="3">
        <v>0</v>
      </c>
      <c r="M787" s="3">
        <v>0</v>
      </c>
      <c r="N787" s="3" t="s">
        <v>89</v>
      </c>
      <c r="Q787" s="16" t="s">
        <v>2638</v>
      </c>
      <c r="R787" s="3" t="s">
        <v>2638</v>
      </c>
      <c r="S787" s="16" t="s">
        <v>2639</v>
      </c>
      <c r="T787" s="16" t="s">
        <v>2639</v>
      </c>
      <c r="U787" s="3" t="s">
        <v>2640</v>
      </c>
      <c r="W787" s="57" t="s">
        <v>114</v>
      </c>
      <c r="X787" t="str">
        <f>DataItems3[[#This Row],[Collection]]&amp;DataItems3[[#This Row],[Field]]&amp;DataItems3[[#This Row],[Options for supplying the Field]]&amp;DataItems3[[#This Row],[Fieldname]]&amp;DataItems3[[#This Row],[Parent]]</f>
        <v>StudentSubject of study balance indicator(HECoS 2019/20 onwards)F_ZSBJBID</v>
      </c>
      <c r="Y787" s="15">
        <v>44161</v>
      </c>
      <c r="Z787" t="s">
        <v>776</v>
      </c>
      <c r="AA787" s="28" t="str">
        <f t="shared" si="114"/>
        <v>case when s.DW_FromDate &gt;= 20190801 then cast(d.f_zsbjbid  as varchar) else 'Not applicable before 2019/20' end</v>
      </c>
      <c r="AB787" s="28" t="str">
        <f>IF(S787="","",IF(IFERROR(SEARCH("select",S787)&gt;0,0),IF(U787="",IF(MID(S787,SEARCH(H787,S787)-4,1)=" ",MID(S787,SEARCH(H787,S787)-2,LEN(O794)+2),MID(S787,SEARCH(H787,S787)-3,LEN(H787)+3)),U787&amp;"."&amp;H787),S787))</f>
        <v>case when s.DW_FromDate &gt;= 20190801 then zsbjbid.DW_CurrentLabel else 'Not applicable before 2019/20' end</v>
      </c>
      <c r="AC787" s="28" t="str">
        <f t="shared" si="112"/>
        <v>case when s.DW_FromDate &gt;= 20190801 then cast(d.f_zsbjbid  as varchar) else 'Not applicable before 2019/20' end</v>
      </c>
      <c r="AD787" s="28" t="str">
        <f t="shared" si="116"/>
        <v>case when s.DW_FromDate &gt;= 20190801 then zsbjbid.DW_CurrentLabel else 'Not applicable before 2019/20' end</v>
      </c>
      <c r="AE787" t="str">
        <f t="shared" si="115"/>
        <v>[Subject of study balance indicator]</v>
      </c>
    </row>
    <row r="788" spans="1:31" ht="16" x14ac:dyDescent="0.2">
      <c r="A788">
        <v>100053</v>
      </c>
      <c r="B788" s="11" t="str">
        <f>DataItems3[[#This Row],[Field]]&amp;IF(DataItems3[[#This Row],[Options for supplying the Field]]="",""," "&amp;DataItems3[[#This Row],[Options for supplying the Field]])</f>
        <v>Subject of study balance indicator  (JACS)</v>
      </c>
      <c r="C788">
        <v>100053</v>
      </c>
      <c r="D788" s="3" t="s">
        <v>86</v>
      </c>
      <c r="E788" s="3" t="s">
        <v>106</v>
      </c>
      <c r="F788" s="3" t="s">
        <v>2641</v>
      </c>
      <c r="G788" s="13" t="s">
        <v>2642</v>
      </c>
      <c r="H788" s="14" t="s">
        <v>2643</v>
      </c>
      <c r="J788" s="3">
        <v>0</v>
      </c>
      <c r="K788" s="3">
        <v>1</v>
      </c>
      <c r="L788" s="3">
        <v>0</v>
      </c>
      <c r="M788" s="3">
        <v>0</v>
      </c>
      <c r="N788" s="3" t="s">
        <v>89</v>
      </c>
      <c r="Q788" s="16" t="s">
        <v>2644</v>
      </c>
      <c r="R788" s="3" t="s">
        <v>2644</v>
      </c>
      <c r="S788" s="16" t="s">
        <v>2645</v>
      </c>
      <c r="T788" s="16" t="s">
        <v>2645</v>
      </c>
      <c r="U788" s="3" t="s">
        <v>2640</v>
      </c>
      <c r="V788" s="3" t="s">
        <v>93</v>
      </c>
      <c r="W788" s="57" t="s">
        <v>114</v>
      </c>
      <c r="X788" t="str">
        <f>DataItems3[[#This Row],[Collection]]&amp;DataItems3[[#This Row],[Field]]&amp;DataItems3[[#This Row],[Options for supplying the Field]]&amp;DataItems3[[#This Row],[Fieldname]]&amp;DataItems3[[#This Row],[Parent]]</f>
        <v>StudentSubject of study balance indicator (JACS)F_ZSBJBID_JACS</v>
      </c>
      <c r="Y788" s="15">
        <v>43438</v>
      </c>
      <c r="Z788" t="s">
        <v>95</v>
      </c>
      <c r="AA788" s="28" t="str">
        <f t="shared" si="114"/>
        <v>case when s.DW_FromDate between 20120801 and 20180801 then cast(d.f_zsbjbid as varchar) else 'Not applicable 2019/20 onwards' end</v>
      </c>
      <c r="AB788" s="28" t="str">
        <f>IF(S788="","",IF(IFERROR(SEARCH("select",S788)&gt;0,0),IF(U788="",IF(MID(S788,SEARCH(H788,S788)-4,1)=" ",MID(S788,SEARCH(H788,S788)-2,LEN(O795)+2),MID(S788,SEARCH(H788,S788)-3,LEN(H788)+3)),U788&amp;"."&amp;H788),S788))</f>
        <v>case when s.DW_FromDate between 20120801 and 20180801 then zsbjbid.DW_CurrentLabel else 'Not applicable 2019/20 onwards' end</v>
      </c>
      <c r="AC788" s="28" t="str">
        <f t="shared" ref="AC788:AC799" si="117">IF(R788="","",R788)</f>
        <v>case when s.DW_FromDate between 20120801 and 20180801 then cast(d.f_zsbjbid as varchar) else 'Not applicable 2019/20 onwards' end</v>
      </c>
      <c r="AD788" s="28" t="str">
        <f>IF(T788="","",IF(IFERROR(SEARCH("select",T788)&gt;0,0),IF(U788="",IF(MID(T788,SEARCH(H788,T788)-4,1)=" ",MID(T788,SEARCH(H788,T788)-2,LEN(#REF!)+2),MID(T788,SEARCH(H788,T788)-3,LEN(H788)+3)),U788&amp;"."&amp;H788),T788))</f>
        <v>case when s.DW_FromDate between 20120801 and 20180801 then zsbjbid.DW_CurrentLabel else 'Not applicable 2019/20 onwards' end</v>
      </c>
      <c r="AE788" t="str">
        <f t="shared" si="115"/>
        <v>[Subject of study balance indicator ]</v>
      </c>
    </row>
    <row r="789" spans="1:31" ht="16" x14ac:dyDescent="0.2">
      <c r="A789">
        <v>100569</v>
      </c>
      <c r="B789" s="11" t="str">
        <f>DataItems3[[#This Row],[Field]]&amp;IF(DataItems3[[#This Row],[Options for supplying the Field]]="",""," "&amp;DataItems3[[#This Row],[Options for supplying the Field]])</f>
        <v>Supervising responsibility [SUPERVISE]</v>
      </c>
      <c r="C789">
        <v>100569</v>
      </c>
      <c r="D789" s="3" t="s">
        <v>151</v>
      </c>
      <c r="F789" s="3" t="s">
        <v>2646</v>
      </c>
      <c r="G789" s="13" t="s">
        <v>2647</v>
      </c>
      <c r="H789" s="3" t="s">
        <v>2648</v>
      </c>
      <c r="J789" s="3">
        <v>2</v>
      </c>
      <c r="K789" s="3">
        <v>2</v>
      </c>
      <c r="L789" s="3">
        <v>0</v>
      </c>
      <c r="M789" s="3">
        <v>0</v>
      </c>
      <c r="P789" s="3" t="s">
        <v>874</v>
      </c>
      <c r="Q789" s="16" t="s">
        <v>3325</v>
      </c>
      <c r="R789" s="3" t="s">
        <v>93</v>
      </c>
      <c r="S789" s="16" t="s">
        <v>3326</v>
      </c>
      <c r="U789" s="3" t="s">
        <v>2649</v>
      </c>
      <c r="V789" s="3" t="s">
        <v>93</v>
      </c>
      <c r="W789" s="57" t="s">
        <v>2909</v>
      </c>
      <c r="X789" t="str">
        <f>DataItems3[[#This Row],[Collection]]&amp;DataItems3[[#This Row],[Field]]&amp;DataItems3[[#This Row],[Options for supplying the Field]]&amp;DataItems3[[#This Row],[Fieldname]]&amp;DataItems3[[#This Row],[Parent]]</f>
        <v>Graduate OutcomesSupervising responsibility[SUPERVISE]SUPERVISEProvider &gt; Graduate &gt; Employment:</v>
      </c>
      <c r="Y789" s="15">
        <v>43550</v>
      </c>
      <c r="Z789" t="s">
        <v>159</v>
      </c>
      <c r="AA789" s="28" t="str">
        <f t="shared" si="114"/>
        <v>CASE WHEN ISNULL(g.ZRESPSTATUS, '02')='02' OR ISNULL(g.XACTIVITY, '99')='99' THEN 'Not in GO publication population' WHEN g.dw_fromdate=20200801 THEN 'Not applicable 2020/21 onwards' else IIF(isnull(g.SUPERVISE,'')='','N/A',g.SUPERVISE) end</v>
      </c>
      <c r="AB789" s="28" t="str">
        <f>IF(S789="","",IF(IFERROR(SEARCH("select",S789)&gt;0,0),IF(U789="",IF(MID(S789,SEARCH(H789,S789)-4,1)=" ",MID(S789,SEARCH(H789,S789)-2,LEN(#REF!)+2),MID(S789,SEARCH(H789,S789)-3,LEN(H789)+3)),U789&amp;"."&amp;H789),S789))</f>
        <v>CASE WHEN ISNULL(g.ZRESPSTATUS, '02')='02' OR ISNULL(g.XACTIVITY, '99')='99' THEN 'Not in GO publication population' WHEN g.dw_fromdate=20200801 THEN 'Not applicable 2020/21 onwards'  else IIF(isnull(g.SUPERVISE,'')='','N/A',supervise.label)  end</v>
      </c>
      <c r="AC789" s="28" t="str">
        <f t="shared" si="117"/>
        <v/>
      </c>
      <c r="AD789" s="28" t="str">
        <f>IF(T789="","",IF(IFERROR(SEARCH("select",T789)&gt;0,0),IF(U789="",IF(MID(T789,SEARCH(H789,T789)-4,1)=" ",MID(T789,SEARCH(H789,T789)-2,LEN(O796)+2),MID(T789,SEARCH(H789,T789)-3,LEN(H789)+3)),U789&amp;"."&amp;H789),T789))</f>
        <v/>
      </c>
      <c r="AE789" t="str">
        <f t="shared" si="115"/>
        <v>[Supervising responsibility]</v>
      </c>
    </row>
    <row r="790" spans="1:31" ht="16" x14ac:dyDescent="0.2">
      <c r="A790">
        <v>100573</v>
      </c>
      <c r="B790" s="11" t="str">
        <f>DataItems3[[#This Row],[Field]]&amp;IF(DataItems3[[#This Row],[Options for supplying the Field]]="",""," "&amp;DataItems3[[#This Row],[Options for supplying the Field]])</f>
        <v>Tariff⁽¹⁾ (Full)</v>
      </c>
      <c r="C790">
        <v>100573</v>
      </c>
      <c r="D790" s="3" t="s">
        <v>86</v>
      </c>
      <c r="E790" s="3" t="s">
        <v>106</v>
      </c>
      <c r="F790" s="3" t="str">
        <f>"Tariff"&amp;"⁽"&amp;CHAR(185)&amp;"⁾"</f>
        <v>Tariff⁽¹⁾</v>
      </c>
      <c r="G790" s="13" t="s">
        <v>277</v>
      </c>
      <c r="H790" s="14" t="s">
        <v>2650</v>
      </c>
      <c r="J790" s="3">
        <v>5</v>
      </c>
      <c r="K790" s="3">
        <v>3</v>
      </c>
      <c r="L790" s="3">
        <v>1</v>
      </c>
      <c r="M790" s="3">
        <v>0</v>
      </c>
      <c r="N790" s="3" t="s">
        <v>2651</v>
      </c>
      <c r="Q790" s="16" t="s">
        <v>2652</v>
      </c>
      <c r="R790" s="16" t="s">
        <v>2652</v>
      </c>
      <c r="S790" s="16" t="s">
        <v>2652</v>
      </c>
      <c r="T790" s="16" t="s">
        <v>2652</v>
      </c>
      <c r="V790" s="3" t="s">
        <v>93</v>
      </c>
      <c r="W790" s="57" t="s">
        <v>114</v>
      </c>
      <c r="X790" t="str">
        <f>DataItems3[[#This Row],[Collection]]&amp;DataItems3[[#This Row],[Field]]&amp;DataItems3[[#This Row],[Options for supplying the Field]]&amp;DataItems3[[#This Row],[Fieldname]]&amp;DataItems3[[#This Row],[Parent]]</f>
        <v>StudentTariff⁽¹⁾(Full)F_XTARIFF</v>
      </c>
      <c r="Y790" s="15">
        <v>43441</v>
      </c>
      <c r="Z790" t="s">
        <v>95</v>
      </c>
      <c r="AA790" s="28" t="str">
        <f t="shared" si="114"/>
        <v>CASE WHEN s.F_QUALENT3 IN ('P41', 'P42', 'P46', 'P47', 'P50', 'P51', 'P53', 'P54', 'P62', 'P63', 'P64', 'P65', 'P68', 'P80', 'P91', 'P93', 'P94', 'X00', 'X01') THEN CASE WHEN s.DW_FromDate&gt;=20170801 THEN 'Not applicable' ELSE case WHEN s.F_XTARIFF IN ('$$$$', '0000', '____', '-1') THEN 'Unknown' ELSE CAST(CAST(s.f_xtariff AS INT)AS VARCHAR) END end ELSE 'Not applicable' END</v>
      </c>
      <c r="AB790" s="28" t="str">
        <f>IF(S790="","",IF(IFERROR(SEARCH("select",S790)&gt;0,0),IF(U790="",IF(MID(S790,SEARCH(H790,S790)-4,1)=" ",MID(S790,SEARCH(H790,S790)-2,LEN(O797)+2),MID(S790,SEARCH(H790,S790)-3,LEN(H790)+3)),U790&amp;"."&amp;H790),S790))</f>
        <v>CASE WHEN s.F_QUALENT3 IN ('P41', 'P42', 'P46', 'P47', 'P50', 'P51', 'P53', 'P54', 'P62', 'P63', 'P64', 'P65', 'P68', 'P80', 'P91', 'P93', 'P94', 'X00', 'X01') THEN CASE WHEN s.DW_FromDate&gt;=20170801 THEN 'Not applicable' ELSE case WHEN s.F_XTARIFF IN ('$$$$', '0000', '____', '-1') THEN 'Unknown' ELSE CAST(CAST(s.f_xtariff AS INT)AS VARCHAR) END end ELSE 'Not applicable' END</v>
      </c>
      <c r="AC790" s="28" t="str">
        <f t="shared" si="117"/>
        <v>CASE WHEN s.F_QUALENT3 IN ('P41', 'P42', 'P46', 'P47', 'P50', 'P51', 'P53', 'P54', 'P62', 'P63', 'P64', 'P65', 'P68', 'P80', 'P91', 'P93', 'P94', 'X00', 'X01') THEN CASE WHEN s.DW_FromDate&gt;=20170801 THEN 'Not applicable' ELSE case WHEN s.F_XTARIFF IN ('$$$$', '0000', '____', '-1') THEN 'Unknown' ELSE CAST(CAST(s.f_xtariff AS INT)AS VARCHAR) END end ELSE 'Not applicable' END</v>
      </c>
      <c r="AD790" s="28" t="str">
        <f t="shared" ref="AD790:AD795" si="118">IF(T790="","",IF(IFERROR(SEARCH("select",T790)&gt;0,0),IF(U790="",IF(MID(T790,SEARCH(H790,T790)-4,1)=" ",MID(T790,SEARCH(H790,T790)-2,LEN(O798)+2),MID(T790,SEARCH(H790,T790)-3,LEN(H790)+3)),U790&amp;"."&amp;H790),T790))</f>
        <v>CASE WHEN s.F_QUALENT3 IN ('P41', 'P42', 'P46', 'P47', 'P50', 'P51', 'P53', 'P54', 'P62', 'P63', 'P64', 'P65', 'P68', 'P80', 'P91', 'P93', 'P94', 'X00', 'X01') THEN CASE WHEN s.DW_FromDate&gt;=20170801 THEN 'Not applicable' ELSE case WHEN s.F_XTARIFF IN ('$$$$', '0000', '____', '-1') THEN 'Unknown' ELSE CAST(CAST(s.f_xtariff AS INT)AS VARCHAR) END end ELSE 'Not applicable' END</v>
      </c>
      <c r="AE790" t="str">
        <f t="shared" si="115"/>
        <v>[Tariff]</v>
      </c>
    </row>
    <row r="791" spans="1:31" ht="16" x14ac:dyDescent="0.2">
      <c r="A791">
        <v>100571</v>
      </c>
      <c r="B791" s="11" t="str">
        <f>DataItems3[[#This Row],[Field]]&amp;IF(DataItems3[[#This Row],[Options for supplying the Field]]="",""," "&amp;DataItems3[[#This Row],[Options for supplying the Field]])</f>
        <v>Tariff⁽¹⁾ (Full) (HIN linked)</v>
      </c>
      <c r="C791">
        <v>100571</v>
      </c>
      <c r="D791" s="3" t="s">
        <v>86</v>
      </c>
      <c r="F791" s="3" t="str">
        <f>"Tariff"&amp;"⁽"&amp;CHAR(185)&amp;"⁾"</f>
        <v>Tariff⁽¹⁾</v>
      </c>
      <c r="G791" s="13" t="s">
        <v>2653</v>
      </c>
      <c r="H791" s="14" t="s">
        <v>2650</v>
      </c>
      <c r="J791" s="3">
        <v>5</v>
      </c>
      <c r="K791" s="3">
        <v>4</v>
      </c>
      <c r="L791" s="3">
        <v>3</v>
      </c>
      <c r="M791" s="3">
        <v>1</v>
      </c>
      <c r="N791" s="3" t="s">
        <v>2654</v>
      </c>
      <c r="Q791" s="16" t="s">
        <v>2655</v>
      </c>
      <c r="R791" s="3" t="s">
        <v>91</v>
      </c>
      <c r="S791" s="16" t="s">
        <v>2655</v>
      </c>
      <c r="U791" s="3" t="s">
        <v>3327</v>
      </c>
      <c r="V791" s="3">
        <v>1</v>
      </c>
      <c r="W791" s="57" t="s">
        <v>3328</v>
      </c>
      <c r="X791" t="str">
        <f>DataItems3[[#This Row],[Collection]]&amp;DataItems3[[#This Row],[Field]]&amp;DataItems3[[#This Row],[Options for supplying the Field]]&amp;DataItems3[[#This Row],[Fieldname]]&amp;DataItems3[[#This Row],[Parent]]</f>
        <v>StudentTariff⁽¹⁾(Full) (HIN linked)F_XTARIFF</v>
      </c>
      <c r="Y791" s="15">
        <v>43234</v>
      </c>
      <c r="Z791" t="s">
        <v>102</v>
      </c>
      <c r="AA791" s="28" t="str">
        <f t="shared" si="114"/>
        <v>CASE WHEN (CASE WHEN s.DW_FromDate &gt;= 20140801 AND s.F_QUALENT3 IN ( 'P41', 'P42', 'P46', 'P47', 'P50', 'P51', 'P53', 'P54', 'P62', 'P63', 'P64', 'P65', 'P68', 'P80', 'P91', 'P93', 'P94', 'X00', 'X01') THEN '1' WHEN s.DW_FromDate BETWEEN 20100801 AND 20130801 AND (s.F_QUALENT3 IN ( 'P41', 'P42', 'P46', 'P47', 'P50', 'P51', 'P53', 'P54', 'P62', 'P63', 'P64', 'P65', 'P68', 'P80', 'P91', 'P93', 'P94', 'X00', 'X01') OR s.F_QUALENT2 IN ('39', '40', '41', '47')) THEN '1' WHEN s.DW_FromDate BETWEEN 20070801 AND 20090801 AND s.F_QUALENT2 IN ('39', '40', '41', '47') THEN '1' ELSE '0' END) = '1' THEN CASE WHEN s.DW_FromDate &gt;= 20170801 THEN CASE WHEN ot.f_xtariff = -8888 THEN 'Unknown' ELSE ot.f_xtariff END WHEN s.DW_FromDate BETWEEN 20090801 AND 20160801 THEN CASE WHEN s.F_XTARIFF IN ( '$$$$', '0000', '____', '-1' ) THEN 'Unknown' ELSE s.F_XTARIFF END WHEN s.DW_FromDate between 20070801 AND 20080801 THEN CASE WHEN s.F_XTARIFF IN ( '$$$$', '0000', '____', '-1' ) THEN 'Unknown' ELSE CAST(s.F_XTARIFF AS NUMERIC) END ELSE 'ERROR' END ELSE 'Not applicable' END</v>
      </c>
      <c r="AB791" s="28" t="str">
        <f>IF(S791="","",IF(IFERROR(SEARCH("select",S791)&gt;0,0),IF(U791="",IF(MID(S791,SEARCH(H791,S791)-4,1)=" ",MID(S791,SEARCH(H791,S791)-2,LEN(O798)+2),MID(S791,SEARCH(H791,S791)-3,LEN(H791)+3)),U791&amp;"."&amp;H791),S791))</f>
        <v>CASE WHEN (CASE WHEN s.DW_FromDate &gt;= 20140801 AND s.F_QUALENT3 IN ( 'P41', 'P42', 'P46', 'P47', 'P50', 'P51', 'P53', 'P54', 'P62', 'P63', 'P64', 'P65', 'P68', 'P80', 'P91', 'P93', 'P94', 'X00', 'X01') THEN '1' WHEN s.DW_FromDate BETWEEN 20100801 AND 20130801 AND (s.F_QUALENT3 IN ( 'P41', 'P42', 'P46', 'P47', 'P50', 'P51', 'P53', 'P54', 'P62', 'P63', 'P64', 'P65', 'P68', 'P80', 'P91', 'P93', 'P94', 'X00', 'X01') OR s.F_QUALENT2 IN ('39', '40', '41', '47')) THEN '1' WHEN s.DW_FromDate BETWEEN 20070801 AND 20090801 AND s.F_QUALENT2 IN ('39', '40', '41', '47') THEN '1' ELSE '0' END) = '1' THEN CASE WHEN s.DW_FromDate &gt;= 20170801 THEN CASE WHEN ot.f_xtariff = -8888 THEN 'Unknown' ELSE ot.f_xtariff END WHEN s.DW_FromDate BETWEEN 20090801 AND 20160801 THEN CASE WHEN s.F_XTARIFF IN ( '$$$$', '0000', '____', '-1' ) THEN 'Unknown' ELSE s.F_XTARIFF END WHEN s.DW_FromDate between 20070801 AND 20080801 THEN CASE WHEN s.F_XTARIFF IN ( '$$$$', '0000', '____', '-1' ) THEN 'Unknown' ELSE CAST(s.F_XTARIFF AS NUMERIC) END ELSE 'ERROR' END ELSE 'Not applicable' END</v>
      </c>
      <c r="AC791" s="28" t="str">
        <f t="shared" si="117"/>
        <v xml:space="preserve"> </v>
      </c>
      <c r="AD791" s="28" t="str">
        <f t="shared" si="118"/>
        <v/>
      </c>
      <c r="AE791" t="str">
        <f t="shared" si="115"/>
        <v>[Tariff]</v>
      </c>
    </row>
    <row r="792" spans="1:31" ht="80" x14ac:dyDescent="0.2">
      <c r="A792">
        <v>100760</v>
      </c>
      <c r="B792" s="11" t="str">
        <f>DataItems3[[#This Row],[Field]]&amp;IF(DataItems3[[#This Row],[Options for supplying the Field]]="",""," "&amp;DataItems3[[#This Row],[Options for supplying the Field]])</f>
        <v>Tariff⁽¹⁾ bands (1-79/ 80-119 120-179/ 180-239/ 240-299/ 300-359/ 360-419/ 420-479/ 480-539/ 540-998/ 999 and above)</v>
      </c>
      <c r="C792">
        <v>100760</v>
      </c>
      <c r="D792" s="3" t="s">
        <v>86</v>
      </c>
      <c r="E792" s="3" t="s">
        <v>106</v>
      </c>
      <c r="F792" s="3" t="str">
        <f>"Tariff"&amp;"⁽"&amp;CHAR(185)&amp;"⁾"</f>
        <v>Tariff⁽¹⁾</v>
      </c>
      <c r="G792" s="13" t="s">
        <v>2657</v>
      </c>
      <c r="H792" s="14" t="s">
        <v>2650</v>
      </c>
      <c r="J792" s="3">
        <v>5</v>
      </c>
      <c r="K792" s="3">
        <v>3</v>
      </c>
      <c r="L792" s="3">
        <v>1</v>
      </c>
      <c r="M792" s="3">
        <v>0</v>
      </c>
      <c r="N792" s="3" t="s">
        <v>2651</v>
      </c>
      <c r="Q792" s="16" t="s">
        <v>2658</v>
      </c>
      <c r="R792" s="16" t="s">
        <v>2658</v>
      </c>
      <c r="S792" s="16" t="s">
        <v>2658</v>
      </c>
      <c r="T792" s="16" t="s">
        <v>2658</v>
      </c>
      <c r="W792" s="57" t="s">
        <v>2661</v>
      </c>
      <c r="X792" t="str">
        <f>DataItems3[[#This Row],[Collection]]&amp;DataItems3[[#This Row],[Field]]&amp;DataItems3[[#This Row],[Options for supplying the Field]]&amp;DataItems3[[#This Row],[Fieldname]]&amp;DataItems3[[#This Row],[Parent]]</f>
        <v>StudentTariff⁽¹⁾bands (1-79/ 80-119 120-179/ 180-239/ 240-299/ 300-359/ 360-419/ 420-479/ 480-539/ 540-998/ 999 and above)F_XTARIFF</v>
      </c>
      <c r="Y792" s="4">
        <v>44235</v>
      </c>
      <c r="Z792" t="s">
        <v>135</v>
      </c>
      <c r="AA792" s="28" t="str">
        <f t="shared" si="114"/>
        <v xml:space="preserve">CASE WHEN s.F_QUALENT3 IN ('P41', 'P42', 'P46', 'P47', 'P50', 'P51', 'P53', 'P54', 'P62', 'P63', 'P64', 'P65','P68', 'P80', 'P91', 'P93', 'P94', 'X00', 'X01') THEN CASE WHEN s.DW_FromDate &gt;= 20170801 THEN 'Not applicable' ELSE CASE WHEN s.F_XTARIFF IN ('$$$$', '0000', '____', '-1') THEN 'Unknown' WHEN s.F_XTARIFF BETWEEN '0001' AND '0079' THEN '1-79' WHEN s.F_XTARIFF BETWEEN '0080' AND '0119' THEN '80-119' WHEN s.F_XTARIFF BETWEEN '0120' AND '0179' THEN '120-179' WHEN s.F_XTARIFF BETWEEN '0180' AND '0239' THEN '180-239' WHEN s.F_XTARIFF BETWEEN '0240' AND '0299' THEN '240-299' WHEN s.F_XTARIFF BETWEEN '0300' AND '0359' THEN '300-359' WHEN s.F_XTARIFF BETWEEN '0360' AND '0419' THEN '360-419' WHEN s.F_XTARIFF BETWEEN '0420' AND '0479' THEN '420-479' WHEN s.F_XTARIFF BETWEEN '0480' AND '0539' THEN '480-539' WHEN s.F_XTARIFF BETWEEN '0540' AND '0998' THEN '540-998' ELSE '999 and above' END END ELSE 'Not applicable' END </v>
      </c>
      <c r="AB792" s="28" t="str">
        <f>IF(S792="","",IF(IFERROR(SEARCH("select",S792)&gt;0,0),IF(U792="",IF(MID(S792,SEARCH(H792,S792)-4,1)=" ",MID(S792,SEARCH(H792,S792)-2,LEN(O799)+2),MID(S792,SEARCH(H792,S792)-3,LEN(H792)+3)),U792&amp;"."&amp;H792),S792))</f>
        <v xml:space="preserve">CASE WHEN s.F_QUALENT3 IN ('P41', 'P42', 'P46', 'P47', 'P50', 'P51', 'P53', 'P54', 'P62', 'P63', 'P64', 'P65','P68', 'P80', 'P91', 'P93', 'P94', 'X00', 'X01') THEN CASE WHEN s.DW_FromDate &gt;= 20170801 THEN 'Not applicable' ELSE CASE WHEN s.F_XTARIFF IN ('$$$$', '0000', '____', '-1') THEN 'Unknown' WHEN s.F_XTARIFF BETWEEN '0001' AND '0079' THEN '1-79' WHEN s.F_XTARIFF BETWEEN '0080' AND '0119' THEN '80-119' WHEN s.F_XTARIFF BETWEEN '0120' AND '0179' THEN '120-179' WHEN s.F_XTARIFF BETWEEN '0180' AND '0239' THEN '180-239' WHEN s.F_XTARIFF BETWEEN '0240' AND '0299' THEN '240-299' WHEN s.F_XTARIFF BETWEEN '0300' AND '0359' THEN '300-359' WHEN s.F_XTARIFF BETWEEN '0360' AND '0419' THEN '360-419' WHEN s.F_XTARIFF BETWEEN '0420' AND '0479' THEN '420-479' WHEN s.F_XTARIFF BETWEEN '0480' AND '0539' THEN '480-539' WHEN s.F_XTARIFF BETWEEN '0540' AND '0998' THEN '540-998' ELSE '999 and above' END END ELSE 'Not applicable' END </v>
      </c>
      <c r="AC792" s="28" t="str">
        <f t="shared" si="117"/>
        <v xml:space="preserve">CASE WHEN s.F_QUALENT3 IN ('P41', 'P42', 'P46', 'P47', 'P50', 'P51', 'P53', 'P54', 'P62', 'P63', 'P64', 'P65','P68', 'P80', 'P91', 'P93', 'P94', 'X00', 'X01') THEN CASE WHEN s.DW_FromDate &gt;= 20170801 THEN 'Not applicable' ELSE CASE WHEN s.F_XTARIFF IN ('$$$$', '0000', '____', '-1') THEN 'Unknown' WHEN s.F_XTARIFF BETWEEN '0001' AND '0079' THEN '1-79' WHEN s.F_XTARIFF BETWEEN '0080' AND '0119' THEN '80-119' WHEN s.F_XTARIFF BETWEEN '0120' AND '0179' THEN '120-179' WHEN s.F_XTARIFF BETWEEN '0180' AND '0239' THEN '180-239' WHEN s.F_XTARIFF BETWEEN '0240' AND '0299' THEN '240-299' WHEN s.F_XTARIFF BETWEEN '0300' AND '0359' THEN '300-359' WHEN s.F_XTARIFF BETWEEN '0360' AND '0419' THEN '360-419' WHEN s.F_XTARIFF BETWEEN '0420' AND '0479' THEN '420-479' WHEN s.F_XTARIFF BETWEEN '0480' AND '0539' THEN '480-539' WHEN s.F_XTARIFF BETWEEN '0540' AND '0998' THEN '540-998' ELSE '999 and above' END END ELSE 'Not applicable' END </v>
      </c>
      <c r="AD792" s="28" t="str">
        <f t="shared" si="118"/>
        <v xml:space="preserve">CASE WHEN s.F_QUALENT3 IN ('P41', 'P42', 'P46', 'P47', 'P50', 'P51', 'P53', 'P54', 'P62', 'P63', 'P64', 'P65','P68', 'P80', 'P91', 'P93', 'P94', 'X00', 'X01') THEN CASE WHEN s.DW_FromDate &gt;= 20170801 THEN 'Not applicable' ELSE CASE WHEN s.F_XTARIFF IN ('$$$$', '0000', '____', '-1') THEN 'Unknown' WHEN s.F_XTARIFF BETWEEN '0001' AND '0079' THEN '1-79' WHEN s.F_XTARIFF BETWEEN '0080' AND '0119' THEN '80-119' WHEN s.F_XTARIFF BETWEEN '0120' AND '0179' THEN '120-179' WHEN s.F_XTARIFF BETWEEN '0180' AND '0239' THEN '180-239' WHEN s.F_XTARIFF BETWEEN '0240' AND '0299' THEN '240-299' WHEN s.F_XTARIFF BETWEEN '0300' AND '0359' THEN '300-359' WHEN s.F_XTARIFF BETWEEN '0360' AND '0419' THEN '360-419' WHEN s.F_XTARIFF BETWEEN '0420' AND '0479' THEN '420-479' WHEN s.F_XTARIFF BETWEEN '0480' AND '0539' THEN '480-539' WHEN s.F_XTARIFF BETWEEN '0540' AND '0998' THEN '540-998' ELSE '999 and above' END END ELSE 'Not applicable' END </v>
      </c>
      <c r="AE792" t="str">
        <f t="shared" si="115"/>
        <v>[Tariff]</v>
      </c>
    </row>
    <row r="793" spans="1:31" ht="96" x14ac:dyDescent="0.2">
      <c r="A793">
        <v>100572</v>
      </c>
      <c r="B793" s="11" t="str">
        <f>DataItems3[[#This Row],[Field]]&amp;IF(DataItems3[[#This Row],[Options for supplying the Field]]="",""," "&amp;DataItems3[[#This Row],[Options for supplying the Field]])</f>
        <v>Tariff⁽¹⁾ bands (1-79/ 80-119 120-179/ 180-239/ 240-299/ 300-359/ 360-419/ 420-479/ 480-539/ 540-998/ 999 and above) (HIN linked)</v>
      </c>
      <c r="C793">
        <v>100572</v>
      </c>
      <c r="D793" s="3" t="s">
        <v>86</v>
      </c>
      <c r="F793" s="3" t="str">
        <f>"Tariff"&amp;"⁽"&amp;CHAR(185)&amp;"⁾"</f>
        <v>Tariff⁽¹⁾</v>
      </c>
      <c r="G793" s="13" t="s">
        <v>2659</v>
      </c>
      <c r="H793" s="14" t="s">
        <v>2650</v>
      </c>
      <c r="J793" s="3">
        <v>5</v>
      </c>
      <c r="K793" s="3">
        <v>3</v>
      </c>
      <c r="L793" s="3">
        <v>1</v>
      </c>
      <c r="M793" s="3">
        <v>0</v>
      </c>
      <c r="N793" s="3" t="s">
        <v>2651</v>
      </c>
      <c r="Q793" s="28" t="s">
        <v>2660</v>
      </c>
      <c r="R793" s="3" t="s">
        <v>91</v>
      </c>
      <c r="S793" s="28" t="s">
        <v>2660</v>
      </c>
      <c r="T793"/>
      <c r="U793" s="3" t="s">
        <v>3327</v>
      </c>
      <c r="V793" s="3">
        <v>1</v>
      </c>
      <c r="W793" s="57" t="s">
        <v>2661</v>
      </c>
      <c r="X793" t="str">
        <f>DataItems3[[#This Row],[Collection]]&amp;DataItems3[[#This Row],[Field]]&amp;DataItems3[[#This Row],[Options for supplying the Field]]&amp;DataItems3[[#This Row],[Fieldname]]&amp;DataItems3[[#This Row],[Parent]]</f>
        <v>StudentTariff⁽¹⁾bands (1-79/ 80-119 120-179/ 180-239/ 240-299/ 300-359/ 360-419/ 420-479/ 480-539/ 540-998/ 999 and above) (HIN linked)F_XTARIFF</v>
      </c>
      <c r="Y793" s="15">
        <v>43206</v>
      </c>
      <c r="Z793" t="s">
        <v>102</v>
      </c>
      <c r="AA793" s="28" t="str">
        <f t="shared" si="114"/>
        <v>CASE WHEN (CASE WHEN s.DW_FromDate &gt;= 20140801 AND s.F_QUALENT3 IN ( 'P41', 'P42', 'P46', 'P47', 'P50', 'P51', 'P53', 'P54', 'P62', 'P63', 'P64', 'P65', 'P68', 'P80', 'P91', 'P93', 'P94', 'X00', 'X01') THEN '1' WHEN s.DW_FromDate BETWEEN 20100801 AND 20130801 AND (s.F_QUALENT3 IN ( 'P41', 'P42', 'P46', 'P47', 'P50', 'P51', 'P53', 'P54', 'P62', 'P63', 'P64', 'P65', 'P68', 'P80', 'P91', 'P93', 'P94', 'X00', 'X01') OR s.F_QUALENT2 IN ('39', '40', '41', '47')) THEN '1' WHEN s.DW_FromDate BETWEEN 20070801 AND 20090801 AND s.F_QUALENT2 IN ('39', '40', '41', '47') THEN '1' ELSE '0' END) = '1' THEN CASE WHEN s.DW_FromDate &gt;= 20170801 THEN CASE WHEN ot.f_xtariff = -8888 THEN 'Unknown' WHEN ot.f_xtariff BETWEEN 1 AND 79 THEN '1-79' WHEN ot.f_xtariff BETWEEN 80 AND 119 THEN '80-119' WHEN ot.f_xtariff BETWEEN 120 AND 179 THEN '120-179' WHEN ot.f_xtariff BETWEEN 180 AND 239 THEN '180-239' WHEN ot.f_xtariff BETWEEN 240 AND 299 THEN '240-299' WHEN ot.f_xtariff BETWEEN 300 AND 359 THEN '300-359' WHEN ot.f_xtariff BETWEEN 360 AND 419 THEN '360-419' WHEN ot.f_xtariff BETWEEN 420 AND 479 THEN '420-479' WHEN ot.f_xtariff BETWEEN 480 AND 539 THEN '480-539' WHEN ot.f_xtariff BETWEEN 540 AND 998 THEN '540-998' ELSE '999 and above' END WHEN s.DW_FromDate BETWEEN 20090801 AND 20160801 THEN CASE WHEN s.F_XTARIFF IN ( '$$$$', '0000', '____', '-1' ) THEN 'Unknown' WHEN s.F_XTARIFF BETWEEN '0001' AND '0079' THEN '1-79' WHEN s.F_XTARIFF BETWEEN '0080' AND '0119' THEN '80-119' WHEN s.F_XTARIFF BETWEEN '0120' AND '0179' THEN '120-179' WHEN s.F_XTARIFF BETWEEN '0180' AND '0239' THEN '180-239' WHEN s.F_XTARIFF BETWEEN '0240' AND '0299' THEN '240-299' WHEN s.F_XTARIFF BETWEEN '0300' AND '0359' THEN '300-359' WHEN s.F_XTARIFF BETWEEN '0360' AND '0419' THEN '360-419' WHEN s.F_XTARIFF BETWEEN '0420' AND '0479' THEN '420-479' WHEN s.F_XTARIFF BETWEEN '0480' AND '0539' THEN '480-539' WHEN s.F_XTARIFF BETWEEN '0540' AND '0998' THEN '540-998' ELSE '999 and above' END WHEN s.DW_FromDate between 20070801 AND 20080801 THEN  CASE WHEN s.F_XTARIFF IN ( '$$$$', '0000', '____', '-1' ) THEN 'Unknown' WHEN CAST(s.F_XTARIFF AS NUMERIC) BETWEEN 1 AND 79 THEN '1-79' WHEN CAST(s.F_XTARIFF AS NUMERIC) BETWEEN 80 AND 119 THEN '80-119' WHEN CAST(s.F_XTARIFF AS NUMERIC) BETWEEN 120 AND 179 THEN '120-179' WHEN CAST(s.F_XTARIFF AS NUMERIC) BETWEEN 180 AND 239 THEN '180-239' WHEN CAST(s.F_XTARIFF AS NUMERIC) BETWEEN 240 AND 299 THEN '240-299' WHEN CAST(s.F_XTARIFF AS NUMERIC) BETWEEN 300 AND 359 THEN '300-359' WHEN CAST(s.F_XTARIFF AS NUMERIC) BETWEEN 360 AND 419 THEN '360-419' WHEN CAST(s.F_XTARIFF AS NUMERIC) BETWEEN 420 AND 479 THEN '420-479' WHEN CAST(s.F_XTARIFF AS NUMERIC) BETWEEN 480 AND 539 THEN '480-539' WHEN CAST(s.F_XTARIFF AS NUMERIC) BETWEEN 540 AND 998 THEN '540-998' ELSE '999 and above' END ELSE 'ERROR' END ELSE 'Not applicable' END</v>
      </c>
      <c r="AB793" s="28" t="str">
        <f>IF(S793="","",IF(IFERROR(SEARCH("select",S793)&gt;0,0),IF(U793="",IF(MID(S793,SEARCH(H793,S793)-4,1)=" ",MID(S793,SEARCH(H793,S793)-2,LEN(O800)+2),MID(S793,SEARCH(H793,S793)-3,LEN(H793)+3)),U793&amp;"."&amp;H793),S793))</f>
        <v>CASE WHEN (CASE WHEN s.DW_FromDate &gt;= 20140801 AND s.F_QUALENT3 IN ( 'P41', 'P42', 'P46', 'P47', 'P50', 'P51', 'P53', 'P54', 'P62', 'P63', 'P64', 'P65', 'P68', 'P80', 'P91', 'P93', 'P94', 'X00', 'X01') THEN '1' WHEN s.DW_FromDate BETWEEN 20100801 AND 20130801 AND (s.F_QUALENT3 IN ( 'P41', 'P42', 'P46', 'P47', 'P50', 'P51', 'P53', 'P54', 'P62', 'P63', 'P64', 'P65', 'P68', 'P80', 'P91', 'P93', 'P94', 'X00', 'X01') OR s.F_QUALENT2 IN ('39', '40', '41', '47')) THEN '1' WHEN s.DW_FromDate BETWEEN 20070801 AND 20090801 AND s.F_QUALENT2 IN ('39', '40', '41', '47') THEN '1' ELSE '0' END) = '1' THEN CASE WHEN s.DW_FromDate &gt;= 20170801 THEN CASE WHEN ot.f_xtariff = -8888 THEN 'Unknown' WHEN ot.f_xtariff BETWEEN 1 AND 79 THEN '1-79' WHEN ot.f_xtariff BETWEEN 80 AND 119 THEN '80-119' WHEN ot.f_xtariff BETWEEN 120 AND 179 THEN '120-179' WHEN ot.f_xtariff BETWEEN 180 AND 239 THEN '180-239' WHEN ot.f_xtariff BETWEEN 240 AND 299 THEN '240-299' WHEN ot.f_xtariff BETWEEN 300 AND 359 THEN '300-359' WHEN ot.f_xtariff BETWEEN 360 AND 419 THEN '360-419' WHEN ot.f_xtariff BETWEEN 420 AND 479 THEN '420-479' WHEN ot.f_xtariff BETWEEN 480 AND 539 THEN '480-539' WHEN ot.f_xtariff BETWEEN 540 AND 998 THEN '540-998' ELSE '999 and above' END WHEN s.DW_FromDate BETWEEN 20090801 AND 20160801 THEN CASE WHEN s.F_XTARIFF IN ( '$$$$', '0000', '____', '-1' ) THEN 'Unknown' WHEN s.F_XTARIFF BETWEEN '0001' AND '0079' THEN '1-79' WHEN s.F_XTARIFF BETWEEN '0080' AND '0119' THEN '80-119' WHEN s.F_XTARIFF BETWEEN '0120' AND '0179' THEN '120-179' WHEN s.F_XTARIFF BETWEEN '0180' AND '0239' THEN '180-239' WHEN s.F_XTARIFF BETWEEN '0240' AND '0299' THEN '240-299' WHEN s.F_XTARIFF BETWEEN '0300' AND '0359' THEN '300-359' WHEN s.F_XTARIFF BETWEEN '0360' AND '0419' THEN '360-419' WHEN s.F_XTARIFF BETWEEN '0420' AND '0479' THEN '420-479' WHEN s.F_XTARIFF BETWEEN '0480' AND '0539' THEN '480-539' WHEN s.F_XTARIFF BETWEEN '0540' AND '0998' THEN '540-998' ELSE '999 and above' END WHEN s.DW_FromDate between 20070801 AND 20080801 THEN  CASE WHEN s.F_XTARIFF IN ( '$$$$', '0000', '____', '-1' ) THEN 'Unknown' WHEN CAST(s.F_XTARIFF AS NUMERIC) BETWEEN 1 AND 79 THEN '1-79' WHEN CAST(s.F_XTARIFF AS NUMERIC) BETWEEN 80 AND 119 THEN '80-119' WHEN CAST(s.F_XTARIFF AS NUMERIC) BETWEEN 120 AND 179 THEN '120-179' WHEN CAST(s.F_XTARIFF AS NUMERIC) BETWEEN 180 AND 239 THEN '180-239' WHEN CAST(s.F_XTARIFF AS NUMERIC) BETWEEN 240 AND 299 THEN '240-299' WHEN CAST(s.F_XTARIFF AS NUMERIC) BETWEEN 300 AND 359 THEN '300-359' WHEN CAST(s.F_XTARIFF AS NUMERIC) BETWEEN 360 AND 419 THEN '360-419' WHEN CAST(s.F_XTARIFF AS NUMERIC) BETWEEN 420 AND 479 THEN '420-479' WHEN CAST(s.F_XTARIFF AS NUMERIC) BETWEEN 480 AND 539 THEN '480-539' WHEN CAST(s.F_XTARIFF AS NUMERIC) BETWEEN 540 AND 998 THEN '540-998' ELSE '999 and above' END ELSE 'ERROR' END ELSE 'Not applicable' END</v>
      </c>
      <c r="AC793" s="28" t="str">
        <f t="shared" si="117"/>
        <v xml:space="preserve"> </v>
      </c>
      <c r="AD793" s="28" t="str">
        <f t="shared" si="118"/>
        <v/>
      </c>
      <c r="AE793" t="str">
        <f t="shared" si="115"/>
        <v>[Tariff]</v>
      </c>
    </row>
    <row r="794" spans="1:31" ht="32" x14ac:dyDescent="0.2">
      <c r="A794">
        <v>100911</v>
      </c>
      <c r="B794" s="29" t="str">
        <f>DataItems3[[#This Row],[Field]]&amp;IF(DataItems3[[#This Row],[Options for supplying the Field]]="",""," "&amp;DataItems3[[#This Row],[Options for supplying the Field]])</f>
        <v>Tariff⁽¹⁾ (Average - apportioned by FPE)</v>
      </c>
      <c r="C794">
        <v>100911</v>
      </c>
      <c r="D794" s="3" t="s">
        <v>86</v>
      </c>
      <c r="F794" s="3" t="str">
        <f>"Tariff"&amp;"⁽"&amp;CHAR(185)&amp;"⁾"</f>
        <v>Tariff⁽¹⁾</v>
      </c>
      <c r="G794" s="13" t="s">
        <v>1780</v>
      </c>
      <c r="H794" s="14" t="s">
        <v>2662</v>
      </c>
      <c r="J794" s="3">
        <v>10</v>
      </c>
      <c r="K794" s="3">
        <v>5</v>
      </c>
      <c r="L794" s="3">
        <v>1</v>
      </c>
      <c r="M794" s="3">
        <v>0</v>
      </c>
      <c r="Q794" s="16" t="s">
        <v>3329</v>
      </c>
      <c r="R794" s="3" t="s">
        <v>91</v>
      </c>
      <c r="S794" s="16" t="s">
        <v>3329</v>
      </c>
      <c r="U794" s="3" t="s">
        <v>3117</v>
      </c>
      <c r="V794" s="3" t="s">
        <v>93</v>
      </c>
      <c r="W794" s="57" t="s">
        <v>114</v>
      </c>
      <c r="X794" t="str">
        <f>DataItems3[[#This Row],[Collection]]&amp;DataItems3[[#This Row],[Field]]&amp;DataItems3[[#This Row],[Options for supplying the Field]]&amp;DataItems3[[#This Row],[Fieldname]]&amp;DataItems3[[#This Row],[Parent]]</f>
        <v>StudentTariff⁽¹⁾(Average - apportioned by FPE)F_XTARIFF_APP</v>
      </c>
      <c r="Y794" s="4">
        <v>44931</v>
      </c>
      <c r="Z794" t="s">
        <v>135</v>
      </c>
      <c r="AA794" s="28" t="str">
        <f t="shared" si="114"/>
        <v>CASE WHEN s.DW_CollectionYear &gt;= 2017 THEN 'Not applicable from 2017/18' WHEN s.F_QUALENT3 IN ('P41','P42','P46','P47','P50','P51','P53','P54','P62','P63','P64','P65','P68','P80','P91','P93','P94') THEN case WHEN s.F_XTARIFF IN ('$$$$', '0000', '____', '-1') THEN 'Unknown' else cast(s.F_XTARIFF*(sj.f_xfpe01/100) as varchar) END ELSE 'Not applicable' end</v>
      </c>
      <c r="AB794" s="28" t="str">
        <f>IF(S794="","",IF(IFERROR(SEARCH("select",S794)&gt;0,0),IF(U794="",IF(MID(S794,SEARCH(H794,S794)-4,1)=" ",MID(S794,SEARCH(H794,S794)-2,LEN(O802)+2),MID(S794,SEARCH(H794,S794)-3,LEN(H794)+3)),U794&amp;"."&amp;H794),S794))</f>
        <v>CASE WHEN s.DW_CollectionYear &gt;= 2017 THEN 'Not applicable from 2017/18' WHEN s.F_QUALENT3 IN ('P41','P42','P46','P47','P50','P51','P53','P54','P62','P63','P64','P65','P68','P80','P91','P93','P94') THEN case WHEN s.F_XTARIFF IN ('$$$$', '0000', '____', '-1') THEN 'Unknown' else cast(s.F_XTARIFF*(sj.f_xfpe01/100) as varchar) END ELSE 'Not applicable' end</v>
      </c>
      <c r="AC794" s="28" t="str">
        <f t="shared" si="117"/>
        <v xml:space="preserve"> </v>
      </c>
      <c r="AD794" s="28" t="str">
        <f t="shared" si="118"/>
        <v/>
      </c>
      <c r="AE794" t="str">
        <f t="shared" si="115"/>
        <v>[Tariff]</v>
      </c>
    </row>
    <row r="795" spans="1:31" ht="16" x14ac:dyDescent="0.2">
      <c r="A795">
        <v>100957</v>
      </c>
      <c r="B795" s="29" t="str">
        <f>DataItems3[[#This Row],[Field]]&amp;IF(DataItems3[[#This Row],[Options for supplying the Field]]="",""," "&amp;DataItems3[[#This Row],[Options for supplying the Field]])</f>
        <v>Teacher training courses (grouped) (DF)</v>
      </c>
      <c r="C795">
        <v>100957</v>
      </c>
      <c r="D795" s="3" t="s">
        <v>2992</v>
      </c>
      <c r="F795" s="3" t="s">
        <v>3330</v>
      </c>
      <c r="G795" s="13" t="s">
        <v>2994</v>
      </c>
      <c r="H795" s="13" t="s">
        <v>3331</v>
      </c>
      <c r="I795" s="3" t="s">
        <v>3237</v>
      </c>
      <c r="J795" s="13"/>
      <c r="Q795" s="3" t="s">
        <v>3332</v>
      </c>
      <c r="R795" s="16"/>
      <c r="S795" s="3" t="s">
        <v>3332</v>
      </c>
      <c r="T795" s="16"/>
      <c r="U795" s="3" t="s">
        <v>3253</v>
      </c>
      <c r="W795" s="59" t="s">
        <v>150</v>
      </c>
      <c r="X795" t="str">
        <f>DataItems3[[#This Row],[Collection]]&amp;DataItems3[[#This Row],[Field]]&amp;DataItems3[[#This Row],[Options for supplying the Field]]&amp;DataItems3[[#This Row],[Fieldname]]&amp;DataItems3[[#This Row],[Parent]]</f>
        <v>Data FuturesTeacher training courses (grouped)(DF)Z_ITTGRP1</v>
      </c>
      <c r="Y795" s="15">
        <v>45046</v>
      </c>
      <c r="Z795" t="s">
        <v>2997</v>
      </c>
      <c r="AA795" s="28" t="str">
        <f t="shared" si="114"/>
        <v>ddf.Z_ITTGRP1</v>
      </c>
      <c r="AB795" s="28" t="str">
        <f>IF(S795="","",IF(IFERROR(SEARCH("select",S795)&gt;0,0),IF(W795="",IF(MID(S795,SEARCH(H795,S795)-4,1)=" ",MID(S795,SEARCH(H795,S795)-2,LEN(O803)+2),MID(S795,SEARCH(H795,S795)-3,LEN(H795)+3)),W795&amp;"."&amp;H795),S795))</f>
        <v>ddf.Z_ITTGRP1</v>
      </c>
      <c r="AC795" s="28" t="str">
        <f t="shared" si="117"/>
        <v/>
      </c>
      <c r="AD795" s="28" t="str">
        <f t="shared" si="118"/>
        <v/>
      </c>
      <c r="AE795" t="str">
        <f t="shared" si="115"/>
        <v>[Teacher training courses (grouped)]</v>
      </c>
    </row>
    <row r="796" spans="1:31" ht="16" x14ac:dyDescent="0.2">
      <c r="A796">
        <v>100574</v>
      </c>
      <c r="B796" s="11" t="str">
        <f>DataItems3[[#This Row],[Field]]&amp;IF(DataItems3[[#This Row],[Options for supplying the Field]]="",""," "&amp;DataItems3[[#This Row],[Options for supplying the Field]])</f>
        <v xml:space="preserve">Teachers training course identifier </v>
      </c>
      <c r="C796">
        <v>100574</v>
      </c>
      <c r="D796" s="3" t="s">
        <v>86</v>
      </c>
      <c r="E796" s="3" t="s">
        <v>106</v>
      </c>
      <c r="F796" s="3" t="s">
        <v>2663</v>
      </c>
      <c r="G796" s="13"/>
      <c r="H796" s="14" t="s">
        <v>1267</v>
      </c>
      <c r="J796" s="3">
        <v>3</v>
      </c>
      <c r="K796" s="3">
        <v>2</v>
      </c>
      <c r="L796" s="3">
        <v>0</v>
      </c>
      <c r="M796" s="3">
        <v>0</v>
      </c>
      <c r="N796" s="3" t="s">
        <v>89</v>
      </c>
      <c r="Q796" s="16" t="s">
        <v>2664</v>
      </c>
      <c r="R796" s="16" t="s">
        <v>2664</v>
      </c>
      <c r="S796" s="16" t="s">
        <v>2665</v>
      </c>
      <c r="T796" s="16" t="s">
        <v>2665</v>
      </c>
      <c r="U796" s="3" t="s">
        <v>93</v>
      </c>
      <c r="V796" s="3" t="s">
        <v>93</v>
      </c>
      <c r="W796" s="57" t="s">
        <v>504</v>
      </c>
      <c r="X796" t="str">
        <f>DataItems3[[#This Row],[Collection]]&amp;DataItems3[[#This Row],[Field]]&amp;DataItems3[[#This Row],[Options for supplying the Field]]&amp;DataItems3[[#This Row],[Fieldname]]&amp;DataItems3[[#This Row],[Parent]]</f>
        <v>StudentTeachers training course identifier F_TTCID</v>
      </c>
      <c r="Y796" s="15">
        <v>43441</v>
      </c>
      <c r="Z796" t="s">
        <v>588</v>
      </c>
      <c r="AA796" s="28" t="str">
        <f t="shared" si="114"/>
        <v xml:space="preserve">iif(s.F_TTCID='','Unknown',s.F_TTCID) </v>
      </c>
      <c r="AB796" s="28" t="str">
        <f t="shared" ref="AB796:AB803" si="119">IF(S796="","",IF(IFERROR(SEARCH("select",S796)&gt;0,0),IF(U796="",IF(MID(S796,SEARCH(H796,S796)-4,1)=" ",MID(S796,SEARCH(H796,S796)-2,LEN(O805)+2),MID(S796,SEARCH(H796,S796)-3,LEN(H796)+3)),U796&amp;"."&amp;H796),S796))</f>
        <v xml:space="preserve"> s.F_TTCID</v>
      </c>
      <c r="AC796" s="28" t="str">
        <f t="shared" si="117"/>
        <v xml:space="preserve">iif(s.F_TTCID='','Unknown',s.F_TTCID) </v>
      </c>
      <c r="AD796" s="28" t="str">
        <f>IF(T796="","",IF(IFERROR(SEARCH("select",T796)&gt;0,0),IF(U796="",IF(MID(T796,SEARCH(H796,T796)-4,1)=" ",MID(T796,SEARCH(H796,T796)-2,LEN(O805)+2),MID(T796,SEARCH(H796,T796)-3,LEN(H796)+3)),U796&amp;"."&amp;H796),T796))</f>
        <v xml:space="preserve"> s.F_TTCID</v>
      </c>
      <c r="AE796" t="str">
        <f t="shared" si="115"/>
        <v>[Teachers training course identifier ]</v>
      </c>
    </row>
    <row r="797" spans="1:31" ht="16" x14ac:dyDescent="0.2">
      <c r="A797">
        <v>100575</v>
      </c>
      <c r="B797" s="11" t="str">
        <f>DataItems3[[#This Row],[Field]]&amp;IF(DataItems3[[#This Row],[Options for supplying the Field]]="",""," "&amp;DataItems3[[#This Row],[Options for supplying the Field]])</f>
        <v>Teaching funded</v>
      </c>
      <c r="C797">
        <v>100575</v>
      </c>
      <c r="D797" s="3" t="s">
        <v>146</v>
      </c>
      <c r="F797" s="3" t="s">
        <v>2666</v>
      </c>
      <c r="G797" s="13"/>
      <c r="H797" s="14" t="s">
        <v>93</v>
      </c>
      <c r="J797" s="3">
        <v>1</v>
      </c>
      <c r="K797" s="3">
        <v>2</v>
      </c>
      <c r="L797" s="3">
        <v>0</v>
      </c>
      <c r="M797" s="3">
        <v>0</v>
      </c>
      <c r="Q797" s="16" t="s">
        <v>93</v>
      </c>
      <c r="R797" s="3" t="s">
        <v>93</v>
      </c>
      <c r="S797" s="16" t="s">
        <v>93</v>
      </c>
      <c r="U797" s="3" t="s">
        <v>93</v>
      </c>
      <c r="V797" s="3" t="s">
        <v>93</v>
      </c>
      <c r="W797" s="57" t="s">
        <v>2926</v>
      </c>
      <c r="X797" t="str">
        <f>DataItems3[[#This Row],[Collection]]&amp;DataItems3[[#This Row],[Field]]&amp;DataItems3[[#This Row],[Options for supplying the Field]]&amp;DataItems3[[#This Row],[Fieldname]]&amp;DataItems3[[#This Row],[Parent]]</f>
        <v>DLHETeaching funded</v>
      </c>
      <c r="Y797" s="15">
        <v>43684</v>
      </c>
      <c r="Z797" t="s">
        <v>95</v>
      </c>
      <c r="AA797" s="28" t="str">
        <f t="shared" si="114"/>
        <v/>
      </c>
      <c r="AB797" s="28" t="str">
        <f t="shared" si="119"/>
        <v/>
      </c>
      <c r="AC797" s="28" t="str">
        <f t="shared" si="117"/>
        <v/>
      </c>
      <c r="AD797" s="28" t="str">
        <f>IF(T797="","",IF(IFERROR(SEARCH("select",T797)&gt;0,0),IF(U797="",IF(MID(T797,SEARCH(H797,T797)-4,1)=" ",MID(T797,SEARCH(H797,T797)-2,LEN(O806)+2),MID(T797,SEARCH(H797,T797)-3,LEN(H797)+3)),U797&amp;"."&amp;H797),T797))</f>
        <v/>
      </c>
      <c r="AE797" t="str">
        <f t="shared" si="115"/>
        <v>[Teaching funded]</v>
      </c>
    </row>
    <row r="798" spans="1:31" ht="16" x14ac:dyDescent="0.2">
      <c r="A798">
        <v>100577</v>
      </c>
      <c r="B798" s="11" t="str">
        <f>DataItems3[[#This Row],[Field]]&amp;IF(DataItems3[[#This Row],[Options for supplying the Field]]="",""," "&amp;DataItems3[[#This Row],[Options for supplying the Field]])</f>
        <v>Teaching phase</v>
      </c>
      <c r="C798">
        <v>100577</v>
      </c>
      <c r="D798" s="3" t="s">
        <v>146</v>
      </c>
      <c r="F798" s="3" t="s">
        <v>2667</v>
      </c>
      <c r="G798" s="13"/>
      <c r="H798" s="14" t="s">
        <v>93</v>
      </c>
      <c r="J798" s="3">
        <v>1</v>
      </c>
      <c r="K798" s="3">
        <v>2</v>
      </c>
      <c r="L798" s="3">
        <v>0</v>
      </c>
      <c r="M798" s="3">
        <v>0</v>
      </c>
      <c r="N798" s="3" t="s">
        <v>89</v>
      </c>
      <c r="Q798" s="16" t="s">
        <v>93</v>
      </c>
      <c r="R798" s="3" t="s">
        <v>93</v>
      </c>
      <c r="S798" s="16" t="s">
        <v>93</v>
      </c>
      <c r="U798" s="3" t="s">
        <v>93</v>
      </c>
      <c r="V798" s="3" t="s">
        <v>93</v>
      </c>
      <c r="W798" s="57" t="s">
        <v>2926</v>
      </c>
      <c r="X798" t="str">
        <f>DataItems3[[#This Row],[Collection]]&amp;DataItems3[[#This Row],[Field]]&amp;DataItems3[[#This Row],[Options for supplying the Field]]&amp;DataItems3[[#This Row],[Fieldname]]&amp;DataItems3[[#This Row],[Parent]]</f>
        <v>DLHETeaching phase</v>
      </c>
      <c r="Y798" s="15">
        <v>43416</v>
      </c>
      <c r="Z798" t="s">
        <v>95</v>
      </c>
      <c r="AA798" s="28" t="str">
        <f t="shared" si="114"/>
        <v/>
      </c>
      <c r="AB798" s="28" t="str">
        <f t="shared" si="119"/>
        <v/>
      </c>
      <c r="AC798" s="28" t="str">
        <f t="shared" si="117"/>
        <v/>
      </c>
      <c r="AD798" s="28" t="str">
        <f>IF(T798="","",IF(IFERROR(SEARCH("select",T798)&gt;0,0),IF(U798="",IF(MID(T798,SEARCH(H798,T798)-4,1)=" ",MID(T798,SEARCH(H798,T798)-2,LEN(O807)+2),MID(T798,SEARCH(H798,T798)-3,LEN(H798)+3)),U798&amp;"."&amp;H798),T798))</f>
        <v/>
      </c>
      <c r="AE798" t="str">
        <f t="shared" si="115"/>
        <v>[Teaching phase]</v>
      </c>
    </row>
    <row r="799" spans="1:31" ht="32" x14ac:dyDescent="0.2">
      <c r="A799">
        <v>100576</v>
      </c>
      <c r="B799" s="11" t="str">
        <f>DataItems3[[#This Row],[Field]]&amp;IF(DataItems3[[#This Row],[Options for supplying the Field]]="",""," "&amp;DataItems3[[#This Row],[Options for supplying the Field]])</f>
        <v>Teaching phase [TEACHPHS] -opt in question</v>
      </c>
      <c r="C799">
        <v>100576</v>
      </c>
      <c r="D799" s="3" t="s">
        <v>151</v>
      </c>
      <c r="F799" s="3" t="s">
        <v>2667</v>
      </c>
      <c r="G799" s="13" t="s">
        <v>2668</v>
      </c>
      <c r="I799" s="3" t="s">
        <v>2991</v>
      </c>
      <c r="J799" s="3">
        <v>1</v>
      </c>
      <c r="K799" s="3">
        <v>2</v>
      </c>
      <c r="L799" s="3">
        <v>0</v>
      </c>
      <c r="M799" s="3">
        <v>0</v>
      </c>
      <c r="P799" s="3" t="s">
        <v>448</v>
      </c>
      <c r="R799" s="3" t="s">
        <v>93</v>
      </c>
      <c r="V799" s="3" t="s">
        <v>93</v>
      </c>
      <c r="W799" s="57" t="s">
        <v>2926</v>
      </c>
      <c r="X799" t="str">
        <f>DataItems3[[#This Row],[Collection]]&amp;DataItems3[[#This Row],[Field]]&amp;DataItems3[[#This Row],[Options for supplying the Field]]&amp;DataItems3[[#This Row],[Fieldname]]&amp;DataItems3[[#This Row],[Parent]]</f>
        <v>Graduate OutcomesTeaching phase[TEACHPHS] -opt in questionProvider &gt; Graduate &gt; Opt in questions:</v>
      </c>
      <c r="Y799" s="15">
        <v>43550</v>
      </c>
      <c r="Z799" t="s">
        <v>159</v>
      </c>
      <c r="AA799" s="28" t="str">
        <f t="shared" si="114"/>
        <v/>
      </c>
      <c r="AB799" s="28" t="str">
        <f t="shared" si="119"/>
        <v/>
      </c>
      <c r="AC799" s="28" t="str">
        <f t="shared" si="117"/>
        <v/>
      </c>
      <c r="AD799" s="28" t="str">
        <f>IF(T799="","",IF(IFERROR(SEARCH("select",T799)&gt;0,0),IF(U799="",IF(MID(T799,SEARCH(H799,T799)-4,1)=" ",MID(T799,SEARCH(H799,T799)-2,LEN(O808)+2),MID(T799,SEARCH(H799,T799)-3,LEN(H799)+3)),U799&amp;"."&amp;H799),T799))</f>
        <v/>
      </c>
      <c r="AE799" t="str">
        <f t="shared" si="115"/>
        <v>[Teaching phase]</v>
      </c>
    </row>
    <row r="800" spans="1:31" ht="16" x14ac:dyDescent="0.2">
      <c r="A800">
        <v>100880</v>
      </c>
      <c r="B800" s="29" t="str">
        <f>DataItems3[[#This Row],[Field]]&amp;IF(DataItems3[[#This Row],[Options for supplying the Field]]="",""," "&amp;DataItems3[[#This Row],[Options for supplying the Field]])</f>
        <v>Teaching qualification sought subject 1</v>
      </c>
      <c r="C800">
        <v>100880</v>
      </c>
      <c r="D800" s="3" t="s">
        <v>86</v>
      </c>
      <c r="E800" s="3" t="s">
        <v>89</v>
      </c>
      <c r="F800" s="3" t="s">
        <v>2669</v>
      </c>
      <c r="G800" s="13"/>
      <c r="H800" s="13" t="s">
        <v>2670</v>
      </c>
      <c r="I800" s="13"/>
      <c r="J800" s="3">
        <v>1</v>
      </c>
      <c r="K800" s="3">
        <v>1</v>
      </c>
      <c r="L800" s="3">
        <v>1</v>
      </c>
      <c r="M800" s="3">
        <v>1</v>
      </c>
      <c r="N800" s="3" t="s">
        <v>89</v>
      </c>
      <c r="Q800" s="16" t="s">
        <v>3333</v>
      </c>
      <c r="R800" s="14" t="s">
        <v>3000</v>
      </c>
      <c r="S800" s="16" t="s">
        <v>3334</v>
      </c>
      <c r="T800" s="14" t="s">
        <v>3000</v>
      </c>
      <c r="U800" s="3" t="s">
        <v>478</v>
      </c>
      <c r="W800" s="57" t="s">
        <v>114</v>
      </c>
      <c r="X800" t="str">
        <f>DataItems3[[#This Row],[Collection]]&amp;DataItems3[[#This Row],[Field]]&amp;DataItems3[[#This Row],[Options for supplying the Field]]&amp;DataItems3[[#This Row],[Fieldname]]&amp;DataItems3[[#This Row],[Parent]]</f>
        <v>StudentTeaching qualification sought subject 1F_TQSSUB1</v>
      </c>
      <c r="Y800" s="15"/>
      <c r="Z800" t="s">
        <v>2055</v>
      </c>
      <c r="AA800" s="28" t="str">
        <f t="shared" si="114"/>
        <v>IIF(ISNULL(c.F_TQSSUB1, '0')='0','UNK',CAST(c.F_TQSSUB1 AS VARCHAR))</v>
      </c>
      <c r="AB800" s="28" t="str">
        <f t="shared" si="119"/>
        <v>c.F_TQSSUB1</v>
      </c>
      <c r="AC800" s="28"/>
      <c r="AD800" s="28"/>
      <c r="AE800" t="str">
        <f t="shared" si="115"/>
        <v>[Teaching qualification sought subject 1]</v>
      </c>
    </row>
    <row r="801" spans="1:32" ht="16" x14ac:dyDescent="0.2">
      <c r="A801">
        <v>100881</v>
      </c>
      <c r="B801" s="29" t="str">
        <f>DataItems3[[#This Row],[Field]]&amp;IF(DataItems3[[#This Row],[Options for supplying the Field]]="",""," "&amp;DataItems3[[#This Row],[Options for supplying the Field]])</f>
        <v>Teaching qualification sought subject 2</v>
      </c>
      <c r="C801">
        <v>100881</v>
      </c>
      <c r="D801" s="3" t="s">
        <v>86</v>
      </c>
      <c r="E801" s="3" t="s">
        <v>89</v>
      </c>
      <c r="F801" s="3" t="s">
        <v>2671</v>
      </c>
      <c r="G801" s="13"/>
      <c r="H801" s="13" t="s">
        <v>2672</v>
      </c>
      <c r="I801" s="13"/>
      <c r="J801" s="3">
        <v>1</v>
      </c>
      <c r="K801" s="3">
        <v>1</v>
      </c>
      <c r="L801" s="3">
        <v>1</v>
      </c>
      <c r="M801" s="3">
        <v>1</v>
      </c>
      <c r="N801" s="3" t="s">
        <v>89</v>
      </c>
      <c r="Q801" s="16" t="s">
        <v>3335</v>
      </c>
      <c r="R801" s="14" t="s">
        <v>3000</v>
      </c>
      <c r="S801" s="16" t="s">
        <v>3336</v>
      </c>
      <c r="T801" s="14" t="s">
        <v>3000</v>
      </c>
      <c r="U801" s="3" t="s">
        <v>478</v>
      </c>
      <c r="W801" s="57" t="s">
        <v>114</v>
      </c>
      <c r="X801" t="str">
        <f>DataItems3[[#This Row],[Collection]]&amp;DataItems3[[#This Row],[Field]]&amp;DataItems3[[#This Row],[Options for supplying the Field]]&amp;DataItems3[[#This Row],[Fieldname]]&amp;DataItems3[[#This Row],[Parent]]</f>
        <v>StudentTeaching qualification sought subject 2F_TQSSUB2</v>
      </c>
      <c r="Y801" s="15"/>
      <c r="Z801" t="s">
        <v>2055</v>
      </c>
      <c r="AA801" s="28" t="str">
        <f t="shared" si="114"/>
        <v>IIF(ISNULL(c.F_TQSSUB2, '0')='0','UNK',CAST(c.F_TQSSUB2 AS VARCHAR))</v>
      </c>
      <c r="AB801" s="28" t="str">
        <f t="shared" si="119"/>
        <v>c.F_TQSSUB2</v>
      </c>
      <c r="AC801" s="28"/>
      <c r="AD801" s="28"/>
      <c r="AE801" t="str">
        <f t="shared" si="115"/>
        <v>[Teaching qualification sought subject 2]</v>
      </c>
    </row>
    <row r="802" spans="1:32" ht="16" x14ac:dyDescent="0.2">
      <c r="A802">
        <v>100882</v>
      </c>
      <c r="B802" s="29" t="str">
        <f>DataItems3[[#This Row],[Field]]&amp;IF(DataItems3[[#This Row],[Options for supplying the Field]]="",""," "&amp;DataItems3[[#This Row],[Options for supplying the Field]])</f>
        <v>Teaching qualification sought subject 3</v>
      </c>
      <c r="C802">
        <v>100882</v>
      </c>
      <c r="D802" s="3" t="s">
        <v>86</v>
      </c>
      <c r="E802" s="3" t="s">
        <v>89</v>
      </c>
      <c r="F802" s="3" t="s">
        <v>2673</v>
      </c>
      <c r="G802" s="13"/>
      <c r="H802" s="13" t="s">
        <v>2674</v>
      </c>
      <c r="I802" s="13"/>
      <c r="J802" s="3">
        <v>1</v>
      </c>
      <c r="K802" s="3">
        <v>1</v>
      </c>
      <c r="L802" s="3">
        <v>1</v>
      </c>
      <c r="M802" s="3">
        <v>1</v>
      </c>
      <c r="N802" s="3" t="s">
        <v>89</v>
      </c>
      <c r="Q802" s="16" t="s">
        <v>3337</v>
      </c>
      <c r="R802" s="14" t="s">
        <v>3000</v>
      </c>
      <c r="S802" s="16" t="s">
        <v>3338</v>
      </c>
      <c r="T802" s="14" t="s">
        <v>3000</v>
      </c>
      <c r="U802" s="3" t="s">
        <v>478</v>
      </c>
      <c r="W802" s="57" t="s">
        <v>114</v>
      </c>
      <c r="X802" t="str">
        <f>DataItems3[[#This Row],[Collection]]&amp;DataItems3[[#This Row],[Field]]&amp;DataItems3[[#This Row],[Options for supplying the Field]]&amp;DataItems3[[#This Row],[Fieldname]]&amp;DataItems3[[#This Row],[Parent]]</f>
        <v>StudentTeaching qualification sought subject 3F_TQSSUB3</v>
      </c>
      <c r="Y802" s="15"/>
      <c r="Z802" t="s">
        <v>2055</v>
      </c>
      <c r="AA802" s="28" t="str">
        <f t="shared" ref="AA802:AA865" si="120">IF(Q802="","",Q802)</f>
        <v>IIF(ISNULL(c.F_TQSSUB3, '0')='0','UNK',CAST(c.F_TQSSUB3 AS VARCHAR))</v>
      </c>
      <c r="AB802" s="28" t="str">
        <f t="shared" si="119"/>
        <v>c.F_TQSSUB3</v>
      </c>
      <c r="AC802" s="28"/>
      <c r="AD802" s="28"/>
      <c r="AE802" t="str">
        <f t="shared" si="115"/>
        <v>[Teaching qualification sought subject 3]</v>
      </c>
    </row>
    <row r="803" spans="1:32" ht="16" x14ac:dyDescent="0.2">
      <c r="A803">
        <v>100578</v>
      </c>
      <c r="B803" s="11" t="str">
        <f>DataItems3[[#This Row],[Field]]&amp;IF(DataItems3[[#This Row],[Options for supplying the Field]]="",""," "&amp;DataItems3[[#This Row],[Options for supplying the Field]])</f>
        <v>Teaching sector</v>
      </c>
      <c r="C803">
        <v>100578</v>
      </c>
      <c r="D803" s="3" t="s">
        <v>146</v>
      </c>
      <c r="F803" s="3" t="s">
        <v>2675</v>
      </c>
      <c r="G803" s="13"/>
      <c r="H803" s="14" t="s">
        <v>93</v>
      </c>
      <c r="J803" s="3">
        <v>1</v>
      </c>
      <c r="K803" s="3">
        <v>2</v>
      </c>
      <c r="L803" s="3">
        <v>0</v>
      </c>
      <c r="M803" s="3">
        <v>0</v>
      </c>
      <c r="N803" s="3" t="s">
        <v>89</v>
      </c>
      <c r="Q803" s="16" t="s">
        <v>93</v>
      </c>
      <c r="R803" s="3" t="s">
        <v>93</v>
      </c>
      <c r="U803" s="3" t="s">
        <v>93</v>
      </c>
      <c r="V803" s="3" t="s">
        <v>93</v>
      </c>
      <c r="W803" s="57" t="s">
        <v>2926</v>
      </c>
      <c r="X803" t="str">
        <f>DataItems3[[#This Row],[Collection]]&amp;DataItems3[[#This Row],[Field]]&amp;DataItems3[[#This Row],[Options for supplying the Field]]&amp;DataItems3[[#This Row],[Fieldname]]&amp;DataItems3[[#This Row],[Parent]]</f>
        <v>DLHETeaching sector</v>
      </c>
      <c r="Y803" s="15">
        <v>43416</v>
      </c>
      <c r="Z803" t="s">
        <v>95</v>
      </c>
      <c r="AA803" s="28" t="str">
        <f t="shared" si="120"/>
        <v/>
      </c>
      <c r="AB803" s="28" t="str">
        <f t="shared" si="119"/>
        <v/>
      </c>
      <c r="AC803" s="28" t="str">
        <f>IF(R803="","",R803)</f>
        <v/>
      </c>
      <c r="AD803" s="28" t="str">
        <f>IF(T803="","",IF(IFERROR(SEARCH("select",T803)&gt;0,0),IF(U803="",IF(MID(T803,SEARCH(H803,T803)-4,1)=" ",MID(T803,SEARCH(H803,T803)-2,LEN(O812)+2),MID(T803,SEARCH(H803,T803)-3,LEN(H803)+3)),U803&amp;"."&amp;H803),T803))</f>
        <v/>
      </c>
      <c r="AE803" t="str">
        <f t="shared" si="115"/>
        <v>[Teaching sector]</v>
      </c>
    </row>
    <row r="804" spans="1:32" ht="16" x14ac:dyDescent="0.2">
      <c r="A804">
        <v>100579</v>
      </c>
      <c r="B804" s="11" t="str">
        <f>DataItems3[[#This Row],[Field]]&amp;IF(DataItems3[[#This Row],[Options for supplying the Field]]="",""," "&amp;DataItems3[[#This Row],[Options for supplying the Field]])</f>
        <v>Term time accommodation</v>
      </c>
      <c r="C804">
        <v>100579</v>
      </c>
      <c r="D804" s="3" t="s">
        <v>86</v>
      </c>
      <c r="E804" s="3" t="s">
        <v>89</v>
      </c>
      <c r="F804" s="3" t="s">
        <v>2676</v>
      </c>
      <c r="G804" s="13"/>
      <c r="H804" s="14" t="s">
        <v>2677</v>
      </c>
      <c r="J804" s="3">
        <v>1</v>
      </c>
      <c r="K804" s="3">
        <v>3</v>
      </c>
      <c r="L804" s="3">
        <v>0</v>
      </c>
      <c r="M804" s="3">
        <v>1</v>
      </c>
      <c r="N804" s="3" t="s">
        <v>106</v>
      </c>
      <c r="Q804" s="16" t="s">
        <v>2678</v>
      </c>
      <c r="R804" s="14" t="s">
        <v>3000</v>
      </c>
      <c r="S804" s="16" t="s">
        <v>2679</v>
      </c>
      <c r="T804" s="14" t="s">
        <v>3000</v>
      </c>
      <c r="U804" s="3" t="s">
        <v>93</v>
      </c>
      <c r="V804" s="3" t="s">
        <v>93</v>
      </c>
      <c r="W804" s="57" t="s">
        <v>150</v>
      </c>
      <c r="X804" t="str">
        <f>DataItems3[[#This Row],[Collection]]&amp;DataItems3[[#This Row],[Field]]&amp;DataItems3[[#This Row],[Options for supplying the Field]]&amp;DataItems3[[#This Row],[Fieldname]]&amp;DataItems3[[#This Row],[Parent]]</f>
        <v>StudentTerm time accommodationF_TTACCOM</v>
      </c>
      <c r="Y804" s="15"/>
      <c r="AA804" s="28" t="str">
        <f t="shared" si="120"/>
        <v>IIF(s.F_TTACCOM IN ('',' ','-1'),'5',s.F_TTACCOM)</v>
      </c>
      <c r="AB804" s="28" t="str">
        <f>IF(S804="","",IF(IFERROR(SEARCH("select",S804)&gt;0,0),IF(U804="",IF(MID(S804,SEARCH(H804,S804)-4,1)=" ",MID(S804,SEARCH(H804,S804)-2,LEN(#REF!)+2),MID(S804,SEARCH(H804,S804)-3,LEN(H804)+3)),U804&amp;"."&amp;H804),S804))</f>
        <v xml:space="preserve"> s.F_TTACCOM</v>
      </c>
      <c r="AC804" s="28"/>
      <c r="AD804" s="28"/>
      <c r="AE804" t="str">
        <f t="shared" si="115"/>
        <v>[Term time accommodation]</v>
      </c>
      <c r="AF804">
        <v>100959</v>
      </c>
    </row>
    <row r="805" spans="1:32" ht="16" x14ac:dyDescent="0.2">
      <c r="A805">
        <v>100959</v>
      </c>
      <c r="B805" s="29" t="str">
        <f>DataItems3[[#This Row],[Field]]&amp;IF(DataItems3[[#This Row],[Options for supplying the Field]]="",""," "&amp;DataItems3[[#This Row],[Options for supplying the Field]])</f>
        <v>Term time accommodation (DF)</v>
      </c>
      <c r="C805">
        <v>100959</v>
      </c>
      <c r="D805" s="3" t="s">
        <v>2992</v>
      </c>
      <c r="F805" s="3" t="s">
        <v>2676</v>
      </c>
      <c r="G805" s="13" t="s">
        <v>2994</v>
      </c>
      <c r="H805" s="13" t="s">
        <v>3339</v>
      </c>
      <c r="I805" s="13"/>
      <c r="J805" s="13"/>
      <c r="Q805" s="3" t="s">
        <v>3340</v>
      </c>
      <c r="R805" s="16"/>
      <c r="S805" s="3" t="s">
        <v>3340</v>
      </c>
      <c r="T805" s="16"/>
      <c r="W805" s="59" t="s">
        <v>150</v>
      </c>
      <c r="X805" t="str">
        <f>DataItems3[[#This Row],[Collection]]&amp;DataItems3[[#This Row],[Field]]&amp;DataItems3[[#This Row],[Options for supplying the Field]]&amp;DataItems3[[#This Row],[Fieldname]]&amp;DataItems3[[#This Row],[Parent]]</f>
        <v>Data FuturesTerm time accommodation(DF)TTACCOM</v>
      </c>
      <c r="Y805" s="15">
        <v>45048</v>
      </c>
      <c r="Z805" t="s">
        <v>2997</v>
      </c>
      <c r="AA805" s="28" t="str">
        <f t="shared" si="120"/>
        <v>df.TTACCOM</v>
      </c>
      <c r="AB805" s="28" t="str">
        <f>IF(S805="","",IF(IFERROR(SEARCH("select",S805)&gt;0,0),IF(W805="",IF(MID(S805,SEARCH(H805,S805)-4,1)=" ",MID(S805,SEARCH(H805,S805)-2,LEN(O813)+2),MID(S805,SEARCH(H805,S805)-3,LEN(H805)+3)),W805&amp;"."&amp;H805),S805))</f>
        <v>df.TTACCOM</v>
      </c>
      <c r="AC805" s="28" t="str">
        <f>IF(R805="","",R805)</f>
        <v/>
      </c>
      <c r="AD805" s="28" t="str">
        <f>IF(T805="","",IF(IFERROR(SEARCH("select",T805)&gt;0,0),IF(U805="",IF(MID(T805,SEARCH(H805,T805)-4,1)=" ",MID(T805,SEARCH(H805,T805)-2,LEN(O813)+2),MID(T805,SEARCH(H805,T805)-3,LEN(H805)+3)),U805&amp;"."&amp;H805),T805))</f>
        <v/>
      </c>
      <c r="AE805" t="str">
        <f t="shared" si="115"/>
        <v>[Term time accommodation]</v>
      </c>
    </row>
    <row r="806" spans="1:32" ht="16" x14ac:dyDescent="0.2">
      <c r="A806">
        <v>100585</v>
      </c>
      <c r="B806" s="11" t="str">
        <f>DataItems3[[#This Row],[Field]]&amp;IF(DataItems3[[#This Row],[Options for supplying the Field]]="",""," "&amp;DataItems3[[#This Row],[Options for supplying the Field]])</f>
        <v>Term time address (Outward postcode)</v>
      </c>
      <c r="C806">
        <v>100585</v>
      </c>
      <c r="D806" s="3" t="s">
        <v>86</v>
      </c>
      <c r="E806" s="3" t="s">
        <v>89</v>
      </c>
      <c r="F806" s="3" t="s">
        <v>2680</v>
      </c>
      <c r="G806" s="13" t="s">
        <v>783</v>
      </c>
      <c r="H806" s="14" t="s">
        <v>2681</v>
      </c>
      <c r="J806" s="3">
        <v>2</v>
      </c>
      <c r="K806" s="3">
        <v>6</v>
      </c>
      <c r="L806" s="3">
        <v>2</v>
      </c>
      <c r="M806" s="3">
        <v>0</v>
      </c>
      <c r="N806" s="3" t="s">
        <v>89</v>
      </c>
      <c r="Q806" s="16" t="s">
        <v>2682</v>
      </c>
      <c r="R806" s="14" t="s">
        <v>3000</v>
      </c>
      <c r="S806" s="16" t="s">
        <v>2682</v>
      </c>
      <c r="T806" s="14" t="s">
        <v>3000</v>
      </c>
      <c r="U806" s="3" t="s">
        <v>93</v>
      </c>
      <c r="V806" s="3" t="s">
        <v>93</v>
      </c>
      <c r="W806" s="57" t="s">
        <v>791</v>
      </c>
      <c r="X806" t="str">
        <f>DataItems3[[#This Row],[Collection]]&amp;DataItems3[[#This Row],[Field]]&amp;DataItems3[[#This Row],[Options for supplying the Field]]&amp;DataItems3[[#This Row],[Fieldname]]&amp;DataItems3[[#This Row],[Parent]]</f>
        <v>StudentTerm time address(Outward postcode)F_TTOUTPCODE</v>
      </c>
      <c r="Y806" s="15"/>
      <c r="AA806" s="28" t="str">
        <f t="shared" si="120"/>
        <v>CASE WHEN s.f_ttpcode IN ('ZZ', 'XK', 'XL', 'IM', 'XF', 'XG', 'XH', 'XI', '99999999') OR s.f_ttpcode IS NULL OR s.f_ttpcode='' THEN 'zzzzUnknown' WHEN SUBSTRING(s.f_ttpcode,1,3)='___' OR SUBSTRING(s.f_ttpcode,1,3)='###' OR SUBSTRING(s.f_ttpcode,1,3)='$$$' THEN 'zzzzUnknown' WHEN CHARINDEX(' ',s.f_ttpcode)=0 THEN CASE WHEN LEN(s.f_ttpcode)&gt;=5 THEN 'zzzzUnknown' ELSE s.f_ttpcode END WHEN ((s.f_ttpcode LIKE '%  %') OR (s.f_ttpcode LIKE '% %')) THEN SUBSTRING(s.f_ttpcode,1,CHARINDEX(' ',s.f_ttpcode)-1) ELSE 'zzzzUnknown' END</v>
      </c>
      <c r="AB806" s="28" t="str">
        <f>IF(S806="","",IF(IFERROR(SEARCH("select",S806)&gt;0,0),IF(U806="",IF(MID(S806,SEARCH(H806,S806)-4,1)=" ",MID(S806,SEARCH(H806,S806)-2,LEN(O814)+2),MID(S806,SEARCH(H806,S806)-3,LEN(H806)+3)),U806&amp;"."&amp;H806),S806))</f>
        <v>CASE WHEN s.f_ttpcode IN ('ZZ', 'XK', 'XL', 'IM', 'XF', 'XG', 'XH', 'XI', '99999999') OR s.f_ttpcode IS NULL OR s.f_ttpcode='' THEN 'zzzzUnknown' WHEN SUBSTRING(s.f_ttpcode,1,3)='___' OR SUBSTRING(s.f_ttpcode,1,3)='###' OR SUBSTRING(s.f_ttpcode,1,3)='$$$' THEN 'zzzzUnknown' WHEN CHARINDEX(' ',s.f_ttpcode)=0 THEN CASE WHEN LEN(s.f_ttpcode)&gt;=5 THEN 'zzzzUnknown' ELSE s.f_ttpcode END WHEN ((s.f_ttpcode LIKE '%  %') OR (s.f_ttpcode LIKE '% %')) THEN SUBSTRING(s.f_ttpcode,1,CHARINDEX(' ',s.f_ttpcode)-1) ELSE 'zzzzUnknown' END</v>
      </c>
      <c r="AC806" s="28"/>
      <c r="AD806" s="28"/>
      <c r="AE806" t="str">
        <f t="shared" si="115"/>
        <v>[Term time address]</v>
      </c>
    </row>
    <row r="807" spans="1:32" ht="16" x14ac:dyDescent="0.2">
      <c r="A807">
        <v>100788</v>
      </c>
      <c r="B807" s="11" t="str">
        <f>DataItems3[[#This Row],[Field]]&amp;IF(DataItems3[[#This Row],[Options for supplying the Field]]="",""," "&amp;DataItems3[[#This Row],[Options for supplying the Field]])</f>
        <v>Term time address (Sector postcode)</v>
      </c>
      <c r="C807">
        <v>100788</v>
      </c>
      <c r="D807" s="3" t="s">
        <v>86</v>
      </c>
      <c r="E807" s="3" t="s">
        <v>89</v>
      </c>
      <c r="F807" s="3" t="s">
        <v>2680</v>
      </c>
      <c r="G807" s="13" t="s">
        <v>1452</v>
      </c>
      <c r="H807" s="14" t="s">
        <v>2683</v>
      </c>
      <c r="J807" s="3">
        <v>3</v>
      </c>
      <c r="K807" s="3">
        <v>8</v>
      </c>
      <c r="L807" s="3">
        <v>2</v>
      </c>
      <c r="M807" s="3">
        <v>0</v>
      </c>
      <c r="N807" s="3" t="s">
        <v>89</v>
      </c>
      <c r="Q807" s="16" t="s">
        <v>2684</v>
      </c>
      <c r="R807" s="14" t="s">
        <v>3000</v>
      </c>
      <c r="S807" s="16" t="s">
        <v>2684</v>
      </c>
      <c r="T807" s="14" t="s">
        <v>3000</v>
      </c>
      <c r="W807" s="57" t="s">
        <v>441</v>
      </c>
      <c r="X807" t="str">
        <f>DataItems3[[#This Row],[Collection]]&amp;DataItems3[[#This Row],[Field]]&amp;DataItems3[[#This Row],[Options for supplying the Field]]&amp;DataItems3[[#This Row],[Fieldname]]&amp;DataItems3[[#This Row],[Parent]]</f>
        <v>StudentTerm time address(Sector postcode)F_TTSECTORPCODE</v>
      </c>
      <c r="Y807" s="4">
        <v>44265</v>
      </c>
      <c r="Z807" t="s">
        <v>1126</v>
      </c>
      <c r="AA807" s="28" t="str">
        <f t="shared" si="120"/>
        <v>CASE WHEN s.F_TTPCODE IN ('ZZ', 'GB', 'JE', 'XL', 'XK', 'GG', 'IM', 'XF', 'XI', 'XH', 'XG', '99999999', '1782', '2826', '3826', '4826', '5826', '6826', '7826', '8826') OR s.F_TTPCODE IS NULL OR s.F_TTPCODE='' THEN 'UK Region Unknown' WHEN SUBSTRING(s.F_TTPCODE, 1, 3)='___' OR SUBSTRING(s.F_TTPCODE, 1, 3)='###' OR SUBSTRING(s.F_TTPCODE, 1, 3)='$$$' THEN 'UK Region Unknown' WHEN CHARINDEX(' ', s.F_TTPCODE)=0 THEN CASE WHEN LEN(s.F_TTPCODE)&gt;=5 THEN 'zzzzUnknown' ELSE s.F_TTPCODE END WHEN s.F_TTPCODE LIKE '%  %' THEN CASE WHEN SUBSTRING(s.F_TTPCODE, CHARINDEX(' ', s.F_TTPCODE) + 2, 1) IN ('0', '1', '2', '3', '4', '5', '6', '7', '8', '9') THEN SUBSTRING(s.F_TTPCODE, 1, CHARINDEX(' ', s.F_TTPCODE) - 1) + ' ' + SUBSTRING(s.F_TTPCODE, CHARINDEX(' ', s.F_TTPCODE) + 2, 1) WHEN SUBSTRING(s.F_TTPCODE, CHARINDEX(' ', s.F_TTPCODE) + 2, 1)='O' THEN SUBSTRING(s.F_TTPCODE, 1, CHARINDEX(' ', s.F_TTPCODE) - 1) + ' ' + '0' ELSE SUBSTRING(s.F_TTPCODE, 1, CHARINDEX(' ', s.F_TTPCODE) - 1)END WHEN s.F_TTPCODE LIKE '% %' THEN CASE WHEN SUBSTRING(s.F_TTPCODE, CHARINDEX(' ', s.F_TTPCODE) + 1, 1) IN ('0', '1', '2', '3', '4', '5', '6', '7', '8', '9') THEN SUBSTRING(s.F_TTPCODE, 1, CHARINDEX(' ', s.F_TTPCODE) - 1) + ' ' + SUBSTRING(s.F_TTPCODE, CHARINDEX(' ', s.F_TTPCODE) + 1, 1) WHEN SUBSTRING(s.F_TTPCODE, CHARINDEX(' ', s.F_TTPCODE) + 1, 1)='O' THEN SUBSTRING(s.F_TTPCODE, 1, CHARINDEX(' ', s.F_TTPCODE) - 1) + ' ' + '0' ELSE SUBSTRING(s.F_TTPCODE, 1, CHARINDEX(' ', s.F_TTPCODE) - 1)END ELSE 'UK Region Unknown' END</v>
      </c>
      <c r="AB807" s="28" t="str">
        <f>IF(S807="","",IF(IFERROR(SEARCH("select",S807)&gt;0,0),IF(U807="",IF(MID(S807,SEARCH(H807,S807)-4,1)=" ",MID(S807,SEARCH(H807,S807)-2,LEN(#REF!)+2),MID(S807,SEARCH(H807,S807)-3,LEN(H807)+3)),U807&amp;"."&amp;H807),S807))</f>
        <v>CASE WHEN s.F_TTPCODE IN ('ZZ', 'GB', 'JE', 'XL', 'XK', 'GG', 'IM', 'XF', 'XI', 'XH', 'XG', '99999999', '1782', '2826', '3826', '4826', '5826', '6826', '7826', '8826') OR s.F_TTPCODE IS NULL OR s.F_TTPCODE='' THEN 'UK Region Unknown' WHEN SUBSTRING(s.F_TTPCODE, 1, 3)='___' OR SUBSTRING(s.F_TTPCODE, 1, 3)='###' OR SUBSTRING(s.F_TTPCODE, 1, 3)='$$$' THEN 'UK Region Unknown' WHEN CHARINDEX(' ', s.F_TTPCODE)=0 THEN CASE WHEN LEN(s.F_TTPCODE)&gt;=5 THEN 'zzzzUnknown' ELSE s.F_TTPCODE END WHEN s.F_TTPCODE LIKE '%  %' THEN CASE WHEN SUBSTRING(s.F_TTPCODE, CHARINDEX(' ', s.F_TTPCODE) + 2, 1) IN ('0', '1', '2', '3', '4', '5', '6', '7', '8', '9') THEN SUBSTRING(s.F_TTPCODE, 1, CHARINDEX(' ', s.F_TTPCODE) - 1) + ' ' + SUBSTRING(s.F_TTPCODE, CHARINDEX(' ', s.F_TTPCODE) + 2, 1) WHEN SUBSTRING(s.F_TTPCODE, CHARINDEX(' ', s.F_TTPCODE) + 2, 1)='O' THEN SUBSTRING(s.F_TTPCODE, 1, CHARINDEX(' ', s.F_TTPCODE) - 1) + ' ' + '0' ELSE SUBSTRING(s.F_TTPCODE, 1, CHARINDEX(' ', s.F_TTPCODE) - 1)END WHEN s.F_TTPCODE LIKE '% %' THEN CASE WHEN SUBSTRING(s.F_TTPCODE, CHARINDEX(' ', s.F_TTPCODE) + 1, 1) IN ('0', '1', '2', '3', '4', '5', '6', '7', '8', '9') THEN SUBSTRING(s.F_TTPCODE, 1, CHARINDEX(' ', s.F_TTPCODE) - 1) + ' ' + SUBSTRING(s.F_TTPCODE, CHARINDEX(' ', s.F_TTPCODE) + 1, 1) WHEN SUBSTRING(s.F_TTPCODE, CHARINDEX(' ', s.F_TTPCODE) + 1, 1)='O' THEN SUBSTRING(s.F_TTPCODE, 1, CHARINDEX(' ', s.F_TTPCODE) - 1) + ' ' + '0' ELSE SUBSTRING(s.F_TTPCODE, 1, CHARINDEX(' ', s.F_TTPCODE) - 1)END ELSE 'UK Region Unknown' END</v>
      </c>
      <c r="AC807" s="28"/>
      <c r="AD807" s="28"/>
      <c r="AE807" t="str">
        <f t="shared" si="115"/>
        <v>[Term time address]</v>
      </c>
    </row>
    <row r="808" spans="1:32" ht="16" x14ac:dyDescent="0.2">
      <c r="A808">
        <v>100580</v>
      </c>
      <c r="B808" s="11" t="str">
        <f>DataItems3[[#This Row],[Field]]&amp;IF(DataItems3[[#This Row],[Options for supplying the Field]]="",""," "&amp;DataItems3[[#This Row],[Options for supplying the Field]])</f>
        <v>Term time address⁽¹⁾ (Local authority district)</v>
      </c>
      <c r="C808">
        <v>100580</v>
      </c>
      <c r="D808" s="3" t="s">
        <v>86</v>
      </c>
      <c r="E808" s="3" t="s">
        <v>89</v>
      </c>
      <c r="F808" s="3" t="str">
        <f>"Term time address"&amp;"⁽"&amp;CHAR(185)&amp;"⁾"</f>
        <v>Term time address⁽¹⁾</v>
      </c>
      <c r="G808" s="13" t="s">
        <v>799</v>
      </c>
      <c r="H808" s="14" t="s">
        <v>800</v>
      </c>
      <c r="J808" s="3">
        <v>4</v>
      </c>
      <c r="K808" s="3">
        <v>5</v>
      </c>
      <c r="L808" s="3">
        <v>0</v>
      </c>
      <c r="M808" s="3">
        <v>0</v>
      </c>
      <c r="N808" s="3" t="s">
        <v>89</v>
      </c>
      <c r="Q808" s="16" t="s">
        <v>2685</v>
      </c>
      <c r="R808" s="14" t="s">
        <v>3000</v>
      </c>
      <c r="S808" s="16" t="s">
        <v>3341</v>
      </c>
      <c r="T808" s="14" t="s">
        <v>3000</v>
      </c>
      <c r="U808" s="3" t="s">
        <v>3342</v>
      </c>
      <c r="V808" s="3" t="s">
        <v>93</v>
      </c>
      <c r="W808" s="57" t="s">
        <v>798</v>
      </c>
      <c r="X808" t="str">
        <f>DataItems3[[#This Row],[Collection]]&amp;DataItems3[[#This Row],[Field]]&amp;DataItems3[[#This Row],[Options for supplying the Field]]&amp;DataItems3[[#This Row],[Fieldname]]&amp;DataItems3[[#This Row],[Parent]]</f>
        <v>StudentTerm time address⁽¹⁾(Local authority district)F_FULL_LAUA</v>
      </c>
      <c r="Y808" s="15">
        <v>43434</v>
      </c>
      <c r="Z808" t="s">
        <v>95</v>
      </c>
      <c r="AA808" s="28" t="str">
        <f t="shared" si="120"/>
        <v xml:space="preserve">iif(tt.F_FULL_LAUA='','Unknown',ISNULL(tt.F_FULL_LAUA,'Unknown')) </v>
      </c>
      <c r="AB808" s="28" t="str">
        <f>IF(S808="","",IF(IFERROR(SEARCH("select",S808)&gt;0,0),IF(U808="",IF(MID(S808,SEARCH(H808,S808)-4,1)=" ",MID(S808,SEARCH(H808,S808)-2,LEN(O815)+2),MID(S808,SEARCH(H808,S808)-3,LEN(H808)+3)),U808&amp;"."&amp;H808),S808))</f>
        <v>IIF(tt.F_FULL_LAUA = '', 'Unknown', ISNULL(ons.Label, 'Unknown'))</v>
      </c>
      <c r="AC808" s="28"/>
      <c r="AD808" s="28"/>
      <c r="AE808" t="str">
        <f t="shared" si="115"/>
        <v>[Term time address]</v>
      </c>
    </row>
    <row r="809" spans="1:32" ht="32" x14ac:dyDescent="0.2">
      <c r="A809">
        <v>100581</v>
      </c>
      <c r="B809" s="11" t="str">
        <f>DataItems3[[#This Row],[Field]]&amp;IF(DataItems3[[#This Row],[Options for supplying the Field]]="",""," "&amp;DataItems3[[#This Row],[Options for supplying the Field]])</f>
        <v>Term time address⁽¹⁾ (Lower super output area (LSOA))</v>
      </c>
      <c r="C809">
        <v>100581</v>
      </c>
      <c r="D809" s="3" t="s">
        <v>86</v>
      </c>
      <c r="E809" s="3" t="s">
        <v>89</v>
      </c>
      <c r="F809" s="3" t="str">
        <f>"Term time address"&amp;"⁽"&amp;CHAR(185)&amp;"⁾"</f>
        <v>Term time address⁽¹⁾</v>
      </c>
      <c r="G809" s="13" t="s">
        <v>1157</v>
      </c>
      <c r="H809" s="14" t="s">
        <v>805</v>
      </c>
      <c r="J809" s="3">
        <v>8</v>
      </c>
      <c r="K809" s="3">
        <v>8</v>
      </c>
      <c r="L809" s="3">
        <v>2</v>
      </c>
      <c r="M809" s="3">
        <v>0</v>
      </c>
      <c r="N809" s="3" t="s">
        <v>89</v>
      </c>
      <c r="Q809" s="16" t="s">
        <v>2687</v>
      </c>
      <c r="R809" s="14" t="s">
        <v>3000</v>
      </c>
      <c r="S809" s="16" t="s">
        <v>2687</v>
      </c>
      <c r="T809" s="14" t="s">
        <v>3000</v>
      </c>
      <c r="U809" s="3" t="s">
        <v>2686</v>
      </c>
      <c r="V809" s="3" t="s">
        <v>93</v>
      </c>
      <c r="W809" s="77" t="s">
        <v>798</v>
      </c>
      <c r="X809" t="str">
        <f>DataItems3[[#This Row],[Collection]]&amp;DataItems3[[#This Row],[Field]]&amp;DataItems3[[#This Row],[Options for supplying the Field]]&amp;DataItems3[[#This Row],[Fieldname]]&amp;DataItems3[[#This Row],[Parent]]</f>
        <v>StudentTerm time address⁽¹⁾(Lower super output area (LSOA))F_LSOA11</v>
      </c>
      <c r="Y809" s="15">
        <v>43909</v>
      </c>
      <c r="Z809" t="s">
        <v>159</v>
      </c>
      <c r="AA809" s="28" t="str">
        <f t="shared" si="120"/>
        <v>CASE WHEN tt.F_LSOA11 IN ('-3') THEN 'UNK' ELSE ISNULL(tt.F_LSOA11,'UNK') END</v>
      </c>
      <c r="AB809" s="28" t="str">
        <f>IF(S809="","",IF(IFERROR(SEARCH("select",S809)&gt;0,0),IF(U809="",IF(MID(S809,SEARCH(H809,S809)-4,1)=" ",MID(S809,SEARCH(H809,S809)-2,LEN(O816)+2),MID(S809,SEARCH(H809,S809)-3,LEN(H809)+3)),U809&amp;"."&amp;H809),S809))</f>
        <v>CASE WHEN tt.F_LSOA11 IN ('-3') THEN 'UNK' ELSE ISNULL(tt.F_LSOA11,'UNK') END</v>
      </c>
      <c r="AC809" s="28"/>
      <c r="AD809" s="28"/>
      <c r="AE809" t="str">
        <f t="shared" si="115"/>
        <v>[Term time address]</v>
      </c>
    </row>
    <row r="810" spans="1:32" ht="16" x14ac:dyDescent="0.2">
      <c r="A810">
        <v>100583</v>
      </c>
      <c r="B810" s="11" t="str">
        <f>DataItems3[[#This Row],[Field]]&amp;IF(DataItems3[[#This Row],[Options for supplying the Field]]="",""," "&amp;DataItems3[[#This Row],[Options for supplying the Field]])</f>
        <v>Term time address⁽¹⁾ (NUTS 2)</v>
      </c>
      <c r="C810">
        <v>100583</v>
      </c>
      <c r="D810" s="3" t="s">
        <v>86</v>
      </c>
      <c r="E810" s="3" t="s">
        <v>89</v>
      </c>
      <c r="F810" s="3" t="str">
        <f>"Term time address"&amp;"⁽"&amp;CHAR(185)&amp;"⁾"</f>
        <v>Term time address⁽¹⁾</v>
      </c>
      <c r="G810" s="13" t="s">
        <v>1160</v>
      </c>
      <c r="H810" s="14" t="s">
        <v>2688</v>
      </c>
      <c r="J810" s="3">
        <v>3</v>
      </c>
      <c r="K810" s="3">
        <v>5</v>
      </c>
      <c r="L810" s="3">
        <v>0</v>
      </c>
      <c r="M810" s="3">
        <v>0</v>
      </c>
      <c r="N810" s="3" t="s">
        <v>89</v>
      </c>
      <c r="Q810" s="16" t="s">
        <v>2689</v>
      </c>
      <c r="R810" s="14" t="s">
        <v>3000</v>
      </c>
      <c r="S810" s="16" t="s">
        <v>2689</v>
      </c>
      <c r="T810" s="14" t="s">
        <v>3000</v>
      </c>
      <c r="U810" s="3" t="s">
        <v>2690</v>
      </c>
      <c r="V810" s="3" t="s">
        <v>93</v>
      </c>
      <c r="W810" s="77" t="s">
        <v>764</v>
      </c>
      <c r="X810" t="str">
        <f>DataItems3[[#This Row],[Collection]]&amp;DataItems3[[#This Row],[Field]]&amp;DataItems3[[#This Row],[Options for supplying the Field]]&amp;DataItems3[[#This Row],[Fieldname]]&amp;DataItems3[[#This Row],[Parent]]</f>
        <v>StudentTerm time address⁽¹⁾(NUTS 2)F_NUTSTT2</v>
      </c>
      <c r="Y810" s="15">
        <v>43909</v>
      </c>
      <c r="Z810" t="s">
        <v>159</v>
      </c>
      <c r="AA810" s="28" t="str">
        <f t="shared" si="120"/>
        <v>ISNULL(nutstt.NUTS218CD,'UNK')</v>
      </c>
      <c r="AB810" s="28" t="str">
        <f>IF(S810="","",IF(IFERROR(SEARCH("select",S810)&gt;0,0),IF(U810="",IF(MID(S810,SEARCH(H810,S810)-4,1)=" ",MID(S810,SEARCH(H810,S810)-2,LEN(#REF!)+2),MID(S810,SEARCH(H810,S810)-3,LEN(H810)+3)),U810&amp;"."&amp;H810),S810))</f>
        <v>ISNULL(nutstt.NUTS218CD,'UNK')</v>
      </c>
      <c r="AC810" s="28"/>
      <c r="AD810" s="28"/>
      <c r="AE810" t="str">
        <f t="shared" si="115"/>
        <v>[Term time address]</v>
      </c>
    </row>
    <row r="811" spans="1:32" ht="16" x14ac:dyDescent="0.2">
      <c r="A811">
        <v>100584</v>
      </c>
      <c r="B811" s="11" t="str">
        <f>DataItems3[[#This Row],[Field]]&amp;IF(DataItems3[[#This Row],[Options for supplying the Field]]="",""," "&amp;DataItems3[[#This Row],[Options for supplying the Field]])</f>
        <v>Term time address⁽¹⁾ (NUTS 3)</v>
      </c>
      <c r="C811">
        <v>100584</v>
      </c>
      <c r="D811" s="3" t="s">
        <v>86</v>
      </c>
      <c r="E811" s="3" t="s">
        <v>89</v>
      </c>
      <c r="F811" s="3" t="str">
        <f>"Term time address"&amp;"⁽"&amp;CHAR(185)&amp;"⁾"</f>
        <v>Term time address⁽¹⁾</v>
      </c>
      <c r="G811" s="13" t="s">
        <v>1164</v>
      </c>
      <c r="H811" s="14" t="s">
        <v>2691</v>
      </c>
      <c r="J811" s="3">
        <v>3</v>
      </c>
      <c r="K811" s="3">
        <v>6</v>
      </c>
      <c r="L811" s="3">
        <v>0</v>
      </c>
      <c r="M811" s="3">
        <v>0</v>
      </c>
      <c r="N811" s="3" t="s">
        <v>89</v>
      </c>
      <c r="Q811" s="16" t="s">
        <v>2692</v>
      </c>
      <c r="R811" s="14" t="s">
        <v>3000</v>
      </c>
      <c r="S811" s="16" t="s">
        <v>2692</v>
      </c>
      <c r="T811" s="14" t="s">
        <v>3000</v>
      </c>
      <c r="U811" s="3" t="s">
        <v>2690</v>
      </c>
      <c r="V811" s="3" t="s">
        <v>93</v>
      </c>
      <c r="W811" s="77" t="s">
        <v>764</v>
      </c>
      <c r="X811" t="str">
        <f>DataItems3[[#This Row],[Collection]]&amp;DataItems3[[#This Row],[Field]]&amp;DataItems3[[#This Row],[Options for supplying the Field]]&amp;DataItems3[[#This Row],[Fieldname]]&amp;DataItems3[[#This Row],[Parent]]</f>
        <v>StudentTerm time address⁽¹⁾(NUTS 3)F_NUTSTT3</v>
      </c>
      <c r="Y811" s="15">
        <v>43909</v>
      </c>
      <c r="Z811" t="s">
        <v>159</v>
      </c>
      <c r="AA811" s="28" t="str">
        <f t="shared" si="120"/>
        <v>ISNULL(nutstt.NUTS318CD,'UNK')</v>
      </c>
      <c r="AB811" s="28" t="str">
        <f>IF(S811="","",IF(IFERROR(SEARCH("select",S811)&gt;0,0),IF(U811="",IF(MID(S811,SEARCH(H811,S811)-4,1)=" ",MID(S811,SEARCH(H811,S811)-2,LEN(O817)+2),MID(S811,SEARCH(H811,S811)-3,LEN(H811)+3)),U811&amp;"."&amp;H811),S811))</f>
        <v>ISNULL(nutstt.NUTS318CD,'UNK')</v>
      </c>
      <c r="AC811" s="28"/>
      <c r="AD811" s="28"/>
      <c r="AE811" t="str">
        <f t="shared" si="115"/>
        <v>[Term time address]</v>
      </c>
    </row>
    <row r="812" spans="1:32" ht="48" x14ac:dyDescent="0.2">
      <c r="A812">
        <v>100674</v>
      </c>
      <c r="B812" s="11" t="str">
        <f>DataItems3[[#This Row],[Field]]&amp;IF(DataItems3[[#This Row],[Options for supplying the Field]]="",""," "&amp;DataItems3[[#This Row],[Options for supplying the Field]])</f>
        <v>Term time address⁽¹⁾ ([UK county/Unitary authority]/ Non-UK grouped/ Unknown)</v>
      </c>
      <c r="C812">
        <v>100674</v>
      </c>
      <c r="D812" s="3" t="s">
        <v>86</v>
      </c>
      <c r="E812" s="3" t="s">
        <v>89</v>
      </c>
      <c r="F812" s="3" t="str">
        <f>"Term time address"&amp;"⁽"&amp;CHAR(185)&amp;"⁾"</f>
        <v>Term time address⁽¹⁾</v>
      </c>
      <c r="G812" s="13" t="s">
        <v>844</v>
      </c>
      <c r="H812" s="14"/>
      <c r="J812" s="3">
        <v>4</v>
      </c>
      <c r="K812" s="3">
        <v>4</v>
      </c>
      <c r="L812" s="3">
        <v>0</v>
      </c>
      <c r="M812" s="3">
        <v>0</v>
      </c>
      <c r="N812" s="3" t="s">
        <v>1894</v>
      </c>
      <c r="R812" s="14" t="s">
        <v>3000</v>
      </c>
      <c r="T812" s="14" t="s">
        <v>3000</v>
      </c>
      <c r="W812" s="77" t="s">
        <v>2926</v>
      </c>
      <c r="X812" t="str">
        <f>DataItems3[[#This Row],[Collection]]&amp;DataItems3[[#This Row],[Field]]&amp;DataItems3[[#This Row],[Options for supplying the Field]]&amp;DataItems3[[#This Row],[Fieldname]]&amp;DataItems3[[#This Row],[Parent]]</f>
        <v>StudentTerm time address⁽¹⁾([UK county/Unitary authority]/ Non-UK grouped/ Unknown)</v>
      </c>
      <c r="Y812" s="4">
        <v>44099</v>
      </c>
      <c r="Z812" t="s">
        <v>56</v>
      </c>
      <c r="AA812" s="28" t="str">
        <f t="shared" si="120"/>
        <v/>
      </c>
      <c r="AB812" s="28" t="str">
        <f>IF(S812="","",IF(IFERROR(SEARCH("select",S812)&gt;0,0),IF(U812="",IF(MID(S812,SEARCH(H812,S812)-4,1)=" ",MID(S812,SEARCH(H812,S812)-2,LEN(#REF!)+2),MID(S812,SEARCH(H812,S812)-3,LEN(H812)+3)),U812&amp;"."&amp;H812),S812))</f>
        <v/>
      </c>
      <c r="AC812" s="28"/>
      <c r="AD812" s="28"/>
      <c r="AE812" t="str">
        <f t="shared" si="115"/>
        <v>[Term time address]</v>
      </c>
    </row>
    <row r="813" spans="1:32" ht="16" x14ac:dyDescent="0.2">
      <c r="A813">
        <v>100586</v>
      </c>
      <c r="B813" s="11" t="str">
        <f>DataItems3[[#This Row],[Field]]&amp;IF(DataItems3[[#This Row],[Options for supplying the Field]]="",""," "&amp;DataItems3[[#This Row],[Options for supplying the Field]])</f>
        <v>Terms of employment</v>
      </c>
      <c r="C813">
        <v>100586</v>
      </c>
      <c r="D813" s="3" t="s">
        <v>100</v>
      </c>
      <c r="F813" s="3" t="s">
        <v>2693</v>
      </c>
      <c r="G813" s="13"/>
      <c r="H813" s="14" t="s">
        <v>2694</v>
      </c>
      <c r="J813" s="3">
        <v>1</v>
      </c>
      <c r="K813" s="3">
        <v>1</v>
      </c>
      <c r="L813" s="3">
        <v>0</v>
      </c>
      <c r="M813" s="3">
        <v>0</v>
      </c>
      <c r="N813" s="3" t="s">
        <v>106</v>
      </c>
      <c r="Q813" s="16" t="s">
        <v>2695</v>
      </c>
      <c r="R813" s="3" t="s">
        <v>93</v>
      </c>
      <c r="S813" s="16" t="s">
        <v>2696</v>
      </c>
      <c r="U813" s="3" t="s">
        <v>93</v>
      </c>
      <c r="V813" s="3" t="s">
        <v>93</v>
      </c>
      <c r="W813" s="77" t="s">
        <v>109</v>
      </c>
      <c r="X813" t="str">
        <f>DataItems3[[#This Row],[Collection]]&amp;DataItems3[[#This Row],[Field]]&amp;DataItems3[[#This Row],[Options for supplying the Field]]&amp;DataItems3[[#This Row],[Fieldname]]&amp;DataItems3[[#This Row],[Parent]]</f>
        <v>StaffTerms of employmentF_TERMS</v>
      </c>
      <c r="Y813" s="15">
        <v>43395</v>
      </c>
      <c r="Z813" t="s">
        <v>102</v>
      </c>
      <c r="AA813" s="28" t="str">
        <f t="shared" si="120"/>
        <v>c.F_TERMS</v>
      </c>
      <c r="AB813" s="28" t="str">
        <f>IF(S813="","",IF(IFERROR(SEARCH("select",S813)&gt;0,0),IF(U813="",IF(MID(S813,SEARCH(H813,S813)-4,1)=" ",MID(S813,SEARCH(H813,S813)-2,LEN(#REF!)+2),MID(S813,SEARCH(H813,S813)-3,LEN(H813)+3)),U813&amp;"."&amp;H813),S813))</f>
        <v xml:space="preserve"> c.F_terms</v>
      </c>
      <c r="AC813" s="28" t="str">
        <f t="shared" ref="AC813:AC819" si="121">IF(R813="","",R813)</f>
        <v/>
      </c>
      <c r="AD813" s="28" t="str">
        <f>IF(T813="","",IF(IFERROR(SEARCH("select",T813)&gt;0,0),IF(U813="",IF(MID(T813,SEARCH(H813,T813)-4,1)=" ",MID(T813,SEARCH(H813,T813)-2,LEN(#REF!)+2),MID(T813,SEARCH(H813,T813)-3,LEN(H813)+3)),U813&amp;"."&amp;H813),T813))</f>
        <v/>
      </c>
      <c r="AE813" t="str">
        <f t="shared" si="115"/>
        <v>[Terms of employment]</v>
      </c>
    </row>
    <row r="814" spans="1:32" ht="16" x14ac:dyDescent="0.2">
      <c r="A814">
        <v>100961</v>
      </c>
      <c r="B814" s="29" t="str">
        <f>DataItems3[[#This Row],[Field]]&amp;IF(DataItems3[[#This Row],[Options for supplying the Field]]="",""," "&amp;DataItems3[[#This Row],[Options for supplying the Field]])</f>
        <v>Awarding body (DF)</v>
      </c>
      <c r="C814">
        <v>100961</v>
      </c>
      <c r="D814" s="3" t="s">
        <v>2992</v>
      </c>
      <c r="F814" s="3" t="s">
        <v>3343</v>
      </c>
      <c r="G814" s="3" t="s">
        <v>2994</v>
      </c>
      <c r="H814" s="13" t="s">
        <v>3344</v>
      </c>
      <c r="I814" s="13"/>
      <c r="J814" s="13"/>
      <c r="Q814" s="3" t="s">
        <v>3345</v>
      </c>
      <c r="R814" s="16"/>
      <c r="S814" s="3" t="s">
        <v>3345</v>
      </c>
      <c r="T814" s="16"/>
      <c r="W814" s="3" t="s">
        <v>786</v>
      </c>
      <c r="X814" t="str">
        <f>DataItems3[[#This Row],[Collection]]&amp;DataItems3[[#This Row],[Field]]&amp;DataItems3[[#This Row],[Options for supplying the Field]]&amp;DataItems3[[#This Row],[Fieldname]]&amp;DataItems3[[#This Row],[Parent]]</f>
        <v>Data FuturesAwarding body(DF)Z_AWARDBOD_CYC</v>
      </c>
      <c r="Y814" s="15">
        <v>45050</v>
      </c>
      <c r="Z814" t="s">
        <v>2997</v>
      </c>
      <c r="AA814" s="28" t="str">
        <f t="shared" si="120"/>
        <v>df.Z_AWARDBOD_CYC</v>
      </c>
      <c r="AB814" s="28" t="str">
        <f>IF(S814="","",IF(IFERROR(SEARCH("select",S814)&gt;0,0),IF(W814="",IF(MID(S814,SEARCH(H814,S814)-4,1)=" ",MID(S814,SEARCH(H814,S814)-2,LEN(#REF!)+2),MID(S814,SEARCH(H814,S814)-3,LEN(H814)+3)),W814&amp;"."&amp;H814),S814))</f>
        <v>df.Z_AWARDBOD_CYC</v>
      </c>
      <c r="AC814" s="28" t="str">
        <f t="shared" si="121"/>
        <v/>
      </c>
      <c r="AD814" s="28" t="str">
        <f>IF(T814="","",IF(IFERROR(SEARCH("select",T814)&gt;0,0),IF(U814="",IF(MID(T814,SEARCH(H814,T814)-4,1)=" ",MID(T814,SEARCH(H814,T814)-2,LEN(#REF!)+2),MID(T814,SEARCH(H814,T814)-3,LEN(H814)+3)),U814&amp;"."&amp;H814),T814))</f>
        <v/>
      </c>
      <c r="AE814" t="str">
        <f t="shared" si="115"/>
        <v>[Awarding body]</v>
      </c>
    </row>
    <row r="815" spans="1:32" ht="48" x14ac:dyDescent="0.2">
      <c r="A815">
        <v>100963</v>
      </c>
      <c r="B815" s="29" t="str">
        <f>DataItems3[[#This Row],[Field]]&amp;IF(DataItems3[[#This Row],[Options for supplying the Field]]="",""," "&amp;DataItems3[[#This Row],[Options for supplying the Field]])</f>
        <v>Provider group (England - Approved (fee cap)/ England - Approved/ England - further education college/ Northern Ireland HE provider/ Scotland/ Wales HE Provider/ Northern Ireland further education college/ Wales further education college) (DF)</v>
      </c>
      <c r="C815">
        <v>100963</v>
      </c>
      <c r="D815" s="3" t="s">
        <v>2992</v>
      </c>
      <c r="F815" s="3" t="s">
        <v>3346</v>
      </c>
      <c r="G815" s="3" t="s">
        <v>2994</v>
      </c>
      <c r="H815" s="13" t="s">
        <v>3347</v>
      </c>
      <c r="I815" s="13"/>
      <c r="J815" s="13"/>
      <c r="Q815" s="3" t="s">
        <v>3348</v>
      </c>
      <c r="R815" s="16"/>
      <c r="S815" s="3" t="s">
        <v>3348</v>
      </c>
      <c r="T815" s="16"/>
      <c r="W815" s="3" t="s">
        <v>150</v>
      </c>
      <c r="X815" t="str">
        <f>DataItems3[[#This Row],[Collection]]&amp;DataItems3[[#This Row],[Field]]&amp;DataItems3[[#This Row],[Options for supplying the Field]]&amp;DataItems3[[#This Row],[Fieldname]]&amp;DataItems3[[#This Row],[Parent]]</f>
        <v>Data FuturesProvider group (England - Approved (fee cap)/ England - Approved/ England - further education college/ Northern Ireland HE provider/ Scotland/ Wales HE Provider/ Northern Ireland further education college/ Wales further education college)(DF)Z_PROVIDERCAT</v>
      </c>
      <c r="Y815" s="15">
        <v>45052</v>
      </c>
      <c r="Z815" t="s">
        <v>2997</v>
      </c>
      <c r="AA815" s="28" t="str">
        <f t="shared" si="120"/>
        <v>df.Z_PROVIDERCAT</v>
      </c>
      <c r="AB815" s="28" t="str">
        <f>IF(S815="","",IF(IFERROR(SEARCH("select",S815)&gt;0,0),IF(W815="",IF(MID(S815,SEARCH(H815,S815)-4,1)=" ",MID(S815,SEARCH(H815,S815)-2,LEN(#REF!)+2),MID(S815,SEARCH(H815,S815)-3,LEN(H815)+3)),W815&amp;"."&amp;H815),S815))</f>
        <v>df.Z_PROVIDERCAT</v>
      </c>
      <c r="AC815" s="28" t="str">
        <f t="shared" si="121"/>
        <v/>
      </c>
      <c r="AD815" s="28" t="str">
        <f>IF(T815="","",IF(IFERROR(SEARCH("select",T815)&gt;0,0),IF(U815="",IF(MID(T815,SEARCH(H815,T815)-4,1)=" ",MID(T815,SEARCH(H815,T815)-2,LEN(#REF!)+2),MID(T815,SEARCH(H815,T815)-3,LEN(H815)+3)),U815&amp;"."&amp;H815),T815))</f>
        <v/>
      </c>
      <c r="AE815" t="str">
        <f t="shared" si="115"/>
        <v>[Provider group (England - Approved (fee cap)/ England - Approved/ England - further education college/ Northern Ireland HE provider/ Scotland/ Wales HE Provider/ Northern Ireland further education college/ Wales further education college)]</v>
      </c>
    </row>
    <row r="816" spans="1:32" ht="16" x14ac:dyDescent="0.2">
      <c r="A816">
        <v>100966</v>
      </c>
      <c r="B816" s="29" t="str">
        <f>DataItems3[[#This Row],[Field]]&amp;IF(DataItems3[[#This Row],[Options for supplying the Field]]="",""," "&amp;DataItems3[[#This Row],[Options for supplying the Field]])</f>
        <v>Level of study (Full) (DF)</v>
      </c>
      <c r="C816">
        <v>100966</v>
      </c>
      <c r="D816" s="3" t="s">
        <v>2992</v>
      </c>
      <c r="F816" s="3" t="s">
        <v>1387</v>
      </c>
      <c r="G816" s="3" t="s">
        <v>3185</v>
      </c>
      <c r="H816" s="13" t="s">
        <v>3349</v>
      </c>
      <c r="I816" s="13"/>
      <c r="J816" s="13"/>
      <c r="Q816" s="3" t="s">
        <v>3350</v>
      </c>
      <c r="R816" s="16"/>
      <c r="S816" s="3" t="s">
        <v>3350</v>
      </c>
      <c r="T816" s="16"/>
      <c r="W816" s="3" t="s">
        <v>482</v>
      </c>
      <c r="X816" t="str">
        <f>DataItems3[[#This Row],[Collection]]&amp;DataItems3[[#This Row],[Field]]&amp;DataItems3[[#This Row],[Options for supplying the Field]]&amp;DataItems3[[#This Row],[Fieldname]]&amp;DataItems3[[#This Row],[Parent]]</f>
        <v>Data FuturesLevel of study(Full) (DF)Z_LEVEL</v>
      </c>
      <c r="Y816" s="15">
        <v>45055</v>
      </c>
      <c r="Z816" t="s">
        <v>2997</v>
      </c>
      <c r="AA816" s="28" t="str">
        <f t="shared" si="120"/>
        <v>df.Z_LEVEL</v>
      </c>
      <c r="AB816" s="28" t="str">
        <f>IF(S816="","",IF(IFERROR(SEARCH("select",S816)&gt;0,0),IF(W816="",IF(MID(S816,SEARCH(H816,S816)-4,1)=" ",MID(S816,SEARCH(H816,S816)-2,LEN(#REF!)+2),MID(S816,SEARCH(H816,S816)-3,LEN(H816)+3)),W816&amp;"."&amp;H816),S816))</f>
        <v>df.Z_LEVEL</v>
      </c>
      <c r="AC816" s="28" t="str">
        <f t="shared" si="121"/>
        <v/>
      </c>
      <c r="AD816" s="28" t="str">
        <f>IF(T816="","",IF(IFERROR(SEARCH("select",T816)&gt;0,0),IF(U816="",IF(MID(T816,SEARCH(H816,T816)-4,1)=" ",MID(T816,SEARCH(H816,T816)-2,LEN(#REF!)+2),MID(T816,SEARCH(H816,T816)-3,LEN(H816)+3)),U816&amp;"."&amp;H816),T816))</f>
        <v/>
      </c>
      <c r="AE816" t="str">
        <f t="shared" si="115"/>
        <v>[Level of study]</v>
      </c>
    </row>
    <row r="817" spans="1:32" ht="16" x14ac:dyDescent="0.2">
      <c r="A817">
        <v>100979</v>
      </c>
      <c r="B817" s="29" t="str">
        <f>DataItems3[[#This Row],[Field]]&amp;IF(DataItems3[[#This Row],[Options for supplying the Field]]="",""," "&amp;DataItems3[[#This Row],[Options for supplying the Field]])</f>
        <v>Top 3 A levels (DF)</v>
      </c>
      <c r="C817">
        <v>100979</v>
      </c>
      <c r="D817" s="3" t="s">
        <v>2992</v>
      </c>
      <c r="F817" s="3" t="s">
        <v>3351</v>
      </c>
      <c r="G817" s="3" t="s">
        <v>2994</v>
      </c>
      <c r="H817" s="13" t="s">
        <v>3352</v>
      </c>
      <c r="I817" s="3" t="s">
        <v>3353</v>
      </c>
      <c r="J817" s="13">
        <v>2</v>
      </c>
      <c r="Q817" s="3" t="s">
        <v>3354</v>
      </c>
      <c r="R817" s="16"/>
      <c r="S817" s="3" t="s">
        <v>3354</v>
      </c>
      <c r="T817" s="16"/>
      <c r="W817" s="3" t="s">
        <v>145</v>
      </c>
      <c r="X817" t="str">
        <f>DataItems3[[#This Row],[Collection]]&amp;DataItems3[[#This Row],[Field]]&amp;DataItems3[[#This Row],[Options for supplying the Field]]&amp;DataItems3[[#This Row],[Fieldname]]&amp;DataItems3[[#This Row],[Parent]]</f>
        <v>Data FuturesTop 3 A levels(DF)Z_ENTQUALAGRP2</v>
      </c>
      <c r="Y817" s="15">
        <v>45068</v>
      </c>
      <c r="Z817" t="s">
        <v>2997</v>
      </c>
      <c r="AA817" s="28" t="str">
        <f t="shared" si="120"/>
        <v>df.Z_ENTQUALAGRP2</v>
      </c>
      <c r="AB817" s="28" t="str">
        <f>IF(S817="","",IF(IFERROR(SEARCH("select",S817)&gt;0,0),IF(W817="",IF(MID(S817,SEARCH(H817,S817)-4,1)=" ",MID(S817,SEARCH(H817,S817)-2,LEN(#REF!)+2),MID(S817,SEARCH(H817,S817)-3,LEN(H817)+3)),W817&amp;"."&amp;H817),S817))</f>
        <v>df.Z_ENTQUALAGRP2</v>
      </c>
      <c r="AC817" s="28" t="str">
        <f t="shared" si="121"/>
        <v/>
      </c>
      <c r="AD817" s="28" t="str">
        <f>IF(T817="","",IF(IFERROR(SEARCH("select",T817)&gt;0,0),IF(U817="",IF(MID(T817,SEARCH(H817,T817)-4,1)=" ",MID(T817,SEARCH(H817,T817)-2,LEN(#REF!)+2),MID(T817,SEARCH(H817,T817)-3,LEN(H817)+3)),U817&amp;"."&amp;H817),T817))</f>
        <v/>
      </c>
      <c r="AE817" t="str">
        <f t="shared" si="115"/>
        <v>[Top 3 A levels]</v>
      </c>
    </row>
    <row r="818" spans="1:32" ht="16" x14ac:dyDescent="0.2">
      <c r="A818">
        <v>100587</v>
      </c>
      <c r="B818" s="11" t="str">
        <f>DataItems3[[#This Row],[Field]]&amp;IF(DataItems3[[#This Row],[Options for supplying the Field]]="",""," "&amp;DataItems3[[#This Row],[Options for supplying the Field]])</f>
        <v>Top 4 A Levels</v>
      </c>
      <c r="C818">
        <v>100587</v>
      </c>
      <c r="D818" s="3" t="s">
        <v>86</v>
      </c>
      <c r="F818" s="3" t="s">
        <v>2697</v>
      </c>
      <c r="G818" s="13"/>
      <c r="H818" s="14" t="s">
        <v>2698</v>
      </c>
      <c r="I818" s="3" t="s">
        <v>3355</v>
      </c>
      <c r="J818" s="3">
        <v>2</v>
      </c>
      <c r="K818" s="3">
        <v>4</v>
      </c>
      <c r="L818" s="3">
        <v>2</v>
      </c>
      <c r="M818" s="3">
        <v>0</v>
      </c>
      <c r="N818" s="3" t="s">
        <v>89</v>
      </c>
      <c r="Q818" s="16" t="s">
        <v>2699</v>
      </c>
      <c r="R818" s="3" t="s">
        <v>91</v>
      </c>
      <c r="S818" s="16" t="s">
        <v>2699</v>
      </c>
      <c r="U818" s="3" t="s">
        <v>92</v>
      </c>
      <c r="V818" s="3" t="s">
        <v>93</v>
      </c>
      <c r="W818" s="77" t="s">
        <v>482</v>
      </c>
      <c r="X818" t="str">
        <f>DataItems3[[#This Row],[Collection]]&amp;DataItems3[[#This Row],[Field]]&amp;DataItems3[[#This Row],[Options for supplying the Field]]&amp;DataItems3[[#This Row],[Fieldname]]&amp;DataItems3[[#This Row],[Parent]]</f>
        <v>StudentTop 4 A LevelsF_ZTOP_ALEVELS</v>
      </c>
      <c r="Y818" s="15">
        <v>43395</v>
      </c>
      <c r="Z818" t="s">
        <v>828</v>
      </c>
      <c r="AA818" s="28" t="str">
        <f t="shared" si="120"/>
        <v>LEFT(RTRIM(d.F_ZTOP_ALEVELS+'XXXX'),4)</v>
      </c>
      <c r="AB818" s="28" t="str">
        <f>IF(S818="","",IF(IFERROR(SEARCH("select",S818)&gt;0,0),IF(U818="",IF(MID(S818,SEARCH(H818,S818)-4,1)=" ",MID(S818,SEARCH(H818,S818)-2,LEN(#REF!)+2),MID(S818,SEARCH(H818,S818)-3,LEN(H818)+3)),U818&amp;"."&amp;H818),S818))</f>
        <v>LEFT(RTRIM(d.F_ZTOP_ALEVELS+'XXXX'),4)</v>
      </c>
      <c r="AC818" s="28" t="str">
        <f t="shared" si="121"/>
        <v xml:space="preserve"> </v>
      </c>
      <c r="AD818" s="28" t="str">
        <f>IF(T818="","",IF(IFERROR(SEARCH("select",T818)&gt;0,0),IF(U818="",IF(MID(T818,SEARCH(H818,T818)-4,1)=" ",MID(T818,SEARCH(H818,T818)-2,LEN(#REF!)+2),MID(T818,SEARCH(H818,T818)-3,LEN(H818)+3)),U818&amp;"."&amp;H818),T818))</f>
        <v/>
      </c>
      <c r="AE818" t="str">
        <f t="shared" si="115"/>
        <v>[Top 4 A Levels]</v>
      </c>
      <c r="AF818">
        <v>100979</v>
      </c>
    </row>
    <row r="819" spans="1:32" ht="16" x14ac:dyDescent="0.2">
      <c r="A819">
        <v>100588</v>
      </c>
      <c r="B819" s="11" t="str">
        <f>DataItems3[[#This Row],[Field]]&amp;IF(DataItems3[[#This Row],[Options for supplying the Field]]="",""," "&amp;DataItems3[[#This Row],[Options for supplying the Field]])</f>
        <v>Top 6 Highers</v>
      </c>
      <c r="C819">
        <v>100588</v>
      </c>
      <c r="D819" s="3" t="s">
        <v>86</v>
      </c>
      <c r="F819" s="3" t="s">
        <v>3356</v>
      </c>
      <c r="G819" s="13"/>
      <c r="H819" s="14" t="s">
        <v>3357</v>
      </c>
      <c r="I819" s="3" t="s">
        <v>3358</v>
      </c>
      <c r="J819" s="3">
        <v>2</v>
      </c>
      <c r="K819" s="3">
        <v>4</v>
      </c>
      <c r="L819" s="3">
        <v>2</v>
      </c>
      <c r="M819" s="3">
        <v>0</v>
      </c>
      <c r="N819" s="3" t="s">
        <v>89</v>
      </c>
      <c r="Q819" s="16" t="s">
        <v>3359</v>
      </c>
      <c r="R819" s="3" t="s">
        <v>91</v>
      </c>
      <c r="S819" s="16" t="s">
        <v>3359</v>
      </c>
      <c r="U819" s="3" t="s">
        <v>92</v>
      </c>
      <c r="V819" s="3" t="s">
        <v>93</v>
      </c>
      <c r="W819" s="77" t="s">
        <v>549</v>
      </c>
      <c r="X819" t="str">
        <f>DataItems3[[#This Row],[Collection]]&amp;DataItems3[[#This Row],[Field]]&amp;DataItems3[[#This Row],[Options for supplying the Field]]&amp;DataItems3[[#This Row],[Fieldname]]&amp;DataItems3[[#This Row],[Parent]]</f>
        <v>StudentTop 6 HighersF_ZTOP_HIGHERS</v>
      </c>
      <c r="Y819" s="15">
        <v>43395</v>
      </c>
      <c r="Z819" t="s">
        <v>828</v>
      </c>
      <c r="AA819" s="28" t="str">
        <f t="shared" si="120"/>
        <v>LEFT(RTRIM(d.F_ZTOP_HIGHERS+'XXXXXX'),6)</v>
      </c>
      <c r="AB819" s="28" t="str">
        <f>IF(S819="","",IF(IFERROR(SEARCH("select",S819)&gt;0,0),IF(U819="",IF(MID(S819,SEARCH(H819,S819)-4,1)=" ",MID(S819,SEARCH(H819,S819)-2,LEN(O826)+2),MID(S819,SEARCH(H819,S819)-3,LEN(H819)+3)),U819&amp;"."&amp;H819),S819))</f>
        <v>LEFT(RTRIM(d.F_ZTOP_HIGHERS+'XXXXXX'),6)</v>
      </c>
      <c r="AC819" s="28" t="str">
        <f t="shared" si="121"/>
        <v xml:space="preserve"> </v>
      </c>
      <c r="AD819" s="28" t="str">
        <f>IF(T819="","",IF(IFERROR(SEARCH("select",T819)&gt;0,0),IF(U819="",IF(MID(T819,SEARCH(H819,T819)-4,1)=" ",MID(T819,SEARCH(H819,T819)-2,LEN(O826)+2),MID(T819,SEARCH(H819,T819)-3,LEN(H819)+3)),U819&amp;"."&amp;H819),T819))</f>
        <v/>
      </c>
      <c r="AE819" t="str">
        <f t="shared" si="115"/>
        <v>[Top 6 Highers]</v>
      </c>
      <c r="AF819">
        <v>100981</v>
      </c>
    </row>
    <row r="820" spans="1:32" ht="16" x14ac:dyDescent="0.2">
      <c r="A820">
        <v>101006</v>
      </c>
      <c r="B820" s="11" t="str">
        <f>DataItems3[[#This Row],[Field]]&amp;IF(DataItems3[[#This Row],[Options for supplying the Field]]="",""," "&amp;DataItems3[[#This Row],[Options for supplying the Field]])</f>
        <v>HE provider (DF)</v>
      </c>
      <c r="C820">
        <v>101006</v>
      </c>
      <c r="D820" s="3" t="s">
        <v>2992</v>
      </c>
      <c r="F820" s="3" t="s">
        <v>1109</v>
      </c>
      <c r="G820" s="3" t="s">
        <v>2994</v>
      </c>
      <c r="H820" s="14" t="s">
        <v>3360</v>
      </c>
      <c r="J820" s="3">
        <v>1</v>
      </c>
      <c r="K820" s="3">
        <v>5</v>
      </c>
      <c r="L820" s="3">
        <v>0</v>
      </c>
      <c r="M820" s="3">
        <v>0</v>
      </c>
      <c r="N820" s="3" t="s">
        <v>106</v>
      </c>
      <c r="Q820" s="16" t="s">
        <v>3361</v>
      </c>
      <c r="S820" s="16" t="s">
        <v>3361</v>
      </c>
      <c r="W820" s="78"/>
      <c r="X820" t="str">
        <f>DataItems3[[#This Row],[Collection]]&amp;DataItems3[[#This Row],[Field]]&amp;DataItems3[[#This Row],[Options for supplying the Field]]&amp;DataItems3[[#This Row],[Fieldname]]&amp;DataItems3[[#This Row],[Parent]]</f>
        <v>Data FuturesHE provider(DF)INSTID</v>
      </c>
      <c r="Y820" s="4">
        <v>45190</v>
      </c>
      <c r="Z820" t="s">
        <v>2463</v>
      </c>
      <c r="AA820" s="28" t="str">
        <f t="shared" si="120"/>
        <v>cast(df.INSTID as varchar)</v>
      </c>
      <c r="AB820" s="28" t="str">
        <f>IF(S820="","",IF(IFERROR(SEARCH("select",S820)&gt;0,0),IF(U820="",IF(MID(S820,SEARCH(H820,S820)-4,1)=" ",MID(S820,SEARCH(H820,S820)-2,LEN(O829)+2),MID(S820,SEARCH(H820,S820)-3,LEN(H820)+3)),U820&amp;"."&amp;H820),S820))</f>
        <v>cast(df.INSTID as varchar)</v>
      </c>
      <c r="AC820" s="28" t="str">
        <f>IF(T820="","",T820)</f>
        <v/>
      </c>
      <c r="AD820" s="28" t="str">
        <f>IF(T820="","",IF(IFERROR(SEARCH("select",T820)&gt;0,0),IF(U820="",IF(MID(T820,SEARCH(H820,T820)-4,1)=" ",MID(T820,SEARCH(H820,T820)-2,LEN(O829)+2),MID(T820,SEARCH(H820,T820)-3,LEN(H820)+3)),U820&amp;"."&amp;H820),T820))</f>
        <v/>
      </c>
      <c r="AE820" t="str">
        <f t="shared" si="115"/>
        <v>[HE provider]</v>
      </c>
    </row>
    <row r="821" spans="1:32" ht="16" x14ac:dyDescent="0.2">
      <c r="A821">
        <v>100981</v>
      </c>
      <c r="B821" s="29" t="str">
        <f>DataItems3[[#This Row],[Field]]&amp;IF(DataItems3[[#This Row],[Options for supplying the Field]]="",""," "&amp;DataItems3[[#This Row],[Options for supplying the Field]])</f>
        <v>Top 8 Highers (DF)</v>
      </c>
      <c r="C821">
        <v>100981</v>
      </c>
      <c r="D821" s="3" t="s">
        <v>2992</v>
      </c>
      <c r="F821" s="3" t="s">
        <v>3362</v>
      </c>
      <c r="G821" s="3" t="s">
        <v>2994</v>
      </c>
      <c r="H821" s="13" t="s">
        <v>3363</v>
      </c>
      <c r="I821" s="79" t="s">
        <v>3364</v>
      </c>
      <c r="J821" s="13">
        <v>2</v>
      </c>
      <c r="Q821" s="3" t="s">
        <v>3365</v>
      </c>
      <c r="R821" s="16"/>
      <c r="S821" s="3" t="s">
        <v>3365</v>
      </c>
      <c r="T821" s="16"/>
      <c r="W821" s="3" t="s">
        <v>786</v>
      </c>
      <c r="X821" t="str">
        <f>DataItems3[[#This Row],[Collection]]&amp;DataItems3[[#This Row],[Field]]&amp;DataItems3[[#This Row],[Options for supplying the Field]]&amp;DataItems3[[#This Row],[Fieldname]]&amp;DataItems3[[#This Row],[Parent]]</f>
        <v>Data FuturesTop 8 Highers(DF)Z_ENTQUALHGRP1</v>
      </c>
      <c r="Y821" s="15">
        <v>45070</v>
      </c>
      <c r="Z821" t="s">
        <v>2997</v>
      </c>
      <c r="AA821" s="28" t="str">
        <f t="shared" si="120"/>
        <v>df.Z_ENTQUALHGRP1</v>
      </c>
      <c r="AB821" s="28" t="str">
        <f>IF(S821="","",IF(IFERROR(SEARCH("select",S821)&gt;0,0),IF(W821="",IF(MID(S821,SEARCH(H821,S821)-4,1)=" ",MID(S821,SEARCH(H821,S821)-2,LEN(O828)+2),MID(S821,SEARCH(H821,S821)-3,LEN(H821)+3)),W821&amp;"."&amp;H821),S821))</f>
        <v>df.Z_ENTQUALHGRP1</v>
      </c>
      <c r="AC821" s="28" t="str">
        <f t="shared" ref="AC821:AC862" si="122">IF(R821="","",R821)</f>
        <v/>
      </c>
      <c r="AD821" s="28" t="str">
        <f>IF(T821="","",IF(IFERROR(SEARCH("select",T821)&gt;0,0),IF(U821="",IF(MID(T821,SEARCH(H821,T821)-4,1)=" ",MID(T821,SEARCH(H821,T821)-2,LEN(O828)+2),MID(T821,SEARCH(H821,T821)-3,LEN(H821)+3)),U821&amp;"."&amp;H821),T821))</f>
        <v/>
      </c>
      <c r="AE821" t="str">
        <f t="shared" si="115"/>
        <v>[Top 8 Highers]</v>
      </c>
    </row>
    <row r="822" spans="1:32" s="67" customFormat="1" ht="16" x14ac:dyDescent="0.2">
      <c r="A822" s="67">
        <v>100982</v>
      </c>
      <c r="B822" s="68" t="str">
        <f>DataItems3[[#This Row],[Field]]&amp;IF(DataItems3[[#This Row],[Options for supplying the Field]]="",""," "&amp;DataItems3[[#This Row],[Options for supplying the Field]])</f>
        <v>Total fee for Student course session including module instance fees (DF)</v>
      </c>
      <c r="C822" s="67">
        <v>100982</v>
      </c>
      <c r="D822" s="66" t="s">
        <v>2992</v>
      </c>
      <c r="E822" s="66"/>
      <c r="F822" s="66" t="s">
        <v>3366</v>
      </c>
      <c r="G822" s="66" t="s">
        <v>2994</v>
      </c>
      <c r="H822" s="69" t="s">
        <v>3367</v>
      </c>
      <c r="I822" s="66" t="s">
        <v>3368</v>
      </c>
      <c r="J822" s="69"/>
      <c r="K822" s="66"/>
      <c r="L822" s="66"/>
      <c r="M822" s="66"/>
      <c r="N822" s="66"/>
      <c r="O822" s="66"/>
      <c r="P822" s="66"/>
      <c r="Q822" s="66" t="s">
        <v>3369</v>
      </c>
      <c r="R822" s="75"/>
      <c r="S822" s="66" t="s">
        <v>3369</v>
      </c>
      <c r="T822" s="75"/>
      <c r="U822" s="66" t="s">
        <v>3253</v>
      </c>
      <c r="V822" s="3"/>
      <c r="W822" s="66" t="s">
        <v>587</v>
      </c>
      <c r="X822" s="67" t="str">
        <f>DataItems3[[#This Row],[Collection]]&amp;DataItems3[[#This Row],[Field]]&amp;DataItems3[[#This Row],[Options for supplying the Field]]&amp;DataItems3[[#This Row],[Fieldname]]&amp;DataItems3[[#This Row],[Parent]]</f>
        <v>Data FuturesTotal fee for Student course session including module instance fees(DF)Z_FEETOTSCS</v>
      </c>
      <c r="Y822" s="73">
        <v>45071</v>
      </c>
      <c r="Z822" s="67" t="s">
        <v>2997</v>
      </c>
      <c r="AA822" s="74" t="str">
        <f t="shared" si="120"/>
        <v>ddf.Z_FEETOTSCS</v>
      </c>
      <c r="AB822" s="74" t="str">
        <f>IF(S822="","",IF(IFERROR(SEARCH("select",S822)&gt;0,0),IF(W822="",IF(MID(S822,SEARCH(H822,S822)-4,1)=" ",MID(S822,SEARCH(H822,S822)-2,LEN(O829)+2),MID(S822,SEARCH(H822,S822)-3,LEN(H822)+3)),W822&amp;"."&amp;H822),S822))</f>
        <v>ddf.Z_FEETOTSCS</v>
      </c>
      <c r="AC822" s="74" t="str">
        <f t="shared" si="122"/>
        <v/>
      </c>
      <c r="AD822" s="74" t="str">
        <f>IF(T822="","",IF(IFERROR(SEARCH("select",T822)&gt;0,0),IF(U822="",IF(MID(T822,SEARCH(H822,T822)-4,1)=" ",MID(T822,SEARCH(H822,T822)-2,LEN(O829)+2),MID(T822,SEARCH(H822,T822)-3,LEN(H822)+3)),U822&amp;"."&amp;H822),T822))</f>
        <v/>
      </c>
      <c r="AE822" s="67" t="str">
        <f t="shared" si="115"/>
        <v>[Total fee for Student course session including module instance fees]</v>
      </c>
    </row>
    <row r="823" spans="1:32" ht="32" x14ac:dyDescent="0.2">
      <c r="A823">
        <v>100983</v>
      </c>
      <c r="B823" s="29" t="str">
        <f>DataItems3[[#This Row],[Field]]&amp;IF(DataItems3[[#This Row],[Options for supplying the Field]]="",""," "&amp;DataItems3[[#This Row],[Options for supplying the Field]])</f>
        <v>Total student load for the Engagement across the cycle (DF)</v>
      </c>
      <c r="C823">
        <v>100983</v>
      </c>
      <c r="D823" s="3" t="s">
        <v>2992</v>
      </c>
      <c r="F823" s="3" t="s">
        <v>3370</v>
      </c>
      <c r="G823" s="3" t="s">
        <v>2994</v>
      </c>
      <c r="H823" s="13" t="s">
        <v>3371</v>
      </c>
      <c r="I823" s="13" t="s">
        <v>3372</v>
      </c>
      <c r="J823" s="13"/>
      <c r="Q823" s="3" t="s">
        <v>3373</v>
      </c>
      <c r="R823" s="16"/>
      <c r="S823" s="3" t="s">
        <v>3373</v>
      </c>
      <c r="T823" s="16"/>
      <c r="W823" s="3" t="s">
        <v>3374</v>
      </c>
      <c r="X823" t="str">
        <f>DataItems3[[#This Row],[Collection]]&amp;DataItems3[[#This Row],[Field]]&amp;DataItems3[[#This Row],[Options for supplying the Field]]&amp;DataItems3[[#This Row],[Fieldname]]&amp;DataItems3[[#This Row],[Parent]]</f>
        <v>Data FuturesTotal student load for the Engagement across the cycle(DF)Z_STULOAD_CYC</v>
      </c>
      <c r="Y823" s="15">
        <v>45072</v>
      </c>
      <c r="Z823" t="s">
        <v>2997</v>
      </c>
      <c r="AA823" s="28" t="str">
        <f t="shared" si="120"/>
        <v>df.Z_STULOAD_CYC</v>
      </c>
      <c r="AB823" s="28" t="str">
        <f>IF(S823="","",IF(IFERROR(SEARCH("select",S823)&gt;0,0),IF(W823="",IF(MID(S823,SEARCH(H823,S823)-4,1)=" ",MID(S823,SEARCH(H823,S823)-2,LEN(O830)+2),MID(S823,SEARCH(H823,S823)-3,LEN(H823)+3)),W823&amp;"."&amp;H823),S823))</f>
        <v>df.Z_STULOAD_CYC</v>
      </c>
      <c r="AC823" s="28" t="str">
        <f t="shared" si="122"/>
        <v/>
      </c>
      <c r="AD823" s="28" t="str">
        <f>IF(T823="","",IF(IFERROR(SEARCH("select",T823)&gt;0,0),IF(U823="",IF(MID(T823,SEARCH(H823,T823)-4,1)=" ",MID(T823,SEARCH(H823,T823)-2,LEN(O830)+2),MID(T823,SEARCH(H823,T823)-3,LEN(H823)+3)),U823&amp;"."&amp;H823),T823))</f>
        <v/>
      </c>
      <c r="AE823" t="str">
        <f t="shared" si="115"/>
        <v>[Total student load for the Engagement across the cycle]</v>
      </c>
    </row>
    <row r="824" spans="1:32" ht="16" x14ac:dyDescent="0.2">
      <c r="A824">
        <v>100984</v>
      </c>
      <c r="B824" s="29" t="str">
        <f>DataItems3[[#This Row],[Field]]&amp;IF(DataItems3[[#This Row],[Options for supplying the Field]]="",""," "&amp;DataItems3[[#This Row],[Options for supplying the Field]])</f>
        <v>Total student load for the Student course session to date (DF)</v>
      </c>
      <c r="C824">
        <v>100984</v>
      </c>
      <c r="D824" s="3" t="s">
        <v>2992</v>
      </c>
      <c r="F824" s="3" t="s">
        <v>3375</v>
      </c>
      <c r="G824" s="3" t="s">
        <v>2994</v>
      </c>
      <c r="H824" s="13" t="s">
        <v>3376</v>
      </c>
      <c r="I824" s="13" t="s">
        <v>3377</v>
      </c>
      <c r="J824" s="13"/>
      <c r="Q824" s="3" t="s">
        <v>3378</v>
      </c>
      <c r="R824" s="16"/>
      <c r="S824" s="3" t="s">
        <v>3378</v>
      </c>
      <c r="T824" s="16"/>
      <c r="U824" s="3" t="s">
        <v>3253</v>
      </c>
      <c r="W824" s="3" t="s">
        <v>3374</v>
      </c>
      <c r="X824" t="str">
        <f>DataItems3[[#This Row],[Collection]]&amp;DataItems3[[#This Row],[Field]]&amp;DataItems3[[#This Row],[Options for supplying the Field]]&amp;DataItems3[[#This Row],[Fieldname]]&amp;DataItems3[[#This Row],[Parent]]</f>
        <v>Data FuturesTotal student load for the Student course session to date(DF)Z_STULOADSCS</v>
      </c>
      <c r="Y824" s="15">
        <v>45073</v>
      </c>
      <c r="Z824" t="s">
        <v>2997</v>
      </c>
      <c r="AA824" s="28" t="str">
        <f t="shared" si="120"/>
        <v>ddf.Z_STULOADSCS</v>
      </c>
      <c r="AB824" s="28" t="str">
        <f>IF(S824="","",IF(IFERROR(SEARCH("select",S824)&gt;0,0),IF(W824="",IF(MID(S824,SEARCH(H824,S824)-4,1)=" ",MID(S824,SEARCH(H824,S824)-2,LEN(O831)+2),MID(S824,SEARCH(H824,S824)-3,LEN(H824)+3)),W824&amp;"."&amp;H824),S824))</f>
        <v>ddf.Z_STULOADSCS</v>
      </c>
      <c r="AC824" s="28" t="str">
        <f t="shared" si="122"/>
        <v/>
      </c>
      <c r="AD824" s="28" t="str">
        <f>IF(T824="","",IF(IFERROR(SEARCH("select",T824)&gt;0,0),IF(U824="",IF(MID(T824,SEARCH(H824,T824)-4,1)=" ",MID(T824,SEARCH(H824,T824)-2,LEN(O831)+2),MID(T824,SEARCH(H824,T824)-3,LEN(H824)+3)),U824&amp;"."&amp;H824),T824))</f>
        <v/>
      </c>
      <c r="AE824" t="str">
        <f t="shared" si="115"/>
        <v>[Total student load for the Student course session to date]</v>
      </c>
    </row>
    <row r="825" spans="1:32" ht="16" x14ac:dyDescent="0.2">
      <c r="A825">
        <v>100985</v>
      </c>
      <c r="B825" s="29" t="str">
        <f>DataItems3[[#This Row],[Field]]&amp;IF(DataItems3[[#This Row],[Options for supplying the Field]]="",""," "&amp;DataItems3[[#This Row],[Options for supplying the Field]])</f>
        <v>Tariff (DF)</v>
      </c>
      <c r="C825">
        <v>100985</v>
      </c>
      <c r="D825" s="3" t="s">
        <v>2992</v>
      </c>
      <c r="F825" s="3" t="s">
        <v>3379</v>
      </c>
      <c r="G825" s="3" t="s">
        <v>2994</v>
      </c>
      <c r="H825" s="13" t="s">
        <v>3380</v>
      </c>
      <c r="I825" s="13"/>
      <c r="J825" s="13"/>
      <c r="Q825" s="3" t="s">
        <v>3381</v>
      </c>
      <c r="R825" s="16"/>
      <c r="S825" s="3" t="s">
        <v>3381</v>
      </c>
      <c r="T825" s="16"/>
      <c r="W825" s="3" t="s">
        <v>786</v>
      </c>
      <c r="X825" t="str">
        <f>DataItems3[[#This Row],[Collection]]&amp;DataItems3[[#This Row],[Field]]&amp;DataItems3[[#This Row],[Options for supplying the Field]]&amp;DataItems3[[#This Row],[Fieldname]]&amp;DataItems3[[#This Row],[Parent]]</f>
        <v>Data FuturesTariff(DF)Z_TARIFF</v>
      </c>
      <c r="Y825" s="15">
        <v>45074</v>
      </c>
      <c r="Z825" t="s">
        <v>2997</v>
      </c>
      <c r="AA825" s="28" t="str">
        <f t="shared" si="120"/>
        <v>case when df.Z_TARIFF = "" then "Unknown" else CAST(df.Z_TARIFF AS varchar) END</v>
      </c>
      <c r="AB825" s="28" t="str">
        <f>IF(S825="","",IF(IFERROR(SEARCH("select",S825)&gt;0,0),IF(W825="",IF(MID(S825,SEARCH(H825,S825)-4,1)=" ",MID(S825,SEARCH(H825,S825)-2,LEN(O832)+2),MID(S825,SEARCH(H825,S825)-3,LEN(H825)+3)),W825&amp;"."&amp;H825),S825))</f>
        <v>case when df.Z_TARIFF = "" then "Unknown" else CAST(df.Z_TARIFF AS varchar) END</v>
      </c>
      <c r="AC825" s="28" t="str">
        <f t="shared" si="122"/>
        <v/>
      </c>
      <c r="AD825" s="28" t="str">
        <f>IF(T825="","",IF(IFERROR(SEARCH("select",T825)&gt;0,0),IF(U825="",IF(MID(T825,SEARCH(H825,T825)-4,1)=" ",MID(T825,SEARCH(H825,T825)-2,LEN(O832)+2),MID(T825,SEARCH(H825,T825)-3,LEN(H825)+3)),U825&amp;"."&amp;H825),T825))</f>
        <v/>
      </c>
      <c r="AE825" t="str">
        <f t="shared" si="115"/>
        <v>[Tariff]</v>
      </c>
    </row>
    <row r="826" spans="1:32" ht="16" x14ac:dyDescent="0.2">
      <c r="A826">
        <v>100988</v>
      </c>
      <c r="B826" s="29" t="str">
        <f>DataItems3[[#This Row],[Field]]&amp;IF(DataItems3[[#This Row],[Options for supplying the Field]]="",""," "&amp;DataItems3[[#This Row],[Options for supplying the Field]])</f>
        <v>Transgender (DF)</v>
      </c>
      <c r="C826">
        <v>100988</v>
      </c>
      <c r="D826" s="3" t="s">
        <v>2992</v>
      </c>
      <c r="F826" s="3" t="s">
        <v>3382</v>
      </c>
      <c r="G826" s="3" t="s">
        <v>2994</v>
      </c>
      <c r="H826" s="13" t="s">
        <v>3383</v>
      </c>
      <c r="I826" s="13"/>
      <c r="J826" s="13"/>
      <c r="Q826" s="3" t="s">
        <v>3384</v>
      </c>
      <c r="R826" s="16"/>
      <c r="S826" s="3" t="s">
        <v>3384</v>
      </c>
      <c r="T826" s="16"/>
      <c r="W826" s="3" t="s">
        <v>3088</v>
      </c>
      <c r="X826" t="str">
        <f>DataItems3[[#This Row],[Collection]]&amp;DataItems3[[#This Row],[Field]]&amp;DataItems3[[#This Row],[Options for supplying the Field]]&amp;DataItems3[[#This Row],[Fieldname]]&amp;DataItems3[[#This Row],[Parent]]</f>
        <v>Data FuturesTransgender(DF)Z_TRANS</v>
      </c>
      <c r="Y826" s="15">
        <v>45077</v>
      </c>
      <c r="Z826" t="s">
        <v>2997</v>
      </c>
      <c r="AA826" s="28" t="str">
        <f t="shared" si="120"/>
        <v>CASE WHEN df.TRANS IN ('', ' ','99') THEN 'Unknown/Not available' ELSE ISNULL(df.TRANS, 'Unknown/Not available')END</v>
      </c>
      <c r="AB826" s="28" t="str">
        <f>IF(S826="","",IF(IFERROR(SEARCH("select",S826)&gt;0,0),IF(W826="",IF(MID(S826,SEARCH(H826,S826)-4,1)=" ",MID(S826,SEARCH(H826,S826)-2,LEN(O834)+2),MID(S826,SEARCH(H826,S826)-3,LEN(H826)+3)),W826&amp;"."&amp;H826),S826))</f>
        <v>CASE WHEN df.TRANS IN ('', ' ','99') THEN 'Unknown/Not available' ELSE ISNULL(df.TRANS, 'Unknown/Not available')END</v>
      </c>
      <c r="AC826" s="28" t="str">
        <f t="shared" si="122"/>
        <v/>
      </c>
      <c r="AD826" s="28" t="str">
        <f>IF(T826="","",IF(IFERROR(SEARCH("select",T826)&gt;0,0),IF(U826="",IF(MID(T826,SEARCH(H826,T826)-4,1)=" ",MID(T826,SEARCH(H826,T826)-2,LEN(O834)+2),MID(T826,SEARCH(H826,T826)-3,LEN(H826)+3)),U826&amp;"."&amp;H826),T826))</f>
        <v/>
      </c>
      <c r="AE826" t="str">
        <f t="shared" si="115"/>
        <v>[Transgender]</v>
      </c>
    </row>
    <row r="827" spans="1:32" ht="16" x14ac:dyDescent="0.2">
      <c r="A827">
        <v>100589</v>
      </c>
      <c r="B827" s="11" t="str">
        <f>DataItems3[[#This Row],[Field]]&amp;IF(DataItems3[[#This Row],[Options for supplying the Field]]="",""," "&amp;DataItems3[[#This Row],[Options for supplying the Field]])</f>
        <v>Type of activity</v>
      </c>
      <c r="C827">
        <v>100589</v>
      </c>
      <c r="D827" s="3" t="s">
        <v>562</v>
      </c>
      <c r="F827" s="3" t="s">
        <v>2700</v>
      </c>
      <c r="G827" s="13"/>
      <c r="H827" s="14" t="s">
        <v>2701</v>
      </c>
      <c r="J827" s="3">
        <v>1</v>
      </c>
      <c r="K827" s="3">
        <v>2</v>
      </c>
      <c r="L827" s="3">
        <v>0</v>
      </c>
      <c r="M827" s="3">
        <v>0</v>
      </c>
      <c r="Q827" s="16" t="s">
        <v>2702</v>
      </c>
      <c r="R827" s="3" t="s">
        <v>93</v>
      </c>
      <c r="S827" s="16" t="s">
        <v>2703</v>
      </c>
      <c r="U827" s="3" t="s">
        <v>567</v>
      </c>
      <c r="V827" s="3" t="s">
        <v>93</v>
      </c>
      <c r="W827" s="77" t="s">
        <v>114</v>
      </c>
      <c r="X827" t="str">
        <f>DataItems3[[#This Row],[Collection]]&amp;DataItems3[[#This Row],[Field]]&amp;DataItems3[[#This Row],[Options for supplying the Field]]&amp;DataItems3[[#This Row],[Fieldname]]&amp;DataItems3[[#This Row],[Parent]]</f>
        <v>AORType of activityF_TYPE</v>
      </c>
      <c r="Y827" s="15">
        <v>43684</v>
      </c>
      <c r="Z827" t="s">
        <v>95</v>
      </c>
      <c r="AA827" s="28" t="str">
        <f t="shared" si="120"/>
        <v>cast(a.F_TYPE as varchar)</v>
      </c>
      <c r="AB827" s="28" t="str">
        <f>IF(S827="","",IF(IFERROR(SEARCH("select",S827)&gt;0,0),IF(U827="",IF(MID(S827,SEARCH(H827,S827)-4,1)=" ",MID(S827,SEARCH(H827,S827)-2,LEN(O835)+2),MID(S827,SEARCH(H827,S827)-3,LEN(H827)+3)),U827&amp;"."&amp;H827),S827))</f>
        <v>a.F_TYPE</v>
      </c>
      <c r="AC827" s="28" t="str">
        <f t="shared" si="122"/>
        <v/>
      </c>
      <c r="AD827" s="28" t="str">
        <f>IF(T827="","",IF(IFERROR(SEARCH("select",T827)&gt;0,0),IF(U827="",IF(MID(T827,SEARCH(H827,T827)-4,1)=" ",MID(T827,SEARCH(H827,T827)-2,LEN(O835)+2),MID(T827,SEARCH(H827,T827)-3,LEN(H827)+3)),U827&amp;"."&amp;H827),T827))</f>
        <v/>
      </c>
      <c r="AE827" t="str">
        <f t="shared" si="115"/>
        <v>[Type of activity]</v>
      </c>
    </row>
    <row r="828" spans="1:32" ht="16" x14ac:dyDescent="0.2">
      <c r="A828">
        <v>100887</v>
      </c>
      <c r="B828" s="29" t="str">
        <f>DataItems3[[#This Row],[Field]]&amp;IF(DataItems3[[#This Row],[Options for supplying the Field]]="",""," "&amp;DataItems3[[#This Row],[Options for supplying the Field]])</f>
        <v>Type of Qualification (2007/08-2010/11)</v>
      </c>
      <c r="C828">
        <v>100887</v>
      </c>
      <c r="D828" s="3" t="s">
        <v>146</v>
      </c>
      <c r="F828" s="3" t="s">
        <v>2835</v>
      </c>
      <c r="G828" s="13" t="s">
        <v>2046</v>
      </c>
      <c r="H828" s="13" t="s">
        <v>2836</v>
      </c>
      <c r="I828" s="13"/>
      <c r="J828" s="3">
        <v>1</v>
      </c>
      <c r="K828" s="3">
        <v>2</v>
      </c>
      <c r="L828" s="3">
        <v>0</v>
      </c>
      <c r="M828" s="3">
        <v>0</v>
      </c>
      <c r="N828" s="3" t="s">
        <v>89</v>
      </c>
      <c r="Q828" s="16" t="s">
        <v>3385</v>
      </c>
      <c r="S828" s="16" t="s">
        <v>3385</v>
      </c>
      <c r="W828" s="77" t="s">
        <v>2837</v>
      </c>
      <c r="X828" t="str">
        <f>DataItems3[[#This Row],[Collection]]&amp;DataItems3[[#This Row],[Field]]&amp;DataItems3[[#This Row],[Options for supplying the Field]]&amp;DataItems3[[#This Row],[Fieldname]]&amp;DataItems3[[#This Row],[Parent]]</f>
        <v>DLHEType of Qualification(2007/08-2010/11)F_TYPEQUAL</v>
      </c>
      <c r="Y828" s="4">
        <v>44840</v>
      </c>
      <c r="Z828" t="s">
        <v>2055</v>
      </c>
      <c r="AA828" s="28" t="str">
        <f t="shared" si="120"/>
        <v>CASE WHEN s.DW_FromDate &gt;=20110801 THEN 'N/A year' WHEN s.F_XPDLHE02!='1' AND ISNULL(dh.F_XPDLHE,'0')!='1' AND ISNULL(dh.F_XACTIV01,'X')='X' THEN 'NDLHE' WHEN CAST(dh.F_TYPEQUAL AS VARCHAR(10)) IN ('',' ','  ',NULL) THEN 'UNK/NA' ELSE CAST(ISNULL(dh.F_TYPEQUAL,'UNK/NA') AS VARCHAR(10)) END</v>
      </c>
      <c r="AB828" s="28" t="str">
        <f>IF(S828="","",IF(IFERROR(SEARCH("select",S828)&gt;0,0),IF(U828="",IF(MID(S828,SEARCH(H828,S828)-4,1)=" ",MID(S828,SEARCH(H828,S828)-2,LEN(O854)+2),MID(S828,SEARCH(H828,S828)-3,LEN(H828)+3)),U828&amp;"."&amp;H828),S828))</f>
        <v>CASE WHEN s.DW_FromDate &gt;=20110801 THEN 'N/A year' WHEN s.F_XPDLHE02!='1' AND ISNULL(dh.F_XPDLHE,'0')!='1' AND ISNULL(dh.F_XACTIV01,'X')='X' THEN 'NDLHE' WHEN CAST(dh.F_TYPEQUAL AS VARCHAR(10)) IN ('',' ','  ',NULL) THEN 'UNK/NA' ELSE CAST(ISNULL(dh.F_TYPEQUAL,'UNK/NA') AS VARCHAR(10)) END</v>
      </c>
      <c r="AC828" s="28" t="str">
        <f t="shared" si="122"/>
        <v/>
      </c>
      <c r="AD828" s="28" t="str">
        <f>IF(T828="","",IF(IFERROR(SEARCH("select",T828)&gt;0,0),IF(U828="",IF(MID(T828,SEARCH(H828,T828)-4,1)=" ",MID(T828,SEARCH(H828,T828)-2,LEN(O836)+2),MID(T828,SEARCH(H828,T828)-3,LEN(H828)+3)),U828&amp;"."&amp;H828),T828))</f>
        <v/>
      </c>
      <c r="AE828" t="str">
        <f t="shared" si="115"/>
        <v>[Type of Qualification]</v>
      </c>
    </row>
    <row r="829" spans="1:32" ht="16" x14ac:dyDescent="0.2">
      <c r="A829">
        <v>100888</v>
      </c>
      <c r="B829" s="29" t="str">
        <f>DataItems3[[#This Row],[Field]]&amp;IF(DataItems3[[#This Row],[Options for supplying the Field]]="",""," "&amp;DataItems3[[#This Row],[Options for supplying the Field]])</f>
        <v>Type of Qualification (2011/12-2016/17)</v>
      </c>
      <c r="C829">
        <v>100888</v>
      </c>
      <c r="D829" s="3" t="s">
        <v>146</v>
      </c>
      <c r="F829" s="3" t="s">
        <v>2835</v>
      </c>
      <c r="G829" s="13" t="s">
        <v>2053</v>
      </c>
      <c r="H829" s="13" t="s">
        <v>2836</v>
      </c>
      <c r="I829" s="13"/>
      <c r="J829" s="3">
        <v>1</v>
      </c>
      <c r="K829" s="3">
        <v>2</v>
      </c>
      <c r="L829" s="3">
        <v>0</v>
      </c>
      <c r="M829" s="3">
        <v>0</v>
      </c>
      <c r="N829" s="3" t="s">
        <v>89</v>
      </c>
      <c r="Q829" s="16" t="s">
        <v>3386</v>
      </c>
      <c r="S829" s="16" t="s">
        <v>3386</v>
      </c>
      <c r="W829" s="77" t="s">
        <v>2837</v>
      </c>
      <c r="X829" t="str">
        <f>DataItems3[[#This Row],[Collection]]&amp;DataItems3[[#This Row],[Field]]&amp;DataItems3[[#This Row],[Options for supplying the Field]]&amp;DataItems3[[#This Row],[Fieldname]]&amp;DataItems3[[#This Row],[Parent]]</f>
        <v>DLHEType of Qualification(2011/12-2016/17)F_TYPEQUAL</v>
      </c>
      <c r="Y829" s="4">
        <v>44840</v>
      </c>
      <c r="Z829" t="s">
        <v>2055</v>
      </c>
      <c r="AA829" s="28" t="str">
        <f t="shared" si="120"/>
        <v>CASE WHEN s.DW_FromDate &lt;20110801 THEN 'N/A year'  WHEN s.f_xpdlhe02 != '1'AND ISNULL(dh.f_xpubpopd01, '0') != '1' AND ISNULL(dh.f_xactiv02, 'XX') = 'XX' THEN 'NDLHE'  WHEN CAST(dh.F_TYPEQUAL AS VARCHAR(10)) IN ('',' ','  ',NULL) THEN 'UNK/NA' ELSE CAST(ISNULL(dh.F_TYPEQUAL,'UNK/NA') AS VARCHAR(10)) END</v>
      </c>
      <c r="AB829" s="28" t="str">
        <f>IF(S829="","",IF(IFERROR(SEARCH("select",S829)&gt;0,0),IF(U829="",IF(MID(S829,SEARCH(H829,S829)-4,1)=" ",MID(S829,SEARCH(H829,S829)-2,LEN(O854)+2),MID(S829,SEARCH(H829,S829)-3,LEN(H829)+3)),U829&amp;"."&amp;H829),S829))</f>
        <v>CASE WHEN s.DW_FromDate &lt;20110801 THEN 'N/A year'  WHEN s.f_xpdlhe02 != '1'AND ISNULL(dh.f_xpubpopd01, '0') != '1' AND ISNULL(dh.f_xactiv02, 'XX') = 'XX' THEN 'NDLHE'  WHEN CAST(dh.F_TYPEQUAL AS VARCHAR(10)) IN ('',' ','  ',NULL) THEN 'UNK/NA' ELSE CAST(ISNULL(dh.F_TYPEQUAL,'UNK/NA') AS VARCHAR(10)) END</v>
      </c>
      <c r="AC829" s="28" t="str">
        <f t="shared" si="122"/>
        <v/>
      </c>
      <c r="AD829" s="28" t="str">
        <f>IF(T829="","",IF(IFERROR(SEARCH("select",T829)&gt;0,0),IF(U829="",IF(MID(T829,SEARCH(H829,T829)-4,1)=" ",MID(T829,SEARCH(H829,T829)-2,LEN(O837)+2),MID(T829,SEARCH(H829,T829)-3,LEN(H829)+3)),U829&amp;"."&amp;H829),T829))</f>
        <v/>
      </c>
      <c r="AE829" t="str">
        <f t="shared" si="115"/>
        <v>[Type of Qualification]</v>
      </c>
    </row>
    <row r="830" spans="1:32" ht="16" x14ac:dyDescent="0.2">
      <c r="A830">
        <v>100645</v>
      </c>
      <c r="B830" s="19" t="str">
        <f>DataItems3[[#This Row],[Field]]&amp;IF(DataItems3[[#This Row],[Options for supplying the Field]]="",""," "&amp;DataItems3[[#This Row],[Options for supplying the Field]])</f>
        <v>Type of qualification [F_XSTUTYPEQUAL]</v>
      </c>
      <c r="C830">
        <v>100645</v>
      </c>
      <c r="D830" s="3" t="s">
        <v>151</v>
      </c>
      <c r="F830" s="3" t="s">
        <v>2704</v>
      </c>
      <c r="G830" s="13" t="str">
        <f>"["&amp;H830&amp;"]"</f>
        <v>[F_XSTUTYPEQUAL]</v>
      </c>
      <c r="H830" s="3" t="s">
        <v>2705</v>
      </c>
      <c r="J830" s="3">
        <v>1</v>
      </c>
      <c r="K830" s="3">
        <v>2</v>
      </c>
      <c r="L830" s="3">
        <v>0</v>
      </c>
      <c r="M830" s="3">
        <v>0</v>
      </c>
      <c r="P830" s="3" t="s">
        <v>1688</v>
      </c>
      <c r="Q830" s="16" t="s">
        <v>2706</v>
      </c>
      <c r="R830" s="3" t="s">
        <v>93</v>
      </c>
      <c r="S830" s="16" t="s">
        <v>2707</v>
      </c>
      <c r="U830" s="3" t="s">
        <v>2708</v>
      </c>
      <c r="V830" s="3" t="s">
        <v>93</v>
      </c>
      <c r="W830" s="77" t="s">
        <v>2909</v>
      </c>
      <c r="X830" t="str">
        <f>DataItems3[[#This Row],[Collection]]&amp;DataItems3[[#This Row],[Field]]&amp;DataItems3[[#This Row],[Options for supplying the Field]]&amp;DataItems3[[#This Row],[Fieldname]]&amp;DataItems3[[#This Row],[Parent]]</f>
        <v>Graduate OutcomesType of qualification[F_XSTUTYPEQUAL]F_XSTUTYPEQUALProvider &gt; Graduate &gt; Study:</v>
      </c>
      <c r="Y830" s="15">
        <v>44008</v>
      </c>
      <c r="Z830" t="s">
        <v>159</v>
      </c>
      <c r="AA830" s="28" t="str">
        <f t="shared" si="120"/>
        <v>CASE WHEN ISNULL(g.ZRESPSTATUS, '02')='02' OR ISNULL(g.XACTIVITY, '99')='99' THEN 'Not in GO publication population' else isnull(g.XSTUTYPEQUAL,'NA/UNK') end</v>
      </c>
      <c r="AB830" s="28" t="str">
        <f>IF(S830="","",IF(IFERROR(SEARCH("select",S830)&gt;0,0),IF(U830="",IF(MID(S830,SEARCH(H830,S830)-4,1)=" ",MID(S830,SEARCH(H830,S830)-2,LEN(#REF!)+2),MID(S830,SEARCH(H830,S830)-3,LEN(H830)+3)),U830&amp;"."&amp;H830),S830))</f>
        <v>CASE WHEN ISNULL(g.ZRESPSTATUS, '02')='02' OR ISNULL(g.XACTIVITY, '99')='99' THEN 'Not in GO publication population' WHEN g.XSTUTYPEQUAL = 'UN' THEN 'Unknown' WHEN g.XSTUTYPEQUAL = 'NA' THEN 'Not applicable'  ELSE isnull(typeq.label,'NA/UNK') end</v>
      </c>
      <c r="AC830" s="28" t="str">
        <f t="shared" si="122"/>
        <v/>
      </c>
      <c r="AD830" s="28" t="str">
        <f>IF(T830="","",IF(IFERROR(SEARCH("select",T830)&gt;0,0),IF(U830="",IF(MID(T830,SEARCH(H830,T830)-4,1)=" ",MID(T830,SEARCH(H830,T830)-2,LEN(#REF!)+2),MID(T830,SEARCH(H830,T830)-3,LEN(H830)+3)),U830&amp;"."&amp;H830),T830))</f>
        <v/>
      </c>
      <c r="AE830" t="str">
        <f t="shared" ref="AE830:AE876" si="123">IF(F830="","","["&amp;SUBSTITUTE(SUBSTITUTE(SUBSTITUTE(F830,"[","{"),"]","}"),"⁽"&amp;CHAR(185)&amp;"⁾","")&amp;"]")</f>
        <v>[Type of qualification]</v>
      </c>
    </row>
    <row r="831" spans="1:32" ht="16" x14ac:dyDescent="0.2">
      <c r="A831">
        <v>100591</v>
      </c>
      <c r="B831" s="11" t="str">
        <f>DataItems3[[#This Row],[Field]]&amp;IF(DataItems3[[#This Row],[Options for supplying the Field]]="",""," "&amp;DataItems3[[#This Row],[Options for supplying the Field]])</f>
        <v>Type of qualification [TYPEQUAL]</v>
      </c>
      <c r="C831">
        <v>100591</v>
      </c>
      <c r="D831" s="3" t="s">
        <v>151</v>
      </c>
      <c r="F831" s="3" t="s">
        <v>2704</v>
      </c>
      <c r="G831" s="13" t="s">
        <v>2709</v>
      </c>
      <c r="H831" s="3" t="s">
        <v>2710</v>
      </c>
      <c r="I831" s="3" t="s">
        <v>247</v>
      </c>
      <c r="J831" s="3">
        <v>1</v>
      </c>
      <c r="K831" s="3">
        <v>2</v>
      </c>
      <c r="L831" s="3">
        <v>0</v>
      </c>
      <c r="M831" s="3">
        <v>0</v>
      </c>
      <c r="P831" s="3" t="s">
        <v>1688</v>
      </c>
      <c r="Q831" s="16" t="s">
        <v>2711</v>
      </c>
      <c r="R831" s="3" t="s">
        <v>93</v>
      </c>
      <c r="S831" s="16" t="s">
        <v>2712</v>
      </c>
      <c r="U831" s="3" t="s">
        <v>2713</v>
      </c>
      <c r="V831" s="3" t="s">
        <v>93</v>
      </c>
      <c r="W831" s="77" t="s">
        <v>2909</v>
      </c>
      <c r="X831" t="str">
        <f>DataItems3[[#This Row],[Collection]]&amp;DataItems3[[#This Row],[Field]]&amp;DataItems3[[#This Row],[Options for supplying the Field]]&amp;DataItems3[[#This Row],[Fieldname]]&amp;DataItems3[[#This Row],[Parent]]</f>
        <v>Graduate OutcomesType of qualification[TYPEQUAL]TYPEQUALProvider &gt; Graduate &gt; Study:</v>
      </c>
      <c r="Y831" s="15">
        <v>43550</v>
      </c>
      <c r="Z831" t="s">
        <v>159</v>
      </c>
      <c r="AA831" s="28" t="str">
        <f t="shared" si="120"/>
        <v>CASE WHEN ISNULL(g.ZRESPSTATUS, '02')='02' OR ISNULL(g.XACTIVITY, '99')='99' THEN 'Not in GO publication population' else IIF(g.TYPEQUAL='','NA',ISNULL(g.TYPEQUAL,'NA'))  end</v>
      </c>
      <c r="AB831" s="28" t="str">
        <f>IF(S831="","",IF(IFERROR(SEARCH("select",S831)&gt;0,0),IF(U831="",IF(MID(S831,SEARCH(H831,S831)-4,1)=" ",MID(S831,SEARCH(H831,S831)-2,LEN(O838)+2),MID(S831,SEARCH(H831,S831)-3,LEN(H831)+3)),U831&amp;"."&amp;H831),S831))</f>
        <v>CASE WHEN ISNULL(g.ZRESPSTATUS, '02')='02' OR ISNULL(g.XACTIVITY, '99')='99' THEN 'Not in GO publication population' else IIF(isnull(g.TYPEQUAL,'')='','NA',typq.label)  end</v>
      </c>
      <c r="AC831" s="28" t="str">
        <f t="shared" si="122"/>
        <v/>
      </c>
      <c r="AD831" s="28" t="str">
        <f>IF(T831="","",IF(IFERROR(SEARCH("select",T831)&gt;0,0),IF(U831="",IF(MID(T831,SEARCH(H831,T831)-4,1)=" ",MID(T831,SEARCH(H831,T831)-2,LEN(O838)+2),MID(T831,SEARCH(H831,T831)-3,LEN(H831)+3)),U831&amp;"."&amp;H831),T831))</f>
        <v/>
      </c>
      <c r="AE831" t="str">
        <f t="shared" si="123"/>
        <v>[Type of qualification]</v>
      </c>
    </row>
    <row r="832" spans="1:32" ht="15" customHeight="1" x14ac:dyDescent="0.2">
      <c r="A832">
        <v>100592</v>
      </c>
      <c r="B832" s="11" t="str">
        <f>DataItems3[[#This Row],[Field]]&amp;IF(DataItems3[[#This Row],[Options for supplying the Field]]="",""," "&amp;DataItems3[[#This Row],[Options for supplying the Field]])</f>
        <v>Type of qualification of further study</v>
      </c>
      <c r="C832">
        <v>100592</v>
      </c>
      <c r="D832" s="3" t="s">
        <v>146</v>
      </c>
      <c r="F832" s="3" t="s">
        <v>2714</v>
      </c>
      <c r="G832" s="13"/>
      <c r="H832" s="14" t="s">
        <v>93</v>
      </c>
      <c r="J832" s="3">
        <v>2</v>
      </c>
      <c r="K832" s="3">
        <v>3</v>
      </c>
      <c r="L832" s="3">
        <v>0</v>
      </c>
      <c r="M832" s="3">
        <v>0</v>
      </c>
      <c r="N832" s="3" t="s">
        <v>106</v>
      </c>
      <c r="Q832" s="16" t="s">
        <v>93</v>
      </c>
      <c r="R832" s="3" t="s">
        <v>93</v>
      </c>
      <c r="S832" s="16" t="s">
        <v>93</v>
      </c>
      <c r="U832" s="3" t="s">
        <v>93</v>
      </c>
      <c r="V832" s="3" t="s">
        <v>93</v>
      </c>
      <c r="W832" s="77" t="s">
        <v>2926</v>
      </c>
      <c r="X832" t="str">
        <f>DataItems3[[#This Row],[Collection]]&amp;DataItems3[[#This Row],[Field]]&amp;DataItems3[[#This Row],[Options for supplying the Field]]&amp;DataItems3[[#This Row],[Fieldname]]&amp;DataItems3[[#This Row],[Parent]]</f>
        <v>DLHEType of qualification of further study</v>
      </c>
      <c r="Y832" s="15">
        <v>43416</v>
      </c>
      <c r="Z832" t="s">
        <v>95</v>
      </c>
      <c r="AA832" s="28" t="str">
        <f t="shared" si="120"/>
        <v/>
      </c>
      <c r="AB832" s="28" t="str">
        <f>IF(S832="","",IF(IFERROR(SEARCH("select",S832)&gt;0,0),IF(U832="",IF(MID(S832,SEARCH(H832,S832)-4,1)=" ",MID(S832,SEARCH(H832,S832)-2,LEN(O839)+2),MID(S832,SEARCH(H832,S832)-3,LEN(H832)+3)),U832&amp;"."&amp;H832),S832))</f>
        <v/>
      </c>
      <c r="AC832" s="28" t="str">
        <f t="shared" si="122"/>
        <v/>
      </c>
      <c r="AD832" s="28" t="str">
        <f>IF(T832="","",IF(IFERROR(SEARCH("select",T832)&gt;0,0),IF(U832="",IF(MID(T832,SEARCH(H832,T832)-4,1)=" ",MID(T832,SEARCH(H832,T832)-2,LEN(O839)+2),MID(T832,SEARCH(H832,T832)-3,LEN(H832)+3)),U832&amp;"."&amp;H832),T832))</f>
        <v/>
      </c>
      <c r="AE832" t="str">
        <f t="shared" si="123"/>
        <v>[Type of qualification of further study]</v>
      </c>
    </row>
    <row r="833" spans="1:31" ht="16" x14ac:dyDescent="0.2">
      <c r="A833">
        <v>100593</v>
      </c>
      <c r="B833" s="11" t="str">
        <f>DataItems3[[#This Row],[Field]]&amp;IF(DataItems3[[#This Row],[Options for supplying the Field]]="",""," "&amp;DataItems3[[#This Row],[Options for supplying the Field]])</f>
        <v>UK Provider reference number [UKPRN]</v>
      </c>
      <c r="C833">
        <v>100593</v>
      </c>
      <c r="D833" s="3" t="s">
        <v>151</v>
      </c>
      <c r="F833" s="3" t="s">
        <v>2715</v>
      </c>
      <c r="G833" s="13" t="s">
        <v>2716</v>
      </c>
      <c r="H833" s="3" t="s">
        <v>2717</v>
      </c>
      <c r="J833" s="3">
        <v>1</v>
      </c>
      <c r="K833" s="3">
        <v>2</v>
      </c>
      <c r="L833" s="3">
        <v>4</v>
      </c>
      <c r="M833" s="3">
        <v>0</v>
      </c>
      <c r="P833" s="3" t="s">
        <v>462</v>
      </c>
      <c r="Q833" s="16" t="s">
        <v>2718</v>
      </c>
      <c r="R833" s="3" t="s">
        <v>93</v>
      </c>
      <c r="S833" s="16" t="s">
        <v>2719</v>
      </c>
      <c r="U833" s="3" t="s">
        <v>2720</v>
      </c>
      <c r="V833" s="3" t="s">
        <v>93</v>
      </c>
      <c r="W833" s="77" t="s">
        <v>2909</v>
      </c>
      <c r="X833" t="str">
        <f>DataItems3[[#This Row],[Collection]]&amp;DataItems3[[#This Row],[Field]]&amp;DataItems3[[#This Row],[Options for supplying the Field]]&amp;DataItems3[[#This Row],[Fieldname]]&amp;DataItems3[[#This Row],[Parent]]</f>
        <v>Graduate OutcomesUK Provider reference number[UKPRN]UKPRNProvider:</v>
      </c>
      <c r="Y833" s="15">
        <v>43550</v>
      </c>
      <c r="Z833" t="s">
        <v>159</v>
      </c>
      <c r="AA833" s="28" t="str">
        <f t="shared" si="120"/>
        <v>CASE WHEN ISNULL(g.ZRESPSTATUS, '02')='02' OR ISNULL(g.XACTIVITY, '99')='99' THEN 'Not in GO publication population' else g.UKPRN end</v>
      </c>
      <c r="AB833" s="28" t="str">
        <f>IF(S833="","",IF(IFERROR(SEARCH("select",S833)&gt;0,0),IF(U833="",IF(MID(S833,SEARCH(H833,S833)-4,1)=" ",MID(S833,SEARCH(H833,S833)-2,LEN(O841)+2),MID(S833,SEARCH(H833,S833)-3,LEN(H833)+3)),U833&amp;"."&amp;H833),S833))</f>
        <v>CASE WHEN ISNULL(g.ZRESPSTATUS, '02')='02' OR ISNULL(g.XACTIVITY, '99')='99' THEN 'Not in GO publication population' else ukp.ukprn_legalname end</v>
      </c>
      <c r="AC833" s="28" t="str">
        <f t="shared" si="122"/>
        <v/>
      </c>
      <c r="AD833" s="28" t="str">
        <f>IF(T833="","",IF(IFERROR(SEARCH("select",T833)&gt;0,0),IF(U833="",IF(MID(T833,SEARCH(H833,T833)-4,1)=" ",MID(T833,SEARCH(H833,T833)-2,LEN(O841)+2),MID(T833,SEARCH(H833,T833)-3,LEN(H833)+3)),U833&amp;"."&amp;H833),T833))</f>
        <v/>
      </c>
      <c r="AE833" t="str">
        <f t="shared" si="123"/>
        <v>[UK Provider reference number]</v>
      </c>
    </row>
    <row r="834" spans="1:31" ht="16" x14ac:dyDescent="0.2">
      <c r="A834">
        <v>100837</v>
      </c>
      <c r="B834" s="11" t="str">
        <f>DataItems3[[#This Row],[Field]]&amp;IF(DataItems3[[#This Row],[Options for supplying the Field]]="",""," "&amp;DataItems3[[#This Row],[Options for supplying the Field]])</f>
        <v>Unique identifier (Staffid - anonymised)</v>
      </c>
      <c r="C834">
        <v>100837</v>
      </c>
      <c r="D834" s="3" t="s">
        <v>100</v>
      </c>
      <c r="F834" s="3" t="s">
        <v>2721</v>
      </c>
      <c r="G834" s="13" t="s">
        <v>2723</v>
      </c>
      <c r="H834" s="14" t="s">
        <v>2724</v>
      </c>
      <c r="J834" s="3">
        <v>2</v>
      </c>
      <c r="K834" s="3">
        <v>3</v>
      </c>
      <c r="L834" s="3">
        <v>0</v>
      </c>
      <c r="M834" s="3">
        <v>0</v>
      </c>
      <c r="Q834" s="80" t="s">
        <v>2725</v>
      </c>
      <c r="R834" s="22"/>
      <c r="S834" s="80" t="s">
        <v>2725</v>
      </c>
      <c r="T834" s="33"/>
      <c r="V834" s="3">
        <v>1</v>
      </c>
      <c r="W834" s="77" t="s">
        <v>2726</v>
      </c>
      <c r="X834" t="str">
        <f>DataItems3[[#This Row],[Collection]]&amp;DataItems3[[#This Row],[Field]]&amp;DataItems3[[#This Row],[Options for supplying the Field]]&amp;DataItems3[[#This Row],[Fieldname]]&amp;DataItems3[[#This Row],[Parent]]</f>
        <v>StaffUnique identifier(Staffid - anonymised)F_STAFFID</v>
      </c>
      <c r="Y834" s="4">
        <v>44494</v>
      </c>
      <c r="Z834" t="s">
        <v>135</v>
      </c>
      <c r="AA834" s="28" t="str">
        <f t="shared" si="120"/>
        <v>Hashbytes('SHA2_256', CAST(p.f_staffid AS VARCHAR))</v>
      </c>
      <c r="AB834" s="28" t="str">
        <f>IF(S834="","",IF(IFERROR(SEARCH("select",S834)&gt;0,0),IF(U834="",IF(MID(S834,SEARCH(H834,S834)-4,1)=" ",MID(S834,SEARCH(H834,S834)-2,LEN(O842)+2),MID(S834,SEARCH(H834,S834)-3,LEN(H834)+3)),U834&amp;"."&amp;H834),S834))</f>
        <v>Hashbytes('SHA2_256', CAST(p.f_staffid AS VARCHAR))</v>
      </c>
      <c r="AC834" s="28" t="str">
        <f t="shared" si="122"/>
        <v/>
      </c>
      <c r="AD834" s="28" t="str">
        <f>IF(T834="","",IF(IFERROR(SEARCH("select",T834)&gt;0,0),IF(U834="",IF(MID(T834,SEARCH(H834,T834)-4,1)=" ",MID(T834,SEARCH(H834,T834)-2,LEN(O842)+2),MID(T834,SEARCH(H834,T834)-3,LEN(H834)+3)),U834&amp;"."&amp;H834),T834))</f>
        <v/>
      </c>
      <c r="AE834" t="str">
        <f t="shared" si="123"/>
        <v>[Unique identifier]</v>
      </c>
    </row>
    <row r="835" spans="1:31" ht="16" x14ac:dyDescent="0.2">
      <c r="A835">
        <v>100867</v>
      </c>
      <c r="B835" s="11" t="str">
        <f>DataItems3[[#This Row],[Field]]&amp;IF(DataItems3[[#This Row],[Options for supplying the Field]]="",""," "&amp;DataItems3[[#This Row],[Options for supplying the Field]])</f>
        <v>Unique identifier (anonymised HIN)*</v>
      </c>
      <c r="C835">
        <v>100867</v>
      </c>
      <c r="D835" s="3" t="s">
        <v>86</v>
      </c>
      <c r="F835" s="3" t="s">
        <v>2721</v>
      </c>
      <c r="G835" s="13" t="s">
        <v>2727</v>
      </c>
      <c r="H835" s="14" t="s">
        <v>2728</v>
      </c>
      <c r="J835" s="3">
        <v>2</v>
      </c>
      <c r="K835" s="3">
        <v>4</v>
      </c>
      <c r="L835" s="3">
        <v>0</v>
      </c>
      <c r="M835" s="3">
        <v>0</v>
      </c>
      <c r="Q835" s="16" t="s">
        <v>2729</v>
      </c>
      <c r="R835" s="22"/>
      <c r="S835" s="16" t="s">
        <v>2729</v>
      </c>
      <c r="V835" s="3">
        <v>1</v>
      </c>
      <c r="W835" s="77" t="s">
        <v>2726</v>
      </c>
      <c r="X835" t="str">
        <f>DataItems3[[#This Row],[Collection]]&amp;DataItems3[[#This Row],[Field]]&amp;DataItems3[[#This Row],[Options for supplying the Field]]&amp;DataItems3[[#This Row],[Fieldname]]&amp;DataItems3[[#This Row],[Parent]]</f>
        <v>StudentUnique identifier(anonymised HIN)*UNIQUE_ID</v>
      </c>
      <c r="Y835" s="4">
        <v>44704</v>
      </c>
      <c r="Z835" t="s">
        <v>99</v>
      </c>
      <c r="AA835" s="28" t="str">
        <f t="shared" si="120"/>
        <v>HASHBYTES('SHA2_256', s.F_NUMHUS+s.F_XINSTID01+CAST(s.F_HUSID AS VARCHAR))</v>
      </c>
      <c r="AB835" s="28" t="str">
        <f>IF(S835="","",IF(IFERROR(SEARCH("select",S835)&gt;0,0),IF(U835="",IF(MID(S835,SEARCH(H835,S835)-4,1)=" ",MID(S835,SEARCH(H835,S835)-2,LEN(O843)+2),MID(S835,SEARCH(H835,S835)-3,LEN(H835)+3)),U835&amp;"."&amp;H835),S835))</f>
        <v>HASHBYTES('SHA2_256', s.F_NUMHUS+s.F_XINSTID01+CAST(s.F_HUSID AS VARCHAR))</v>
      </c>
      <c r="AC835" s="28" t="str">
        <f t="shared" si="122"/>
        <v/>
      </c>
      <c r="AD835" s="28" t="str">
        <f>IF(T835="","",IF(IFERROR(SEARCH("select",T835)&gt;0,0),IF(U835="",IF(MID(T835,SEARCH(H835,T835)-4,1)=" ",MID(T835,SEARCH(H835,T835)-2,LEN(O843)+2),MID(T835,SEARCH(H835,T835)-3,LEN(H835)+3)),U835&amp;"."&amp;H835),T835))</f>
        <v/>
      </c>
      <c r="AE835" t="str">
        <f t="shared" si="123"/>
        <v>[Unique identifier]</v>
      </c>
    </row>
    <row r="836" spans="1:31" ht="16" x14ac:dyDescent="0.2">
      <c r="A836">
        <v>100595</v>
      </c>
      <c r="B836" s="11" t="str">
        <f>DataItems3[[#This Row],[Field]]&amp;IF(DataItems3[[#This Row],[Options for supplying the Field]]="",""," "&amp;DataItems3[[#This Row],[Options for supplying the Field]])</f>
        <v>Unique identifier (Jisc anonymised)*</v>
      </c>
      <c r="C836">
        <v>100595</v>
      </c>
      <c r="D836" s="3" t="s">
        <v>86</v>
      </c>
      <c r="E836" s="3" t="s">
        <v>106</v>
      </c>
      <c r="F836" s="3" t="s">
        <v>2721</v>
      </c>
      <c r="G836" s="13" t="s">
        <v>2730</v>
      </c>
      <c r="H836" s="14" t="s">
        <v>2728</v>
      </c>
      <c r="J836" s="3">
        <v>2</v>
      </c>
      <c r="K836" s="3">
        <v>3</v>
      </c>
      <c r="L836" s="3">
        <v>0</v>
      </c>
      <c r="M836" s="3">
        <v>0</v>
      </c>
      <c r="N836" s="3" t="s">
        <v>89</v>
      </c>
      <c r="Q836" s="16" t="s">
        <v>2731</v>
      </c>
      <c r="R836" s="16" t="s">
        <v>2731</v>
      </c>
      <c r="S836" s="16" t="s">
        <v>2731</v>
      </c>
      <c r="T836" s="16" t="s">
        <v>2731</v>
      </c>
      <c r="U836" s="3" t="s">
        <v>93</v>
      </c>
      <c r="V836" s="3">
        <v>1</v>
      </c>
      <c r="W836" s="77" t="s">
        <v>2726</v>
      </c>
      <c r="X836" t="str">
        <f>DataItems3[[#This Row],[Collection]]&amp;DataItems3[[#This Row],[Field]]&amp;DataItems3[[#This Row],[Options for supplying the Field]]&amp;DataItems3[[#This Row],[Fieldname]]&amp;DataItems3[[#This Row],[Parent]]</f>
        <v>StudentUnique identifier(Jisc anonymised)*UNIQUE_ID</v>
      </c>
      <c r="Y836" s="15">
        <v>43434</v>
      </c>
      <c r="Z836" t="s">
        <v>95</v>
      </c>
      <c r="AA836" s="28" t="str">
        <f t="shared" si="120"/>
        <v>HASHBYTES('SHA2_256', s.F_NUMHUS+s.F_XINSTID01+CAST(s.F_HUSID AS VARCHAR)+CAST(s.DW_FromDate AS VARCHAR))</v>
      </c>
      <c r="AB836" s="28" t="str">
        <f>IF(S836="","",IF(IFERROR(SEARCH("select",S836)&gt;0,0),IF(U836="",IF(MID(S836,SEARCH(H836,S836)-4,1)=" ",MID(S836,SEARCH(H836,S836)-2,LEN(O844)+2),MID(S836,SEARCH(H836,S836)-3,LEN(H836)+3)),U836&amp;"."&amp;H836),S836))</f>
        <v>HASHBYTES('SHA2_256', s.F_NUMHUS+s.F_XINSTID01+CAST(s.F_HUSID AS VARCHAR)+CAST(s.DW_FromDate AS VARCHAR))</v>
      </c>
      <c r="AC836" s="28" t="str">
        <f t="shared" si="122"/>
        <v>HASHBYTES('SHA2_256', s.F_NUMHUS+s.F_XINSTID01+CAST(s.F_HUSID AS VARCHAR)+CAST(s.DW_FromDate AS VARCHAR))</v>
      </c>
      <c r="AD836" s="28" t="str">
        <f>IF(T836="","",IF(IFERROR(SEARCH("select",T836)&gt;0,0),IF(U836="",IF(MID(T836,SEARCH(H836,T836)-4,1)=" ",MID(T836,SEARCH(H836,T836)-2,LEN(O844)+2),MID(T836,SEARCH(H836,T836)-3,LEN(H836)+3)),U836&amp;"."&amp;H836),T836))</f>
        <v>HASHBYTES('SHA2_256', s.F_NUMHUS+s.F_XINSTID01+CAST(s.F_HUSID AS VARCHAR)+CAST(s.DW_FromDate AS VARCHAR))</v>
      </c>
      <c r="AE836" t="str">
        <f t="shared" si="123"/>
        <v>[Unique identifier]</v>
      </c>
    </row>
    <row r="837" spans="1:31" ht="16" x14ac:dyDescent="0.2">
      <c r="A837">
        <v>100594</v>
      </c>
      <c r="B837" s="11" t="str">
        <f>DataItems3[[#This Row],[Field]]&amp;IF(DataItems3[[#This Row],[Options for supplying the Field]]="",""," "&amp;DataItems3[[#This Row],[Options for supplying the Field]])</f>
        <v>Unique identifier (Instancekey)</v>
      </c>
      <c r="C837">
        <v>100594</v>
      </c>
      <c r="D837" s="3" t="s">
        <v>86</v>
      </c>
      <c r="F837" s="3" t="s">
        <v>2721</v>
      </c>
      <c r="G837" s="13" t="s">
        <v>2722</v>
      </c>
      <c r="H837" s="14"/>
      <c r="I837" s="3" t="s">
        <v>3387</v>
      </c>
      <c r="J837" s="3">
        <v>1</v>
      </c>
      <c r="K837" s="3">
        <v>3</v>
      </c>
      <c r="L837" s="3">
        <v>2</v>
      </c>
      <c r="M837" s="3">
        <v>0</v>
      </c>
      <c r="N837" s="3" t="s">
        <v>89</v>
      </c>
      <c r="R837" s="3" t="s">
        <v>91</v>
      </c>
      <c r="U837" s="3" t="s">
        <v>93</v>
      </c>
      <c r="W837" s="77" t="s">
        <v>2926</v>
      </c>
      <c r="X837" t="str">
        <f>DataItems3[[#This Row],[Collection]]&amp;DataItems3[[#This Row],[Field]]&amp;DataItems3[[#This Row],[Options for supplying the Field]]&amp;DataItems3[[#This Row],[Fieldname]]&amp;DataItems3[[#This Row],[Parent]]</f>
        <v>StudentUnique identifier(Instancekey)</v>
      </c>
      <c r="Y837" s="15">
        <v>43434</v>
      </c>
      <c r="Z837" t="s">
        <v>95</v>
      </c>
      <c r="AA837" s="28" t="str">
        <f t="shared" si="120"/>
        <v/>
      </c>
      <c r="AB837" s="28" t="str">
        <f>IF(S837="","",IF(IFERROR(SEARCH("select",S837)&gt;0,0),IF(U837="",IF(MID(S837,SEARCH(H837,S837)-4,1)=" ",MID(S837,SEARCH(H837,S837)-2,LEN(O845)+2),MID(S837,SEARCH(H837,S837)-3,LEN(H837)+3)),U837&amp;"."&amp;H837),S837))</f>
        <v/>
      </c>
      <c r="AC837" s="28" t="str">
        <f t="shared" si="122"/>
        <v xml:space="preserve"> </v>
      </c>
      <c r="AD837" s="28" t="str">
        <f>IF(T837="","",IF(IFERROR(SEARCH("select",T837)&gt;0,0),IF(U837="",IF(MID(T837,SEARCH(H837,T837)-4,1)=" ",MID(T837,SEARCH(H837,T837)-2,LEN(O845)+2),MID(T837,SEARCH(H837,T837)-3,LEN(H837)+3)),U837&amp;"."&amp;H837),T837))</f>
        <v/>
      </c>
      <c r="AE837" t="str">
        <f t="shared" si="123"/>
        <v>[Unique identifier]</v>
      </c>
    </row>
    <row r="838" spans="1:31" ht="14.75" customHeight="1" x14ac:dyDescent="0.25">
      <c r="A838">
        <v>100836</v>
      </c>
      <c r="B838" s="11" t="str">
        <f>DataItems3[[#This Row],[Field]]&amp;IF(DataItems3[[#This Row],[Options for supplying the Field]]="",""," "&amp;DataItems3[[#This Row],[Options for supplying the Field]])</f>
        <v>Unit of assessment percentage</v>
      </c>
      <c r="C838">
        <v>100836</v>
      </c>
      <c r="D838" s="3" t="s">
        <v>86</v>
      </c>
      <c r="F838" s="3" t="s">
        <v>2732</v>
      </c>
      <c r="G838" s="13"/>
      <c r="H838" s="14" t="s">
        <v>2733</v>
      </c>
      <c r="J838" s="3">
        <v>1</v>
      </c>
      <c r="K838" s="17">
        <v>1</v>
      </c>
      <c r="L838" s="3">
        <v>0</v>
      </c>
      <c r="M838" s="3">
        <v>0</v>
      </c>
      <c r="P838" s="17"/>
      <c r="Q838" s="65" t="s">
        <v>2734</v>
      </c>
      <c r="S838" s="65" t="s">
        <v>2734</v>
      </c>
      <c r="T838" s="26"/>
      <c r="U838" s="3" t="s">
        <v>2735</v>
      </c>
      <c r="W838" s="77" t="s">
        <v>2736</v>
      </c>
      <c r="X838" t="str">
        <f>DataItems3[[#This Row],[Collection]]&amp;DataItems3[[#This Row],[Field]]&amp;DataItems3[[#This Row],[Options for supplying the Field]]&amp;DataItems3[[#This Row],[Fieldname]]&amp;DataItems3[[#This Row],[Parent]]</f>
        <v>StudentUnit of assessment percentageF_UOAPCNT</v>
      </c>
      <c r="Y838" s="4">
        <v>44481</v>
      </c>
      <c r="Z838" t="s">
        <v>135</v>
      </c>
      <c r="AA838" s="28" t="str">
        <f t="shared" si="120"/>
        <v>ISNULL(r.F_UOAPCNT, -999)</v>
      </c>
      <c r="AB838" s="28" t="str">
        <f t="shared" ref="AB838:AB853" si="124">IF(S838="","",IF(IFERROR(SEARCH("select",S838)&gt;0,0),IF(U838="",IF(MID(S838,SEARCH(H838,S838)-4,1)=" ",MID(S838,SEARCH(H838,S838)-2,LEN(O847)+2),MID(S838,SEARCH(H838,S838)-3,LEN(H838)+3)),U838&amp;"."&amp;H838),S838))</f>
        <v>ISNULL(r.F_UOAPCNT, -999)</v>
      </c>
      <c r="AC838" s="28" t="str">
        <f t="shared" si="122"/>
        <v/>
      </c>
      <c r="AD838" s="28" t="str">
        <f t="shared" ref="AD838:AD853" si="125">IF(T838="","",IF(IFERROR(SEARCH("select",T838)&gt;0,0),IF(U838="",IF(MID(T838,SEARCH(H838,T838)-4,1)=" ",MID(T838,SEARCH(H838,T838)-2,LEN(O847)+2),MID(T838,SEARCH(H838,T838)-3,LEN(H838)+3)),U838&amp;"."&amp;H838),T838))</f>
        <v/>
      </c>
      <c r="AE838" t="str">
        <f t="shared" si="123"/>
        <v>[Unit of assessment percentage]</v>
      </c>
    </row>
    <row r="839" spans="1:31" ht="16" x14ac:dyDescent="0.2">
      <c r="A839">
        <v>100596</v>
      </c>
      <c r="B839" s="11" t="str">
        <f>DataItems3[[#This Row],[Field]]&amp;IF(DataItems3[[#This Row],[Options for supplying the Field]]="",""," "&amp;DataItems3[[#This Row],[Options for supplying the Field]])</f>
        <v>University or college name [UCNAME]</v>
      </c>
      <c r="C839">
        <v>100596</v>
      </c>
      <c r="D839" s="3" t="s">
        <v>151</v>
      </c>
      <c r="F839" s="3" t="s">
        <v>2737</v>
      </c>
      <c r="G839" s="13" t="s">
        <v>2738</v>
      </c>
      <c r="H839" s="3" t="s">
        <v>2739</v>
      </c>
      <c r="J839" s="3">
        <v>1</v>
      </c>
      <c r="K839" s="3">
        <v>5</v>
      </c>
      <c r="L839" s="3">
        <v>4</v>
      </c>
      <c r="M839" s="3">
        <v>0</v>
      </c>
      <c r="P839" s="3" t="s">
        <v>1688</v>
      </c>
      <c r="Q839" s="16" t="s">
        <v>2740</v>
      </c>
      <c r="R839" s="3" t="s">
        <v>93</v>
      </c>
      <c r="S839" s="16" t="s">
        <v>2741</v>
      </c>
      <c r="U839" s="3" t="s">
        <v>2742</v>
      </c>
      <c r="V839" s="3" t="s">
        <v>93</v>
      </c>
      <c r="W839" s="77" t="s">
        <v>2909</v>
      </c>
      <c r="X839" t="str">
        <f>DataItems3[[#This Row],[Collection]]&amp;DataItems3[[#This Row],[Field]]&amp;DataItems3[[#This Row],[Options for supplying the Field]]&amp;DataItems3[[#This Row],[Fieldname]]&amp;DataItems3[[#This Row],[Parent]]</f>
        <v>Graduate OutcomesUniversity or college name[UCNAME]UCNAMEProvider &gt; Graduate &gt; Study:</v>
      </c>
      <c r="Y839" s="15">
        <v>43550</v>
      </c>
      <c r="Z839" t="s">
        <v>159</v>
      </c>
      <c r="AA839" s="28" t="str">
        <f t="shared" si="120"/>
        <v>CASE WHEN ISNULL(g.ZRESPSTATUS, '02')='02' OR ISNULL(g.XACTIVITY, '99')='99' THEN 'Not in GO publication population' else IIF(isnull(g.UCNAME,'')='','N/A',g.UCNAME) end</v>
      </c>
      <c r="AB839" s="28" t="str">
        <f t="shared" si="124"/>
        <v>CASE WHEN ISNULL(g.ZRESPSTATUS, '02')='02' OR ISNULL(g.XACTIVITY, '99')='99' THEN 'Not in GO publication population' else IIF(isnull(g.UCNAME,'')='','N/A',prev.ukprn_legalname) end</v>
      </c>
      <c r="AC839" s="28" t="str">
        <f t="shared" si="122"/>
        <v/>
      </c>
      <c r="AD839" s="28" t="str">
        <f t="shared" si="125"/>
        <v/>
      </c>
      <c r="AE839" t="str">
        <f t="shared" si="123"/>
        <v>[University or college name]</v>
      </c>
    </row>
    <row r="840" spans="1:31" ht="32" x14ac:dyDescent="0.2">
      <c r="A840">
        <v>100658</v>
      </c>
      <c r="B840" s="19" t="str">
        <f>DataItems3[[#This Row],[Field]]&amp;IF(DataItems3[[#This Row],[Options for supplying the Field]]="",""," "&amp;DataItems3[[#This Row],[Options for supplying the Field]])</f>
        <v>University or college name of highest previous type of qualification since graduation [YPREVUCNAME]</v>
      </c>
      <c r="C840">
        <v>100658</v>
      </c>
      <c r="D840" s="3" t="s">
        <v>151</v>
      </c>
      <c r="F840" s="3" t="s">
        <v>2743</v>
      </c>
      <c r="G840" s="13" t="s">
        <v>2744</v>
      </c>
      <c r="H840" s="13" t="s">
        <v>2745</v>
      </c>
      <c r="J840" s="3">
        <v>8</v>
      </c>
      <c r="K840" s="3">
        <v>2</v>
      </c>
      <c r="L840" s="3">
        <v>4</v>
      </c>
      <c r="M840" s="3">
        <v>0</v>
      </c>
      <c r="P840" s="3" t="s">
        <v>1197</v>
      </c>
      <c r="Q840" s="81" t="s">
        <v>2746</v>
      </c>
      <c r="R840" s="3" t="s">
        <v>93</v>
      </c>
      <c r="S840" s="81" t="s">
        <v>2746</v>
      </c>
      <c r="T840" s="34"/>
      <c r="U840" s="3" t="s">
        <v>2747</v>
      </c>
      <c r="W840" s="77" t="s">
        <v>2909</v>
      </c>
      <c r="X840" t="str">
        <f>DataItems3[[#This Row],[Collection]]&amp;DataItems3[[#This Row],[Field]]&amp;DataItems3[[#This Row],[Options for supplying the Field]]&amp;DataItems3[[#This Row],[Fieldname]]&amp;DataItems3[[#This Row],[Parent]]</f>
        <v>Graduate OutcomesUniversity or college name of highest previous type of qualification since graduation[YPREVUCNAME]YPREVUCNAMEProvider &gt; Graduate &gt; Previous Study:</v>
      </c>
      <c r="Y840" s="4">
        <v>44020</v>
      </c>
      <c r="Z840" t="s">
        <v>1200</v>
      </c>
      <c r="AA840" s="28" t="str">
        <f t="shared" si="120"/>
        <v>CASE WHEN ISNULL(g.ZRESPSTATUS, '02')='02' OR ISNULL(g.XACTIVITY, '99')='99' THEN 'Not in GO publication population' else ISNULL(k.yprevucname,'UNKNOWN') end</v>
      </c>
      <c r="AB840" s="28" t="str">
        <f t="shared" si="124"/>
        <v>CASE WHEN ISNULL(g.ZRESPSTATUS, '02')='02' OR ISNULL(g.XACTIVITY, '99')='99' THEN 'Not in GO publication population' else ISNULL(k.yprevucname,'UNKNOWN') end</v>
      </c>
      <c r="AC840" s="28" t="str">
        <f t="shared" si="122"/>
        <v/>
      </c>
      <c r="AD840" s="28" t="str">
        <f t="shared" si="125"/>
        <v/>
      </c>
      <c r="AE840" t="str">
        <f t="shared" si="123"/>
        <v>[University or college name of highest previous type of qualification since graduation]</v>
      </c>
    </row>
    <row r="841" spans="1:31" ht="16" x14ac:dyDescent="0.2">
      <c r="A841">
        <v>100597</v>
      </c>
      <c r="B841" s="11" t="str">
        <f>DataItems3[[#This Row],[Field]]&amp;IF(DataItems3[[#This Row],[Options for supplying the Field]]="",""," "&amp;DataItems3[[#This Row],[Options for supplying the Field]])</f>
        <v>University or college name other [UCNAME_OTHER]</v>
      </c>
      <c r="C841">
        <v>100597</v>
      </c>
      <c r="D841" s="3" t="s">
        <v>151</v>
      </c>
      <c r="F841" s="3" t="s">
        <v>2748</v>
      </c>
      <c r="G841" s="13" t="s">
        <v>2749</v>
      </c>
      <c r="H841" s="3" t="s">
        <v>2750</v>
      </c>
      <c r="I841" s="3" t="s">
        <v>378</v>
      </c>
      <c r="J841" s="3">
        <v>1</v>
      </c>
      <c r="K841" s="3">
        <v>1</v>
      </c>
      <c r="L841" s="3">
        <v>4</v>
      </c>
      <c r="M841" s="3">
        <v>0</v>
      </c>
      <c r="P841" s="3" t="s">
        <v>1688</v>
      </c>
      <c r="Q841" s="16" t="s">
        <v>2740</v>
      </c>
      <c r="R841" s="3" t="s">
        <v>93</v>
      </c>
      <c r="S841" s="16" t="s">
        <v>2741</v>
      </c>
      <c r="U841" s="3" t="s">
        <v>2742</v>
      </c>
      <c r="V841" s="3" t="s">
        <v>93</v>
      </c>
      <c r="W841" s="77" t="s">
        <v>2909</v>
      </c>
      <c r="X841" t="str">
        <f>DataItems3[[#This Row],[Collection]]&amp;DataItems3[[#This Row],[Field]]&amp;DataItems3[[#This Row],[Options for supplying the Field]]&amp;DataItems3[[#This Row],[Fieldname]]&amp;DataItems3[[#This Row],[Parent]]</f>
        <v>Graduate OutcomesUniversity or college name other[UCNAME_OTHER]UCNAME_OTHERProvider &gt; Graduate &gt; Study:</v>
      </c>
      <c r="Y841" s="15">
        <v>43550</v>
      </c>
      <c r="Z841" t="s">
        <v>159</v>
      </c>
      <c r="AA841" s="28" t="str">
        <f t="shared" si="120"/>
        <v>CASE WHEN ISNULL(g.ZRESPSTATUS, '02')='02' OR ISNULL(g.XACTIVITY, '99')='99' THEN 'Not in GO publication population' else IIF(isnull(g.UCNAME,'')='','N/A',g.UCNAME) end</v>
      </c>
      <c r="AB841" s="28" t="str">
        <f t="shared" si="124"/>
        <v>CASE WHEN ISNULL(g.ZRESPSTATUS, '02')='02' OR ISNULL(g.XACTIVITY, '99')='99' THEN 'Not in GO publication population' else IIF(isnull(g.UCNAME,'')='','N/A',prev.ukprn_legalname) end</v>
      </c>
      <c r="AC841" s="28" t="str">
        <f t="shared" si="122"/>
        <v/>
      </c>
      <c r="AD841" s="28" t="str">
        <f t="shared" si="125"/>
        <v/>
      </c>
      <c r="AE841" t="str">
        <f t="shared" si="123"/>
        <v>[University or college name other]</v>
      </c>
    </row>
    <row r="842" spans="1:31" ht="16" x14ac:dyDescent="0.2">
      <c r="A842">
        <v>100871</v>
      </c>
      <c r="B842" s="11" t="str">
        <f>DataItems3[[#This Row],[Field]]&amp;IF(DataItems3[[#This Row],[Options for supplying the Field]]="",""," "&amp;DataItems3[[#This Row],[Options for supplying the Field]])</f>
        <v>WIMD deciles</v>
      </c>
      <c r="C842">
        <v>100871</v>
      </c>
      <c r="D842" s="3" t="s">
        <v>86</v>
      </c>
      <c r="E842" s="3" t="s">
        <v>106</v>
      </c>
      <c r="F842" s="3" t="s">
        <v>2751</v>
      </c>
      <c r="G842" s="13"/>
      <c r="H842" s="3" t="s">
        <v>2752</v>
      </c>
      <c r="J842" s="3">
        <v>1</v>
      </c>
      <c r="K842" s="3">
        <v>1</v>
      </c>
      <c r="L842" s="3">
        <v>0</v>
      </c>
      <c r="M842" s="3">
        <v>0</v>
      </c>
      <c r="Q842" s="16" t="s">
        <v>2753</v>
      </c>
      <c r="R842" s="16" t="s">
        <v>2753</v>
      </c>
      <c r="S842" s="16" t="s">
        <v>2753</v>
      </c>
      <c r="T842" s="16" t="s">
        <v>2753</v>
      </c>
      <c r="U842" s="3" t="s">
        <v>2754</v>
      </c>
      <c r="W842" s="77" t="s">
        <v>764</v>
      </c>
      <c r="X842" t="str">
        <f>DataItems3[[#This Row],[Collection]]&amp;DataItems3[[#This Row],[Field]]&amp;DataItems3[[#This Row],[Options for supplying the Field]]&amp;DataItems3[[#This Row],[Fieldname]]&amp;DataItems3[[#This Row],[Parent]]</f>
        <v>StudentWIMD decilesWIMD_Decile</v>
      </c>
      <c r="Y842" s="4">
        <v>44729</v>
      </c>
      <c r="Z842" t="s">
        <v>135</v>
      </c>
      <c r="AA842" s="28" t="str">
        <f t="shared" si="120"/>
        <v>ISNULL(wimd.IMD_Decile,'N/A')</v>
      </c>
      <c r="AB842" s="28" t="str">
        <f t="shared" si="124"/>
        <v>ISNULL(wimd.IMD_Decile,'N/A')</v>
      </c>
      <c r="AC842" s="28" t="str">
        <f t="shared" si="122"/>
        <v>ISNULL(wimd.IMD_Decile,'N/A')</v>
      </c>
      <c r="AD842" s="28" t="str">
        <f t="shared" si="125"/>
        <v>ISNULL(wimd.IMD_Decile,'N/A')</v>
      </c>
      <c r="AE842" t="str">
        <f t="shared" si="123"/>
        <v>[WIMD deciles]</v>
      </c>
    </row>
    <row r="843" spans="1:31" ht="16" x14ac:dyDescent="0.2">
      <c r="A843">
        <v>100870</v>
      </c>
      <c r="B843" s="11" t="str">
        <f>DataItems3[[#This Row],[Field]]&amp;IF(DataItems3[[#This Row],[Options for supplying the Field]]="",""," "&amp;DataItems3[[#This Row],[Options for supplying the Field]])</f>
        <v>WIMD quintiles</v>
      </c>
      <c r="C843">
        <v>100870</v>
      </c>
      <c r="D843" s="3" t="s">
        <v>86</v>
      </c>
      <c r="E843" s="3" t="s">
        <v>106</v>
      </c>
      <c r="F843" s="3" t="s">
        <v>2755</v>
      </c>
      <c r="G843" s="13"/>
      <c r="H843" s="3" t="s">
        <v>2756</v>
      </c>
      <c r="J843" s="3">
        <v>1</v>
      </c>
      <c r="K843" s="3">
        <v>1</v>
      </c>
      <c r="L843" s="3">
        <v>0</v>
      </c>
      <c r="M843" s="3">
        <v>0</v>
      </c>
      <c r="Q843" s="16" t="s">
        <v>2757</v>
      </c>
      <c r="R843" s="16" t="s">
        <v>2757</v>
      </c>
      <c r="S843" s="16" t="s">
        <v>2757</v>
      </c>
      <c r="T843" s="16" t="s">
        <v>2757</v>
      </c>
      <c r="U843" s="3" t="s">
        <v>2754</v>
      </c>
      <c r="W843" s="77" t="s">
        <v>145</v>
      </c>
      <c r="X843" t="str">
        <f>DataItems3[[#This Row],[Collection]]&amp;DataItems3[[#This Row],[Field]]&amp;DataItems3[[#This Row],[Options for supplying the Field]]&amp;DataItems3[[#This Row],[Fieldname]]&amp;DataItems3[[#This Row],[Parent]]</f>
        <v>StudentWIMD quintilesWIMD_Quintile</v>
      </c>
      <c r="Y843" s="4">
        <v>44729</v>
      </c>
      <c r="Z843" t="s">
        <v>135</v>
      </c>
      <c r="AA843" s="28" t="str">
        <f t="shared" si="120"/>
        <v>case when wimd.IMD_Decile in (1,2) then '1'  when wimd.IMD_Decile in (3,4) then '2' when wimd.IMD_Decile in (5,6) then '3' when wimd.IMD_Decile in (7,8) then '4' when wimd.IMD_Decile in (9,10) then '5' else 'N/A' end</v>
      </c>
      <c r="AB843" s="28" t="str">
        <f t="shared" si="124"/>
        <v>case when wimd.IMD_Decile in (1,2) then '1'  when wimd.IMD_Decile in (3,4) then '2' when wimd.IMD_Decile in (5,6) then '3' when wimd.IMD_Decile in (7,8) then '4' when wimd.IMD_Decile in (9,10) then '5' else 'N/A' end</v>
      </c>
      <c r="AC843" s="28" t="str">
        <f t="shared" si="122"/>
        <v>case when wimd.IMD_Decile in (1,2) then '1'  when wimd.IMD_Decile in (3,4) then '2' when wimd.IMD_Decile in (5,6) then '3' when wimd.IMD_Decile in (7,8) then '4' when wimd.IMD_Decile in (9,10) then '5' else 'N/A' end</v>
      </c>
      <c r="AD843" s="28" t="str">
        <f t="shared" si="125"/>
        <v>case when wimd.IMD_Decile in (1,2) then '1'  when wimd.IMD_Decile in (3,4) then '2' when wimd.IMD_Decile in (5,6) then '3' when wimd.IMD_Decile in (7,8) then '4' when wimd.IMD_Decile in (9,10) then '5' else 'N/A' end</v>
      </c>
      <c r="AE843" t="str">
        <f t="shared" si="123"/>
        <v>[WIMD quintiles]</v>
      </c>
    </row>
    <row r="844" spans="1:31" ht="16" x14ac:dyDescent="0.2">
      <c r="A844">
        <v>100845</v>
      </c>
      <c r="B844" s="19" t="str">
        <f>DataItems3[[#This Row],[Field]]&amp;IF(DataItems3[[#This Row],[Options for supplying the Field]]="",""," "&amp;DataItems3[[#This Row],[Options for supplying the Field]])</f>
        <v>Work - Standard Industrial Classification (SIC) 2007⁽¹⁾ (4 digit) [XWRK2007SIC]</v>
      </c>
      <c r="C844">
        <v>100845</v>
      </c>
      <c r="D844" s="3" t="s">
        <v>151</v>
      </c>
      <c r="F844" s="3" t="s">
        <v>2758</v>
      </c>
      <c r="G844" s="13" t="s">
        <v>2759</v>
      </c>
      <c r="H844" s="3" t="s">
        <v>2760</v>
      </c>
      <c r="J844" s="3">
        <v>1</v>
      </c>
      <c r="K844" s="3">
        <v>4</v>
      </c>
      <c r="L844" s="3">
        <v>3</v>
      </c>
      <c r="M844" s="3">
        <v>2</v>
      </c>
      <c r="Q844" s="16" t="s">
        <v>2761</v>
      </c>
      <c r="S844" s="16" t="s">
        <v>2762</v>
      </c>
      <c r="U844" s="3" t="s">
        <v>2763</v>
      </c>
      <c r="W844" s="77" t="s">
        <v>2909</v>
      </c>
      <c r="X844" t="str">
        <f>DataItems3[[#This Row],[Collection]]&amp;DataItems3[[#This Row],[Field]]&amp;DataItems3[[#This Row],[Options for supplying the Field]]&amp;DataItems3[[#This Row],[Fieldname]]&amp;DataItems3[[#This Row],[Parent]]</f>
        <v>Graduate OutcomesWork - Standard Industrial Classification (SIC) 2007⁽¹⁾(4 digit) [XWRK2007SIC]F_XWRK2007SIC</v>
      </c>
      <c r="Y844" s="4">
        <v>44617</v>
      </c>
      <c r="Z844" t="s">
        <v>99</v>
      </c>
      <c r="AA844" s="28" t="str">
        <f t="shared" si="120"/>
        <v>CASE WHEN ISNULL(g.ZRESPSTATUS, '02')='02' OR ISNULL(g.XACTIVITY, '99')='99' THEN 'Not in GO publication population'  WHEN isnull(g.Xwrk2007SIC,'$') IN ('$$$$', '_','$$','____','X')  THEN 'NA/UNK' else ISNULL(g.Xwrk2007SIC,'NA/UNK') end</v>
      </c>
      <c r="AB844" s="28" t="str">
        <f t="shared" si="124"/>
        <v>CASE WHEN ISNULL(g.ZRESPSTATUS, '02')='02' OR ISNULL(g.XACTIVITY, '99')='99' THEN 'Not in GO publication population'  WHEN isnull(g.Xwrk2007SIC,'$') IN ('$', '_','$$$$','____','X')  THEN 'NA/UNK' else ISNULL(Xwrk2007SIC.LABEL,'NA/UNK') end</v>
      </c>
      <c r="AC844" s="28" t="str">
        <f t="shared" si="122"/>
        <v/>
      </c>
      <c r="AD844" s="28" t="str">
        <f t="shared" si="125"/>
        <v/>
      </c>
      <c r="AE844" t="str">
        <f t="shared" si="123"/>
        <v>[Work - Standard Industrial Classification (SIC) 2007]</v>
      </c>
    </row>
    <row r="845" spans="1:31" ht="32" x14ac:dyDescent="0.2">
      <c r="A845">
        <v>100630</v>
      </c>
      <c r="B845" s="19" t="str">
        <f>DataItems3[[#This Row],[Field]]&amp;IF(DataItems3[[#This Row],[Options for supplying the Field]]="",""," "&amp;DataItems3[[#This Row],[Options for supplying the Field]])</f>
        <v>Work - Standard Industrial Classification (SIC) 2007⁽¹⁾ (1 digit) [XWRK2007SIC1]</v>
      </c>
      <c r="C845">
        <v>100630</v>
      </c>
      <c r="D845" s="3" t="s">
        <v>151</v>
      </c>
      <c r="F845" s="3" t="s">
        <v>2758</v>
      </c>
      <c r="G845" s="13" t="s">
        <v>2764</v>
      </c>
      <c r="H845" s="3" t="s">
        <v>2765</v>
      </c>
      <c r="J845" s="3">
        <v>1</v>
      </c>
      <c r="K845" s="3">
        <v>3</v>
      </c>
      <c r="L845" s="3">
        <v>0</v>
      </c>
      <c r="M845" s="3">
        <v>0</v>
      </c>
      <c r="P845" s="3" t="s">
        <v>952</v>
      </c>
      <c r="Q845" s="16" t="s">
        <v>2766</v>
      </c>
      <c r="R845" s="3" t="s">
        <v>93</v>
      </c>
      <c r="S845" s="16" t="s">
        <v>3388</v>
      </c>
      <c r="U845" s="3" t="s">
        <v>2767</v>
      </c>
      <c r="V845" s="3" t="s">
        <v>93</v>
      </c>
      <c r="W845" s="77" t="s">
        <v>2909</v>
      </c>
      <c r="X845" t="str">
        <f>DataItems3[[#This Row],[Collection]]&amp;DataItems3[[#This Row],[Field]]&amp;DataItems3[[#This Row],[Options for supplying the Field]]&amp;DataItems3[[#This Row],[Fieldname]]&amp;DataItems3[[#This Row],[Parent]]</f>
        <v>Graduate OutcomesWork - Standard Industrial Classification (SIC) 2007⁽¹⁾(1 digit) [XWRK2007SIC1]F_XWRK2007SIC1Provider &gt; Official Stats Derived Field &gt; Work</v>
      </c>
      <c r="Y845" s="15">
        <v>44008</v>
      </c>
      <c r="Z845" t="s">
        <v>159</v>
      </c>
      <c r="AA845" s="28" t="str">
        <f t="shared" si="120"/>
        <v>CASE WHEN ISNULL(g.ZRESPSTATUS, '02')='02' OR ISNULL(g.XACTIVITY, '99')='99' THEN 'Not in GO publication population'  WHEN isnull(g.Xwrk2007SIC1,'$') IN ('$', '_','$$','__','X')  THEN 'NA/UNK' else ISNULL(g.Xwrk2007SIC1,'NA/UNK') end</v>
      </c>
      <c r="AB845" s="28" t="str">
        <f t="shared" si="124"/>
        <v>CASE WHEN ISNULL(g.ZRESPSTATUS, '02')='02' OR ISNULL(g.XACTIVITY, '99')='99' THEN 'Not in GO publication population'  WHEN isnull(g.Xwrk2007SIC1,'$') IN ('$', '_','$$','__','X')  THEN 'NA/UNK' else ISNULL(Xwrk2007SIC1.LABEL,'Not applicable/Unknown') end</v>
      </c>
      <c r="AC845" s="28" t="str">
        <f t="shared" si="122"/>
        <v/>
      </c>
      <c r="AD845" s="28" t="str">
        <f t="shared" si="125"/>
        <v/>
      </c>
      <c r="AE845" t="str">
        <f t="shared" si="123"/>
        <v>[Work - Standard Industrial Classification (SIC) 2007]</v>
      </c>
    </row>
    <row r="846" spans="1:31" ht="32" x14ac:dyDescent="0.2">
      <c r="A846">
        <v>100846</v>
      </c>
      <c r="B846" s="19" t="str">
        <f>DataItems3[[#This Row],[Field]]&amp;IF(DataItems3[[#This Row],[Options for supplying the Field]]="",""," "&amp;DataItems3[[#This Row],[Options for supplying the Field]])</f>
        <v>Work - Standard Industrial Classification (SIC) 2007⁽¹⁾ (2 digit) [XWRK2007SIC2]</v>
      </c>
      <c r="C846">
        <v>100846</v>
      </c>
      <c r="D846" s="3" t="s">
        <v>151</v>
      </c>
      <c r="F846" s="3" t="s">
        <v>2758</v>
      </c>
      <c r="G846" s="13" t="s">
        <v>2768</v>
      </c>
      <c r="H846" s="3" t="s">
        <v>2769</v>
      </c>
      <c r="J846" s="3">
        <v>1</v>
      </c>
      <c r="K846" s="3">
        <v>3</v>
      </c>
      <c r="L846" s="3">
        <v>0</v>
      </c>
      <c r="M846" s="3">
        <v>0</v>
      </c>
      <c r="Q846" s="16" t="s">
        <v>2770</v>
      </c>
      <c r="S846" s="16" t="s">
        <v>3389</v>
      </c>
      <c r="U846" s="3" t="s">
        <v>2771</v>
      </c>
      <c r="W846" s="77" t="s">
        <v>2909</v>
      </c>
      <c r="X846" t="str">
        <f>DataItems3[[#This Row],[Collection]]&amp;DataItems3[[#This Row],[Field]]&amp;DataItems3[[#This Row],[Options for supplying the Field]]&amp;DataItems3[[#This Row],[Fieldname]]&amp;DataItems3[[#This Row],[Parent]]</f>
        <v>Graduate OutcomesWork - Standard Industrial Classification (SIC) 2007⁽¹⁾(2 digit) [XWRK2007SIC2]F_XWRK2007SIC2</v>
      </c>
      <c r="Y846" s="4">
        <v>44617</v>
      </c>
      <c r="Z846" t="s">
        <v>99</v>
      </c>
      <c r="AA846" s="28" t="str">
        <f t="shared" si="120"/>
        <v>CASE WHEN ISNULL(g.ZRESPSTATUS, '02')='02' OR ISNULL(g.XACTIVITY, '99')='99' THEN 'Not in GO publication population'  WHEN isnull(g.Xwrk2007SIC2,'$') IN ('$$$', '_', '$$', '___', '__', 'X')  THEN 'NA/UNK' else ISNULL(g.Xwrk2007SIC2,'NA/UNK') end</v>
      </c>
      <c r="AB846" s="28" t="str">
        <f t="shared" si="124"/>
        <v>CASE WHEN ISNULL(g.ZRESPSTATUS, '02')='02' OR ISNULL(g.XACTIVITY, '99')='99' THEN 'Not in GO publication population'  WHEN isnull(g.Xwrk2007SIC2,'$') IN ('$$$', '_', '$$', '___', '__', 'X')  THEN 'Unknown/ not applicable' else ISNULL(Xwrk2007SIC2.LABEL,'Not applicable/Unknown') end</v>
      </c>
      <c r="AC846" s="28" t="str">
        <f t="shared" si="122"/>
        <v/>
      </c>
      <c r="AD846" s="28" t="str">
        <f t="shared" si="125"/>
        <v/>
      </c>
      <c r="AE846" t="str">
        <f t="shared" si="123"/>
        <v>[Work - Standard Industrial Classification (SIC) 2007]</v>
      </c>
    </row>
    <row r="847" spans="1:31" ht="32" x14ac:dyDescent="0.2">
      <c r="A847">
        <v>100827</v>
      </c>
      <c r="B847" s="11" t="str">
        <f>DataItems3[[#This Row],[Field]]&amp;IF(DataItems3[[#This Row],[Options for supplying the Field]]="",""," "&amp;DataItems3[[#This Row],[Options for supplying the Field]])</f>
        <v>Work - Standard Occupational Classification (SOC) 2020⁽¹⁾ (4 Digit) [XWRK2020SOC]</v>
      </c>
      <c r="C847">
        <v>100827</v>
      </c>
      <c r="D847" s="3" t="s">
        <v>151</v>
      </c>
      <c r="F847" s="3" t="s">
        <v>2772</v>
      </c>
      <c r="G847" s="13" t="s">
        <v>2773</v>
      </c>
      <c r="H847" s="14" t="s">
        <v>2774</v>
      </c>
      <c r="J847" s="3">
        <v>1</v>
      </c>
      <c r="K847" s="3">
        <v>4</v>
      </c>
      <c r="L847" s="3">
        <v>3</v>
      </c>
      <c r="M847" s="3">
        <v>2</v>
      </c>
      <c r="N847" s="3" t="s">
        <v>89</v>
      </c>
      <c r="Q847" s="16" t="s">
        <v>2775</v>
      </c>
      <c r="S847" s="16" t="s">
        <v>3390</v>
      </c>
      <c r="U847" s="3" t="s">
        <v>2776</v>
      </c>
      <c r="W847" s="77" t="s">
        <v>2909</v>
      </c>
      <c r="X847" t="str">
        <f>DataItems3[[#This Row],[Collection]]&amp;DataItems3[[#This Row],[Field]]&amp;DataItems3[[#This Row],[Options for supplying the Field]]&amp;DataItems3[[#This Row],[Fieldname]]&amp;DataItems3[[#This Row],[Parent]]</f>
        <v>Graduate OutcomesWork - Standard Occupational Classification (SOC) 2020⁽¹⁾(4 Digit) [XWRK2020SOC]F_XWRK2020SOC</v>
      </c>
      <c r="Y847" s="4">
        <v>44404</v>
      </c>
      <c r="Z847" t="s">
        <v>56</v>
      </c>
      <c r="AA847" s="28" t="str">
        <f t="shared" si="120"/>
        <v xml:space="preserve">CASE WHEN ISNULL(g.ZRESPSTATUS, '02')='02'   OR ISNULL(g.XACTIVITY, '99')='99' THEN 'Not in GO publication population'   WHEN ISNULL(g.XWRK2020SOC, '$') IN ('$', '_','$$','__','$$$$','____','0001') THEN 'NA/UNK'   ELSE ISNULL(g.XWRK2020SOC, 'NA/UNK')END </v>
      </c>
      <c r="AB847" s="28" t="str">
        <f t="shared" si="124"/>
        <v xml:space="preserve">CASE WHEN ISNULL(g.ZRESPSTATUS, '02')='02'   OR ISNULL(g.XACTIVITY, '99')='99' THEN 'Not in GO publication population'   WHEN ISNULL(g.XWRK2020SOC, '$') IN ('$', '_','$$','__','$$$$','____','0001') THEN 'NA/UNK'   ELSE ISNULL(XWRK2020SOC.label, 'Not applicable/Unknown')END </v>
      </c>
      <c r="AC847" s="28" t="str">
        <f t="shared" si="122"/>
        <v/>
      </c>
      <c r="AD847" s="28" t="str">
        <f t="shared" si="125"/>
        <v/>
      </c>
      <c r="AE847" t="str">
        <f t="shared" si="123"/>
        <v>[Work - Standard Occupational Classification (SOC) 2020]</v>
      </c>
    </row>
    <row r="848" spans="1:31" ht="32" x14ac:dyDescent="0.2">
      <c r="A848">
        <v>100828</v>
      </c>
      <c r="B848" s="11" t="str">
        <f>DataItems3[[#This Row],[Field]]&amp;IF(DataItems3[[#This Row],[Options for supplying the Field]]="",""," "&amp;DataItems3[[#This Row],[Options for supplying the Field]])</f>
        <v>Work - Standard Occupational Classification (SOC) 2020⁽¹⁾ (major grouping) [XWRK2020SOC1]</v>
      </c>
      <c r="C848">
        <v>100828</v>
      </c>
      <c r="D848" s="3" t="s">
        <v>151</v>
      </c>
      <c r="F848" s="3" t="s">
        <v>2772</v>
      </c>
      <c r="G848" s="13" t="s">
        <v>2777</v>
      </c>
      <c r="H848" s="14" t="s">
        <v>2778</v>
      </c>
      <c r="J848" s="3">
        <v>1</v>
      </c>
      <c r="K848" s="3">
        <v>2</v>
      </c>
      <c r="L848" s="3">
        <v>0</v>
      </c>
      <c r="M848" s="3">
        <v>0</v>
      </c>
      <c r="N848" s="3" t="s">
        <v>89</v>
      </c>
      <c r="Q848" s="16" t="s">
        <v>2779</v>
      </c>
      <c r="S848" s="16" t="s">
        <v>3391</v>
      </c>
      <c r="U848" s="3" t="s">
        <v>2780</v>
      </c>
      <c r="W848" s="77" t="s">
        <v>2909</v>
      </c>
      <c r="X848" t="str">
        <f>DataItems3[[#This Row],[Collection]]&amp;DataItems3[[#This Row],[Field]]&amp;DataItems3[[#This Row],[Options for supplying the Field]]&amp;DataItems3[[#This Row],[Fieldname]]&amp;DataItems3[[#This Row],[Parent]]</f>
        <v>Graduate OutcomesWork - Standard Occupational Classification (SOC) 2020⁽¹⁾(major grouping) [XWRK2020SOC1]F_XWRK2020SOC1</v>
      </c>
      <c r="Y848" s="4">
        <v>44404</v>
      </c>
      <c r="Z848" t="s">
        <v>56</v>
      </c>
      <c r="AA848" s="28" t="str">
        <f t="shared" si="120"/>
        <v xml:space="preserve">CASE WHEN ISNULL(g.ZRESPSTATUS, '02')='02'   OR ISNULL(g.XACTIVITY, '99')='99' THEN 'Not in GO publication population'  WHEN ISNULL(g.XWRK2020SOC1, '$') IN ('$', '_','$$','__','X') THEN 'NA/UNK'  ELSE ISNULL(g.XWRK2020SOC1, 'NA/UNK')END </v>
      </c>
      <c r="AB848" s="28" t="str">
        <f t="shared" si="124"/>
        <v xml:space="preserve">CASE WHEN ISNULL(g.ZRESPSTATUS, '02')='02'   OR ISNULL(g.XACTIVITY, '99')='99' THEN 'Not in GO publication population'  WHEN ISNULL(g.XWRK2020SOC1, '$') IN ('$', '_','$$','__','X') THEN 'NA/UNK'  ELSE ISNULL(XWRK2020SOC1.label, 'Not applicable/Unknown')END </v>
      </c>
      <c r="AC848" s="28" t="str">
        <f t="shared" si="122"/>
        <v/>
      </c>
      <c r="AD848" s="28" t="str">
        <f t="shared" si="125"/>
        <v/>
      </c>
      <c r="AE848" t="str">
        <f t="shared" si="123"/>
        <v>[Work - Standard Occupational Classification (SOC) 2020]</v>
      </c>
    </row>
    <row r="849" spans="1:34" ht="32" x14ac:dyDescent="0.2">
      <c r="A849">
        <v>100829</v>
      </c>
      <c r="B849" s="11" t="str">
        <f>DataItems3[[#This Row],[Field]]&amp;IF(DataItems3[[#This Row],[Options for supplying the Field]]="",""," "&amp;DataItems3[[#This Row],[Options for supplying the Field]])</f>
        <v>Work - Standard Occupational Classification (SOC) 2020⁽¹⁾ (minor grouping) [XWRK2020SOC3]</v>
      </c>
      <c r="C849">
        <v>100829</v>
      </c>
      <c r="D849" s="3" t="s">
        <v>151</v>
      </c>
      <c r="F849" s="3" t="s">
        <v>2772</v>
      </c>
      <c r="G849" s="13" t="s">
        <v>2781</v>
      </c>
      <c r="H849" s="14" t="s">
        <v>2782</v>
      </c>
      <c r="J849" s="3">
        <v>1</v>
      </c>
      <c r="K849" s="3">
        <v>3</v>
      </c>
      <c r="L849" s="3">
        <v>0</v>
      </c>
      <c r="M849" s="3">
        <v>0</v>
      </c>
      <c r="N849" s="3" t="s">
        <v>89</v>
      </c>
      <c r="Q849" s="16" t="s">
        <v>2783</v>
      </c>
      <c r="S849" s="16" t="s">
        <v>2784</v>
      </c>
      <c r="U849" s="3" t="s">
        <v>2785</v>
      </c>
      <c r="W849" s="77" t="s">
        <v>2909</v>
      </c>
      <c r="X849" t="str">
        <f>DataItems3[[#This Row],[Collection]]&amp;DataItems3[[#This Row],[Field]]&amp;DataItems3[[#This Row],[Options for supplying the Field]]&amp;DataItems3[[#This Row],[Fieldname]]&amp;DataItems3[[#This Row],[Parent]]</f>
        <v>Graduate OutcomesWork - Standard Occupational Classification (SOC) 2020⁽¹⁾(minor grouping) [XWRK2020SOC3]F_XWRK2020SOC3</v>
      </c>
      <c r="Y849" s="4">
        <v>44404</v>
      </c>
      <c r="Z849" t="s">
        <v>56</v>
      </c>
      <c r="AA849" s="28" t="str">
        <f t="shared" si="120"/>
        <v xml:space="preserve">CASE WHEN ISNULL(g.ZRESPSTATUS, '02')='02'   OR ISNULL(g.XACTIVITY, '99')='99' THEN 'Not in GO publication population'   WHEN ISNULL(g.XWRK2020SOC3, '$') IN ('$', '_','$$','__','$$$','___') THEN 'NA/UNK'   ELSE ISNULL(g.XWRK2020SOC3, 'NA/UNK')END </v>
      </c>
      <c r="AB849" s="28" t="str">
        <f t="shared" si="124"/>
        <v xml:space="preserve">CASE WHEN ISNULL(g.ZRESPSTATUS, '02')='02'   OR ISNULL(g.XACTIVITY, '99')='99' THEN 'Not in GO publication population'   WHEN ISNULL(g.XWRK2020SOC3, '$') IN ('$', '_','$$','__','$$$','___') THEN 'NA/UNK'   ELSE ISNULL(XWRK2020SOC3.label, 'NA/UNK')END </v>
      </c>
      <c r="AC849" s="28" t="str">
        <f t="shared" si="122"/>
        <v/>
      </c>
      <c r="AD849" s="28" t="str">
        <f t="shared" si="125"/>
        <v/>
      </c>
      <c r="AE849" t="str">
        <f t="shared" si="123"/>
        <v>[Work - Standard Occupational Classification (SOC) 2020]</v>
      </c>
    </row>
    <row r="850" spans="1:34" ht="32" x14ac:dyDescent="0.2">
      <c r="A850">
        <v>100598</v>
      </c>
      <c r="B850" s="11" t="str">
        <f>DataItems3[[#This Row],[Field]]&amp;IF(DataItems3[[#This Row],[Options for supplying the Field]]="",""," "&amp;DataItems3[[#This Row],[Options for supplying the Field]])</f>
        <v>Work as part of a team [WRKPART] -opt in question</v>
      </c>
      <c r="C850">
        <v>100598</v>
      </c>
      <c r="D850" s="3" t="s">
        <v>151</v>
      </c>
      <c r="F850" s="3" t="s">
        <v>2786</v>
      </c>
      <c r="G850" s="13" t="s">
        <v>2787</v>
      </c>
      <c r="I850" s="3" t="s">
        <v>2991</v>
      </c>
      <c r="J850" s="3">
        <v>1</v>
      </c>
      <c r="K850" s="3">
        <v>2</v>
      </c>
      <c r="L850" s="3">
        <v>0</v>
      </c>
      <c r="M850" s="3">
        <v>0</v>
      </c>
      <c r="P850" s="3" t="s">
        <v>448</v>
      </c>
      <c r="R850" s="3" t="s">
        <v>93</v>
      </c>
      <c r="V850" s="3" t="s">
        <v>93</v>
      </c>
      <c r="W850" s="77" t="s">
        <v>2926</v>
      </c>
      <c r="X850" t="str">
        <f>DataItems3[[#This Row],[Collection]]&amp;DataItems3[[#This Row],[Field]]&amp;DataItems3[[#This Row],[Options for supplying the Field]]&amp;DataItems3[[#This Row],[Fieldname]]&amp;DataItems3[[#This Row],[Parent]]</f>
        <v>Graduate OutcomesWork as part of a team[WRKPART] -opt in questionProvider &gt; Graduate &gt; Opt in questions:</v>
      </c>
      <c r="Y850" s="15">
        <v>43550</v>
      </c>
      <c r="Z850" t="s">
        <v>159</v>
      </c>
      <c r="AA850" s="28" t="str">
        <f t="shared" si="120"/>
        <v/>
      </c>
      <c r="AB850" s="28" t="str">
        <f t="shared" si="124"/>
        <v/>
      </c>
      <c r="AC850" s="28" t="str">
        <f t="shared" si="122"/>
        <v/>
      </c>
      <c r="AD850" s="28" t="str">
        <f t="shared" si="125"/>
        <v/>
      </c>
      <c r="AE850" t="str">
        <f t="shared" si="123"/>
        <v>[Work as part of a team]</v>
      </c>
    </row>
    <row r="851" spans="1:34" ht="32" x14ac:dyDescent="0.2">
      <c r="A851">
        <v>100599</v>
      </c>
      <c r="B851" s="11" t="str">
        <f>DataItems3[[#This Row],[Field]]&amp;IF(DataItems3[[#This Row],[Options for supplying the Field]]="",""," "&amp;DataItems3[[#This Row],[Options for supplying the Field]])</f>
        <v>Work autonomously [WRKAUTO] -opt in question</v>
      </c>
      <c r="C851">
        <v>100599</v>
      </c>
      <c r="D851" s="3" t="s">
        <v>151</v>
      </c>
      <c r="F851" s="3" t="s">
        <v>2788</v>
      </c>
      <c r="G851" s="13" t="s">
        <v>2789</v>
      </c>
      <c r="I851" s="3" t="s">
        <v>2991</v>
      </c>
      <c r="J851" s="3">
        <v>1</v>
      </c>
      <c r="K851" s="3">
        <v>2</v>
      </c>
      <c r="L851" s="3">
        <v>0</v>
      </c>
      <c r="M851" s="3">
        <v>0</v>
      </c>
      <c r="P851" s="3" t="s">
        <v>448</v>
      </c>
      <c r="R851" s="3" t="s">
        <v>93</v>
      </c>
      <c r="V851" s="3" t="s">
        <v>93</v>
      </c>
      <c r="W851" s="77" t="s">
        <v>2926</v>
      </c>
      <c r="X851" t="str">
        <f>DataItems3[[#This Row],[Collection]]&amp;DataItems3[[#This Row],[Field]]&amp;DataItems3[[#This Row],[Options for supplying the Field]]&amp;DataItems3[[#This Row],[Fieldname]]&amp;DataItems3[[#This Row],[Parent]]</f>
        <v>Graduate OutcomesWork autonomously[WRKAUTO] -opt in questionProvider &gt; Graduate &gt; Opt in questions:</v>
      </c>
      <c r="Y851" s="15">
        <v>43550</v>
      </c>
      <c r="Z851" t="s">
        <v>159</v>
      </c>
      <c r="AA851" s="28" t="str">
        <f t="shared" si="120"/>
        <v/>
      </c>
      <c r="AB851" s="28" t="str">
        <f t="shared" si="124"/>
        <v/>
      </c>
      <c r="AC851" s="28" t="str">
        <f t="shared" si="122"/>
        <v/>
      </c>
      <c r="AD851" s="28" t="str">
        <f t="shared" si="125"/>
        <v/>
      </c>
      <c r="AE851" t="str">
        <f t="shared" si="123"/>
        <v>[Work autonomously]</v>
      </c>
    </row>
    <row r="852" spans="1:34" ht="16" x14ac:dyDescent="0.2">
      <c r="A852">
        <v>100625</v>
      </c>
      <c r="B852" s="19" t="str">
        <f>DataItems3[[#This Row],[Field]]&amp;IF(DataItems3[[#This Row],[Options for supplying the Field]]="",""," "&amp;DataItems3[[#This Row],[Options for supplying the Field]])</f>
        <v>Work for employer marker [F_XEMPLOYERMARKER]</v>
      </c>
      <c r="C852">
        <v>100625</v>
      </c>
      <c r="D852" s="3" t="s">
        <v>151</v>
      </c>
      <c r="F852" s="3" t="s">
        <v>2790</v>
      </c>
      <c r="G852" s="13" t="str">
        <f>"["&amp;H852&amp;"]"</f>
        <v>[F_XEMPLOYERMARKER]</v>
      </c>
      <c r="H852" s="3" t="s">
        <v>2791</v>
      </c>
      <c r="J852" s="3">
        <v>1</v>
      </c>
      <c r="K852" s="3">
        <v>1</v>
      </c>
      <c r="L852" s="3">
        <v>0</v>
      </c>
      <c r="M852" s="3">
        <v>0</v>
      </c>
      <c r="P852" s="3" t="s">
        <v>952</v>
      </c>
      <c r="Q852" s="16" t="s">
        <v>3392</v>
      </c>
      <c r="R852" s="3" t="s">
        <v>93</v>
      </c>
      <c r="S852" s="16" t="s">
        <v>3393</v>
      </c>
      <c r="U852" s="3" t="s">
        <v>2792</v>
      </c>
      <c r="V852" s="3" t="s">
        <v>93</v>
      </c>
      <c r="W852" s="77" t="s">
        <v>2909</v>
      </c>
      <c r="X852" t="str">
        <f>DataItems3[[#This Row],[Collection]]&amp;DataItems3[[#This Row],[Field]]&amp;DataItems3[[#This Row],[Options for supplying the Field]]&amp;DataItems3[[#This Row],[Fieldname]]&amp;DataItems3[[#This Row],[Parent]]</f>
        <v>Graduate OutcomesWork for employer marker[F_XEMPLOYERMARKER]F_XEMPLOYERMARKERProvider &gt; Official Stats Derived Field &gt; Work</v>
      </c>
      <c r="Y852" s="15">
        <v>44008</v>
      </c>
      <c r="Z852" t="s">
        <v>159</v>
      </c>
      <c r="AA852" s="28" t="str">
        <f t="shared" si="120"/>
        <v>CASE WHEN ISNULL(g.ZRESPSTATUS, '02')='02' OR ISNULL(g.XACTIVITY, '99')='99' THEN 'Not in GO publication population' else isnull(g.XEMPLOYERMARKER,'Not applicable/Unknown') end</v>
      </c>
      <c r="AB852" s="28" t="str">
        <f t="shared" si="124"/>
        <v>CASE WHEN ISNULL(g.ZRESPSTATUS, '02')='02' OR ISNULL(g.XACTIVITY, '99')='99' THEN 'Not in GO publication population' else isnull(empmarker.label,'Not applicable/Unknown') end</v>
      </c>
      <c r="AC852" s="28" t="str">
        <f t="shared" si="122"/>
        <v/>
      </c>
      <c r="AD852" s="28" t="str">
        <f t="shared" si="125"/>
        <v/>
      </c>
      <c r="AE852" t="str">
        <f t="shared" si="123"/>
        <v>[Work for employer marker]</v>
      </c>
    </row>
    <row r="853" spans="1:34" ht="16" x14ac:dyDescent="0.2">
      <c r="A853">
        <v>100600</v>
      </c>
      <c r="B853" s="11" t="str">
        <f>DataItems3[[#This Row],[Field]]&amp;IF(DataItems3[[#This Row],[Options for supplying the Field]]="",""," "&amp;DataItems3[[#This Row],[Options for supplying the Field]])</f>
        <v>Work meaningful [WRKMEAN]</v>
      </c>
      <c r="C853">
        <v>100600</v>
      </c>
      <c r="D853" s="3" t="s">
        <v>151</v>
      </c>
      <c r="F853" s="3" t="s">
        <v>2793</v>
      </c>
      <c r="G853" s="13" t="s">
        <v>2794</v>
      </c>
      <c r="H853" s="3" t="s">
        <v>2795</v>
      </c>
      <c r="J853" s="3">
        <v>1</v>
      </c>
      <c r="K853" s="3">
        <v>2</v>
      </c>
      <c r="L853" s="3">
        <v>0</v>
      </c>
      <c r="M853" s="3">
        <v>4</v>
      </c>
      <c r="P853" s="3" t="s">
        <v>248</v>
      </c>
      <c r="Q853" s="16" t="s">
        <v>2796</v>
      </c>
      <c r="R853" s="3" t="s">
        <v>93</v>
      </c>
      <c r="S853" s="16" t="s">
        <v>2797</v>
      </c>
      <c r="U853" s="3" t="s">
        <v>2798</v>
      </c>
      <c r="V853" s="3" t="s">
        <v>93</v>
      </c>
      <c r="W853" s="77" t="s">
        <v>2909</v>
      </c>
      <c r="X853" t="str">
        <f>DataItems3[[#This Row],[Collection]]&amp;DataItems3[[#This Row],[Field]]&amp;DataItems3[[#This Row],[Options for supplying the Field]]&amp;DataItems3[[#This Row],[Fieldname]]&amp;DataItems3[[#This Row],[Parent]]</f>
        <v>Graduate OutcomesWork meaningful[WRKMEAN]WRKMEANProvider &gt; Graduate &gt; Activity Reflection:</v>
      </c>
      <c r="Y853" s="15">
        <v>43550</v>
      </c>
      <c r="Z853" t="s">
        <v>159</v>
      </c>
      <c r="AA853" s="28" t="str">
        <f t="shared" si="120"/>
        <v>CASE WHEN ISNULL(g.ZRESPSTATUS, '02')='02' OR ISNULL(g.XACTIVITY, '99')='99' THEN 'Not in GO publication population' else IIF(isnull(g.WRKMEAN,'')='','N/A',g.WRKMEAN) end</v>
      </c>
      <c r="AB853" s="28" t="str">
        <f t="shared" si="124"/>
        <v>CASE WHEN ISNULL(g.ZRESPSTATUS, '02')='02' OR ISNULL(g.XACTIVITY, '99')='99' THEN 'Not in GO publication population' else  IIF(isnull(g.WRKMEAN,'')='','N/A',wrkmean.label) end</v>
      </c>
      <c r="AC853" s="28" t="str">
        <f t="shared" si="122"/>
        <v/>
      </c>
      <c r="AD853" s="28" t="str">
        <f t="shared" si="125"/>
        <v/>
      </c>
      <c r="AE853" t="str">
        <f t="shared" si="123"/>
        <v>[Work meaningful]</v>
      </c>
    </row>
    <row r="854" spans="1:34" ht="16" x14ac:dyDescent="0.2">
      <c r="A854">
        <v>100601</v>
      </c>
      <c r="B854" s="11" t="str">
        <f>DataItems3[[#This Row],[Field]]&amp;IF(DataItems3[[#This Row],[Options for supplying the Field]]="",""," "&amp;DataItems3[[#This Row],[Options for supplying the Field]])</f>
        <v>Work on-track [WRKONTRACK]</v>
      </c>
      <c r="C854">
        <v>100601</v>
      </c>
      <c r="D854" s="3" t="s">
        <v>151</v>
      </c>
      <c r="F854" s="3" t="s">
        <v>2799</v>
      </c>
      <c r="G854" s="13" t="s">
        <v>2800</v>
      </c>
      <c r="H854" s="3" t="s">
        <v>2801</v>
      </c>
      <c r="J854" s="3">
        <v>1</v>
      </c>
      <c r="K854" s="3">
        <v>2</v>
      </c>
      <c r="L854" s="3">
        <v>0</v>
      </c>
      <c r="M854" s="3">
        <v>4</v>
      </c>
      <c r="P854" s="3" t="s">
        <v>248</v>
      </c>
      <c r="Q854" s="16" t="s">
        <v>2802</v>
      </c>
      <c r="R854" s="3" t="s">
        <v>93</v>
      </c>
      <c r="S854" s="16" t="s">
        <v>2803</v>
      </c>
      <c r="U854" s="3" t="s">
        <v>2804</v>
      </c>
      <c r="V854" s="3" t="s">
        <v>93</v>
      </c>
      <c r="W854" s="77" t="s">
        <v>2909</v>
      </c>
      <c r="X854" t="str">
        <f>DataItems3[[#This Row],[Collection]]&amp;DataItems3[[#This Row],[Field]]&amp;DataItems3[[#This Row],[Options for supplying the Field]]&amp;DataItems3[[#This Row],[Fieldname]]&amp;DataItems3[[#This Row],[Parent]]</f>
        <v>Graduate OutcomesWork on-track[WRKONTRACK]WRKONTRACKProvider &gt; Graduate &gt; Activity Reflection:</v>
      </c>
      <c r="Y854" s="15">
        <v>43550</v>
      </c>
      <c r="Z854" t="s">
        <v>159</v>
      </c>
      <c r="AA854" s="28" t="str">
        <f t="shared" si="120"/>
        <v>CASE WHEN ISNULL(g.ZRESPSTATUS, '02')='02' OR ISNULL(g.XACTIVITY, '99')='99' THEN 'Not in GO publication population' else IIF(isnull(g.WRKONTRACK,'')='','N/A',g.WRKONTRACK) end</v>
      </c>
      <c r="AB854" s="28" t="str">
        <f>IF(S854="","",IF(IFERROR(SEARCH("select",S854)&gt;0,0),IF(U854="",IF(MID(S854,SEARCH(H854,S854)-4,1)=" ",MID(S854,SEARCH(H854,S854)-2,LEN(O877)+2),MID(S854,SEARCH(H854,S854)-3,LEN(H854)+3)),U854&amp;"."&amp;H854),S854))</f>
        <v>CASE WHEN ISNULL(g.ZRESPSTATUS, '02')='02' OR ISNULL(g.XACTIVITY, '99')='99' THEN 'Not in GO publication population' else IIF(isnull(g.WRKONTRACK,'')='','N/A',wrkontrack.label) end</v>
      </c>
      <c r="AC854" s="28" t="str">
        <f t="shared" si="122"/>
        <v/>
      </c>
      <c r="AD854" s="28" t="str">
        <f>IF(T854="","",IF(IFERROR(SEARCH("select",T854)&gt;0,0),IF(U854="",IF(MID(T854,SEARCH(H854,T854)-4,1)=" ",MID(T854,SEARCH(H854,T854)-2,LEN(O877)+2),MID(T854,SEARCH(H854,T854)-3,LEN(H854)+3)),U854&amp;"."&amp;H854),T854))</f>
        <v/>
      </c>
      <c r="AE854" t="str">
        <f t="shared" si="123"/>
        <v>[Work on-track]</v>
      </c>
    </row>
    <row r="855" spans="1:34" ht="32" x14ac:dyDescent="0.2">
      <c r="A855">
        <v>100602</v>
      </c>
      <c r="B855" s="11" t="str">
        <f>DataItems3[[#This Row],[Field]]&amp;IF(DataItems3[[#This Row],[Options for supplying the Field]]="",""," "&amp;DataItems3[[#This Row],[Options for supplying the Field]])</f>
        <v>Work placement(s) or internship(s) [PLCINTSHP] -opt in question</v>
      </c>
      <c r="C855">
        <v>100602</v>
      </c>
      <c r="D855" s="3" t="s">
        <v>151</v>
      </c>
      <c r="F855" s="3" t="s">
        <v>2805</v>
      </c>
      <c r="G855" s="13" t="s">
        <v>2806</v>
      </c>
      <c r="I855" s="3" t="s">
        <v>2991</v>
      </c>
      <c r="J855" s="3">
        <v>1</v>
      </c>
      <c r="K855" s="3">
        <v>2</v>
      </c>
      <c r="L855" s="3">
        <v>0</v>
      </c>
      <c r="M855" s="3">
        <v>0</v>
      </c>
      <c r="P855" s="3" t="s">
        <v>448</v>
      </c>
      <c r="R855" s="3" t="s">
        <v>93</v>
      </c>
      <c r="V855" s="3" t="s">
        <v>93</v>
      </c>
      <c r="W855" s="77" t="s">
        <v>2926</v>
      </c>
      <c r="X855" t="str">
        <f>DataItems3[[#This Row],[Collection]]&amp;DataItems3[[#This Row],[Field]]&amp;DataItems3[[#This Row],[Options for supplying the Field]]&amp;DataItems3[[#This Row],[Fieldname]]&amp;DataItems3[[#This Row],[Parent]]</f>
        <v>Graduate OutcomesWork placement(s) or internship(s)[PLCINTSHP] -opt in questionProvider &gt; Graduate &gt; Opt in questions:</v>
      </c>
      <c r="Y855" s="15">
        <v>43550</v>
      </c>
      <c r="Z855" t="s">
        <v>159</v>
      </c>
      <c r="AA855" s="28" t="str">
        <f t="shared" si="120"/>
        <v/>
      </c>
      <c r="AB855" s="28" t="str">
        <f t="shared" ref="AB855:AB862" si="126">IF(S855="","",IF(IFERROR(SEARCH("select",S855)&gt;0,0),IF(U855="",IF(MID(S855,SEARCH(H855,S855)-4,1)=" ",MID(S855,SEARCH(H855,S855)-2,LEN(O899)+2),MID(S855,SEARCH(H855,S855)-3,LEN(H855)+3)),U855&amp;"."&amp;H855),S855))</f>
        <v/>
      </c>
      <c r="AC855" s="28" t="str">
        <f t="shared" si="122"/>
        <v/>
      </c>
      <c r="AD855" s="28" t="str">
        <f t="shared" ref="AD855:AD862" si="127">IF(T855="","",IF(IFERROR(SEARCH("select",T855)&gt;0,0),IF(U855="",IF(MID(T855,SEARCH(H855,T855)-4,1)=" ",MID(T855,SEARCH(H855,T855)-2,LEN(O879)+2),MID(T855,SEARCH(H855,T855)-3,LEN(H855)+3)),U855&amp;"."&amp;H855),T855))</f>
        <v/>
      </c>
      <c r="AE855" t="str">
        <f t="shared" si="123"/>
        <v>[Work placement(s) or internship(s)]</v>
      </c>
    </row>
    <row r="856" spans="1:34" ht="16" x14ac:dyDescent="0.2">
      <c r="A856">
        <v>100603</v>
      </c>
      <c r="B856" s="11" t="str">
        <f>DataItems3[[#This Row],[Field]]&amp;IF(DataItems3[[#This Row],[Options for supplying the Field]]="",""," "&amp;DataItems3[[#This Row],[Options for supplying the Field]])</f>
        <v>Work skills [WRKSKILLS]</v>
      </c>
      <c r="C856">
        <v>100603</v>
      </c>
      <c r="D856" s="3" t="s">
        <v>151</v>
      </c>
      <c r="F856" s="3" t="s">
        <v>2807</v>
      </c>
      <c r="G856" s="13" t="s">
        <v>2808</v>
      </c>
      <c r="H856" s="3" t="s">
        <v>2809</v>
      </c>
      <c r="J856" s="3">
        <v>1</v>
      </c>
      <c r="K856" s="3">
        <v>2</v>
      </c>
      <c r="L856" s="3">
        <v>0</v>
      </c>
      <c r="M856" s="3">
        <v>0</v>
      </c>
      <c r="P856" s="3" t="s">
        <v>248</v>
      </c>
      <c r="Q856" s="16" t="s">
        <v>2810</v>
      </c>
      <c r="R856" s="3" t="s">
        <v>93</v>
      </c>
      <c r="S856" s="16" t="s">
        <v>2811</v>
      </c>
      <c r="U856" s="3" t="s">
        <v>2812</v>
      </c>
      <c r="V856" s="3" t="s">
        <v>93</v>
      </c>
      <c r="W856" s="77" t="s">
        <v>2909</v>
      </c>
      <c r="X856" t="str">
        <f>DataItems3[[#This Row],[Collection]]&amp;DataItems3[[#This Row],[Field]]&amp;DataItems3[[#This Row],[Options for supplying the Field]]&amp;DataItems3[[#This Row],[Fieldname]]&amp;DataItems3[[#This Row],[Parent]]</f>
        <v>Graduate OutcomesWork skills[WRKSKILLS]WRKSKILLSProvider &gt; Graduate &gt; Activity Reflection:</v>
      </c>
      <c r="Y856" s="15">
        <v>43550</v>
      </c>
      <c r="Z856" t="s">
        <v>159</v>
      </c>
      <c r="AA856" s="28" t="str">
        <f t="shared" si="120"/>
        <v>CASE WHEN ISNULL(g.ZRESPSTATUS, '02')='02' OR ISNULL(g.XACTIVITY, '99')='99' THEN 'Not in GO publication population' else IIF(isnull(g.WRKSKILLS,'')='','N/A',g.WRKSKILLS) end</v>
      </c>
      <c r="AB856" s="28" t="str">
        <f t="shared" si="126"/>
        <v xml:space="preserve">CASE WHEN ISNULL(g.ZRESPSTATUS, '02')='02' OR ISNULL(g.XACTIVITY, '99')='99' THEN 'Not in GO publication population' else iif(isnull(g.WRKSKILLS,'')='','N/A',wrkskills.label )end </v>
      </c>
      <c r="AC856" s="28" t="str">
        <f t="shared" si="122"/>
        <v/>
      </c>
      <c r="AD856" s="28" t="str">
        <f t="shared" si="127"/>
        <v/>
      </c>
      <c r="AE856" t="str">
        <f t="shared" si="123"/>
        <v>[Work skills]</v>
      </c>
    </row>
    <row r="857" spans="1:34" ht="32" x14ac:dyDescent="0.2">
      <c r="A857">
        <v>100604</v>
      </c>
      <c r="B857" s="11" t="str">
        <f>DataItems3[[#This Row],[Field]]&amp;IF(DataItems3[[#This Row],[Options for supplying the Field]]="",""," "&amp;DataItems3[[#This Row],[Options for supplying the Field]])</f>
        <v>Work under supervision [WRKSUPER] -opt in question</v>
      </c>
      <c r="C857">
        <v>100604</v>
      </c>
      <c r="D857" s="3" t="s">
        <v>151</v>
      </c>
      <c r="F857" s="3" t="s">
        <v>2813</v>
      </c>
      <c r="G857" s="13" t="s">
        <v>2814</v>
      </c>
      <c r="I857" s="3" t="s">
        <v>2991</v>
      </c>
      <c r="J857" s="3">
        <v>1</v>
      </c>
      <c r="K857" s="3">
        <v>2</v>
      </c>
      <c r="L857" s="3">
        <v>0</v>
      </c>
      <c r="M857" s="3">
        <v>0</v>
      </c>
      <c r="P857" s="3" t="s">
        <v>448</v>
      </c>
      <c r="R857" s="3" t="s">
        <v>93</v>
      </c>
      <c r="V857" s="3" t="s">
        <v>93</v>
      </c>
      <c r="W857" s="77" t="s">
        <v>2926</v>
      </c>
      <c r="X857" t="str">
        <f>DataItems3[[#This Row],[Collection]]&amp;DataItems3[[#This Row],[Field]]&amp;DataItems3[[#This Row],[Options for supplying the Field]]&amp;DataItems3[[#This Row],[Fieldname]]&amp;DataItems3[[#This Row],[Parent]]</f>
        <v>Graduate OutcomesWork under supervision[WRKSUPER] -opt in questionProvider &gt; Graduate &gt; Opt in questions:</v>
      </c>
      <c r="Y857" s="15">
        <v>43550</v>
      </c>
      <c r="Z857" t="s">
        <v>159</v>
      </c>
      <c r="AA857" s="28" t="str">
        <f t="shared" si="120"/>
        <v/>
      </c>
      <c r="AB857" s="28" t="str">
        <f t="shared" si="126"/>
        <v/>
      </c>
      <c r="AC857" s="28" t="str">
        <f t="shared" si="122"/>
        <v/>
      </c>
      <c r="AD857" s="28" t="str">
        <f t="shared" si="127"/>
        <v/>
      </c>
      <c r="AE857" t="str">
        <f t="shared" si="123"/>
        <v>[Work under supervision]</v>
      </c>
    </row>
    <row r="858" spans="1:34" ht="48" x14ac:dyDescent="0.2">
      <c r="A858">
        <v>100606</v>
      </c>
      <c r="B858" s="11" t="str">
        <f>DataItems3[[#This Row],[Field]]&amp;IF(DataItems3[[#This Row],[Options for supplying the Field]]="",""," "&amp;DataItems3[[#This Row],[Options for supplying the Field]])</f>
        <v>Year of programme (Foundation year/ 1/ 2/ 3/ 4/ 5/ 6 years and over/ Unknown)</v>
      </c>
      <c r="C858">
        <v>100606</v>
      </c>
      <c r="D858" s="3" t="s">
        <v>86</v>
      </c>
      <c r="E858" s="3" t="s">
        <v>106</v>
      </c>
      <c r="F858" s="3" t="s">
        <v>2815</v>
      </c>
      <c r="G858" s="13" t="s">
        <v>2816</v>
      </c>
      <c r="H858" s="14" t="s">
        <v>2817</v>
      </c>
      <c r="J858" s="3">
        <v>3</v>
      </c>
      <c r="K858" s="3">
        <v>2</v>
      </c>
      <c r="L858" s="3">
        <v>0</v>
      </c>
      <c r="M858" s="3">
        <v>0</v>
      </c>
      <c r="N858" s="3" t="s">
        <v>106</v>
      </c>
      <c r="Q858" s="16" t="s">
        <v>2818</v>
      </c>
      <c r="R858" s="16" t="s">
        <v>2818</v>
      </c>
      <c r="S858" s="16" t="s">
        <v>2818</v>
      </c>
      <c r="T858" s="16" t="s">
        <v>2818</v>
      </c>
      <c r="U858" s="3" t="s">
        <v>93</v>
      </c>
      <c r="V858" s="3">
        <v>1</v>
      </c>
      <c r="W858" s="77" t="s">
        <v>848</v>
      </c>
      <c r="X858" t="str">
        <f>DataItems3[[#This Row],[Collection]]&amp;DataItems3[[#This Row],[Field]]&amp;DataItems3[[#This Row],[Options for supplying the Field]]&amp;DataItems3[[#This Row],[Fieldname]]&amp;DataItems3[[#This Row],[Parent]]</f>
        <v>StudentYear of programme(Foundation year/ 1/ 2/ 3/ 4/ 5/ 6 years and over/ Unknown)F_YEARPRG</v>
      </c>
      <c r="Y858" s="15"/>
      <c r="AA858" s="28" t="str">
        <f t="shared" si="120"/>
        <v>CASE WHEN s.F_YEARPRG=0 THEN 'Foundation year' WHEN ISNULL(s.F_YEARPRG, 99)=99 THEN 'Unknown' WHEN s.F_YEARPRG&gt;=6 THEN '6 years and over' ELSE CAST(s.F_YEARPRG AS VARCHAR(7))END</v>
      </c>
      <c r="AB858" s="28" t="str">
        <f t="shared" si="126"/>
        <v>CASE WHEN s.F_YEARPRG=0 THEN 'Foundation year' WHEN ISNULL(s.F_YEARPRG, 99)=99 THEN 'Unknown' WHEN s.F_YEARPRG&gt;=6 THEN '6 years and over' ELSE CAST(s.F_YEARPRG AS VARCHAR(7))END</v>
      </c>
      <c r="AC858" s="28" t="str">
        <f t="shared" si="122"/>
        <v>CASE WHEN s.F_YEARPRG=0 THEN 'Foundation year' WHEN ISNULL(s.F_YEARPRG, 99)=99 THEN 'Unknown' WHEN s.F_YEARPRG&gt;=6 THEN '6 years and over' ELSE CAST(s.F_YEARPRG AS VARCHAR(7))END</v>
      </c>
      <c r="AD858" s="28" t="str">
        <f t="shared" si="127"/>
        <v>CASE WHEN s.F_YEARPRG=0 THEN 'Foundation year' WHEN ISNULL(s.F_YEARPRG, 99)=99 THEN 'Unknown' WHEN s.F_YEARPRG&gt;=6 THEN '6 years and over' ELSE CAST(s.F_YEARPRG AS VARCHAR(7))END</v>
      </c>
      <c r="AE858" t="str">
        <f t="shared" si="123"/>
        <v>[Year of programme]</v>
      </c>
    </row>
    <row r="859" spans="1:34" ht="32" x14ac:dyDescent="0.2">
      <c r="A859">
        <v>100607</v>
      </c>
      <c r="B859" s="11" t="str">
        <f>DataItems3[[#This Row],[Field]]&amp;IF(DataItems3[[#This Row],[Options for supplying the Field]]="",""," "&amp;DataItems3[[#This Row],[Options for supplying the Field]])</f>
        <v>Year of student (1/ 2/ 3/ 4/ 5/ 6 years and over/ Unknown)</v>
      </c>
      <c r="C859">
        <v>100607</v>
      </c>
      <c r="D859" s="3" t="s">
        <v>86</v>
      </c>
      <c r="E859" s="3" t="s">
        <v>106</v>
      </c>
      <c r="F859" s="3" t="s">
        <v>2819</v>
      </c>
      <c r="G859" s="13" t="s">
        <v>2820</v>
      </c>
      <c r="H859" s="14" t="s">
        <v>2821</v>
      </c>
      <c r="J859" s="3">
        <v>1</v>
      </c>
      <c r="K859" s="3">
        <v>2</v>
      </c>
      <c r="L859" s="3">
        <v>0</v>
      </c>
      <c r="M859" s="3">
        <v>0</v>
      </c>
      <c r="N859" s="3" t="s">
        <v>89</v>
      </c>
      <c r="Q859" s="16" t="s">
        <v>2822</v>
      </c>
      <c r="R859" s="16" t="s">
        <v>2822</v>
      </c>
      <c r="S859" s="16" t="s">
        <v>2822</v>
      </c>
      <c r="T859" s="16" t="s">
        <v>2822</v>
      </c>
      <c r="U859" s="3" t="s">
        <v>93</v>
      </c>
      <c r="V859" s="3">
        <v>1</v>
      </c>
      <c r="W859" s="77" t="s">
        <v>848</v>
      </c>
      <c r="X859" t="str">
        <f>DataItems3[[#This Row],[Collection]]&amp;DataItems3[[#This Row],[Field]]&amp;DataItems3[[#This Row],[Options for supplying the Field]]&amp;DataItems3[[#This Row],[Fieldname]]&amp;DataItems3[[#This Row],[Parent]]</f>
        <v>StudentYear of student(1/ 2/ 3/ 4/ 5/ 6 years and over/ Unknown)F_YEARSTU</v>
      </c>
      <c r="Y859" s="15">
        <v>43434</v>
      </c>
      <c r="Z859" t="s">
        <v>95</v>
      </c>
      <c r="AA859" s="28" t="str">
        <f t="shared" si="120"/>
        <v>case when isnull(s.f_yearstu,99) = 99 then 'Unknown' when s.f_yearstu &gt;= 6 then '6 years and over' else cast(s.f_yearstu as varchar(7)) end</v>
      </c>
      <c r="AB859" s="28" t="str">
        <f t="shared" si="126"/>
        <v>case when isnull(s.f_yearstu,99) = 99 then 'Unknown' when s.f_yearstu &gt;= 6 then '6 years and over' else cast(s.f_yearstu as varchar(7)) end</v>
      </c>
      <c r="AC859" s="28" t="str">
        <f t="shared" si="122"/>
        <v>case when isnull(s.f_yearstu,99) = 99 then 'Unknown' when s.f_yearstu &gt;= 6 then '6 years and over' else cast(s.f_yearstu as varchar(7)) end</v>
      </c>
      <c r="AD859" s="28" t="str">
        <f t="shared" si="127"/>
        <v>case when isnull(s.f_yearstu,99) = 99 then 'Unknown' when s.f_yearstu &gt;= 6 then '6 years and over' else cast(s.f_yearstu as varchar(7)) end</v>
      </c>
      <c r="AE859" t="str">
        <f t="shared" si="123"/>
        <v>[Year of student]</v>
      </c>
    </row>
    <row r="860" spans="1:34" ht="16" x14ac:dyDescent="0.2">
      <c r="A860">
        <v>100608</v>
      </c>
      <c r="B860" s="11" t="str">
        <f>DataItems3[[#This Row],[Field]]&amp;IF(DataItems3[[#This Row],[Options for supplying the Field]]="",""," "&amp;DataItems3[[#This Row],[Options for supplying the Field]])</f>
        <v>Years worked [YEARWORK]</v>
      </c>
      <c r="C860">
        <v>100608</v>
      </c>
      <c r="D860" s="3" t="s">
        <v>151</v>
      </c>
      <c r="F860" s="3" t="s">
        <v>2823</v>
      </c>
      <c r="G860" s="13" t="s">
        <v>2824</v>
      </c>
      <c r="H860" s="3" t="s">
        <v>2825</v>
      </c>
      <c r="J860" s="3">
        <v>2</v>
      </c>
      <c r="K860" s="3">
        <v>2</v>
      </c>
      <c r="L860" s="3">
        <v>0</v>
      </c>
      <c r="M860" s="3">
        <v>0</v>
      </c>
      <c r="P860" s="3" t="s">
        <v>874</v>
      </c>
      <c r="Q860" s="16" t="s">
        <v>3394</v>
      </c>
      <c r="R860" s="3" t="s">
        <v>93</v>
      </c>
      <c r="S860" s="16" t="s">
        <v>3395</v>
      </c>
      <c r="U860" s="3" t="s">
        <v>93</v>
      </c>
      <c r="V860" s="3" t="s">
        <v>93</v>
      </c>
      <c r="W860" s="77" t="s">
        <v>2909</v>
      </c>
      <c r="X860" t="str">
        <f>DataItems3[[#This Row],[Collection]]&amp;DataItems3[[#This Row],[Field]]&amp;DataItems3[[#This Row],[Options for supplying the Field]]&amp;DataItems3[[#This Row],[Fieldname]]&amp;DataItems3[[#This Row],[Parent]]</f>
        <v>Graduate OutcomesYears worked[YEARWORK]YEARWORKProvider &gt; Graduate &gt; Employment:</v>
      </c>
      <c r="Y860" s="15">
        <v>43550</v>
      </c>
      <c r="Z860" t="s">
        <v>159</v>
      </c>
      <c r="AA860" s="28" t="str">
        <f t="shared" si="120"/>
        <v>CASE WHEN ISNULL(g.ZRESPSTATUS, '02')='02' OR ISNULL(g.XACTIVITY, '99')='99' THEN 'Not in GO publication population' WHEN g.dw_fromdate&gt;=20200801 THEN 'Not applicable 2020/21 onwards'  else iif(isnull(g.YEARWORK,'') in ('','0') , 'NA/UNK' , g.YEARWORK) end</v>
      </c>
      <c r="AB860" s="28" t="str">
        <f t="shared" si="126"/>
        <v>CASE WHEN ISNULL(g.ZRESPSTATUS, '02')='02' OR ISNULL(g.XACTIVITY, '99')='99' THEN 'Not in GO publication population' WHEN g.dw_fromdate&gt;=20200801 THEN 'Not applicable 2020/21 onwards'  else iif(isnull(g.YEARWORK,'') in ('','0') , 'NA/UNK' , g.YEARWORK)end</v>
      </c>
      <c r="AC860" s="28" t="str">
        <f t="shared" si="122"/>
        <v/>
      </c>
      <c r="AD860" s="28" t="str">
        <f t="shared" si="127"/>
        <v/>
      </c>
      <c r="AE860" t="str">
        <f t="shared" si="123"/>
        <v>[Years worked]</v>
      </c>
    </row>
    <row r="861" spans="1:34" ht="16" x14ac:dyDescent="0.2">
      <c r="A861">
        <v>100609</v>
      </c>
      <c r="B861" s="11" t="str">
        <f>DataItems3[[#This Row],[Field]]&amp;IF(DataItems3[[#This Row],[Options for supplying the Field]]="",""," "&amp;DataItems3[[#This Row],[Options for supplying the Field]])</f>
        <v>Young/Mature marker</v>
      </c>
      <c r="C861">
        <v>100609</v>
      </c>
      <c r="D861" s="3" t="s">
        <v>86</v>
      </c>
      <c r="E861" s="3" t="s">
        <v>106</v>
      </c>
      <c r="F861" s="3" t="s">
        <v>2826</v>
      </c>
      <c r="G861" s="13"/>
      <c r="H861" s="14" t="s">
        <v>2827</v>
      </c>
      <c r="J861" s="3">
        <v>4</v>
      </c>
      <c r="K861" s="3">
        <v>2</v>
      </c>
      <c r="L861" s="3">
        <v>0</v>
      </c>
      <c r="M861" s="3">
        <v>0</v>
      </c>
      <c r="N861" s="3" t="s">
        <v>89</v>
      </c>
      <c r="Q861" s="16" t="s">
        <v>2828</v>
      </c>
      <c r="R861" s="16" t="s">
        <v>2828</v>
      </c>
      <c r="S861" s="16" t="s">
        <v>2828</v>
      </c>
      <c r="T861" s="16" t="s">
        <v>2828</v>
      </c>
      <c r="U861" s="3" t="s">
        <v>93</v>
      </c>
      <c r="V861" s="3">
        <v>1</v>
      </c>
      <c r="W861" s="77" t="s">
        <v>94</v>
      </c>
      <c r="X861" t="str">
        <f>DataItems3[[#This Row],[Collection]]&amp;DataItems3[[#This Row],[Field]]&amp;DataItems3[[#This Row],[Options for supplying the Field]]&amp;DataItems3[[#This Row],[Fieldname]]&amp;DataItems3[[#This Row],[Parent]]</f>
        <v>StudentYoung/Mature markerYM_MKR</v>
      </c>
      <c r="Y861" s="15">
        <v>43395</v>
      </c>
      <c r="Z861" t="s">
        <v>828</v>
      </c>
      <c r="AA861" s="28" t="str">
        <f t="shared" si="120"/>
        <v>CASE  when dbo.SP_Age(s.F_BIRTHDTE,s.F_COMDATE)  in ('-1','0') then 'Unknown' WHEN s.F_XLEV301 = 2 AND ISNULL(dbo.SP_Age(s.F_BIRTHDTE,s.F_COMDATE), -9999) BETWEEN 1 AND 20 THEN 'Young' WHEN s.F_XLEV301 = 2 AND ISNULL(dbo.SP_Age(s.F_BIRTHDTE,s.F_COMDATE), -9999) &gt; 20 THEN 'Mature' WHEN s.F_XLEV301 = 1 AND ISNULL(dbo.SP_Age(s.F_BIRTHDTE,s.F_COMDATE), -9999) BETWEEN 1 AND 24 THEN 'Young' WHEN s.F_XLEV301 = 1 AND ISNULL(dbo.SP_Age(s.F_BIRTHDTE,s.F_COMDATE), -9999) &gt; 24 THEN 'Mature' WHEN ISNULL(dbo.SP_Age(s.F_BIRTHDTE,s.F_COMDATE), -9999) = -9999 THEN 'Unknown' ELSE 'error' END</v>
      </c>
      <c r="AB861" s="28" t="str">
        <f t="shared" si="126"/>
        <v>CASE  when dbo.SP_Age(s.F_BIRTHDTE,s.F_COMDATE)  in ('-1','0') then 'Unknown' WHEN s.F_XLEV301 = 2 AND ISNULL(dbo.SP_Age(s.F_BIRTHDTE,s.F_COMDATE), -9999) BETWEEN 1 AND 20 THEN 'Young' WHEN s.F_XLEV301 = 2 AND ISNULL(dbo.SP_Age(s.F_BIRTHDTE,s.F_COMDATE), -9999) &gt; 20 THEN 'Mature' WHEN s.F_XLEV301 = 1 AND ISNULL(dbo.SP_Age(s.F_BIRTHDTE,s.F_COMDATE), -9999) BETWEEN 1 AND 24 THEN 'Young' WHEN s.F_XLEV301 = 1 AND ISNULL(dbo.SP_Age(s.F_BIRTHDTE,s.F_COMDATE), -9999) &gt; 24 THEN 'Mature' WHEN ISNULL(dbo.SP_Age(s.F_BIRTHDTE,s.F_COMDATE), -9999) = -9999 THEN 'Unknown' ELSE 'error' END</v>
      </c>
      <c r="AC861" s="28" t="str">
        <f t="shared" si="122"/>
        <v>CASE  when dbo.SP_Age(s.F_BIRTHDTE,s.F_COMDATE)  in ('-1','0') then 'Unknown' WHEN s.F_XLEV301 = 2 AND ISNULL(dbo.SP_Age(s.F_BIRTHDTE,s.F_COMDATE), -9999) BETWEEN 1 AND 20 THEN 'Young' WHEN s.F_XLEV301 = 2 AND ISNULL(dbo.SP_Age(s.F_BIRTHDTE,s.F_COMDATE), -9999) &gt; 20 THEN 'Mature' WHEN s.F_XLEV301 = 1 AND ISNULL(dbo.SP_Age(s.F_BIRTHDTE,s.F_COMDATE), -9999) BETWEEN 1 AND 24 THEN 'Young' WHEN s.F_XLEV301 = 1 AND ISNULL(dbo.SP_Age(s.F_BIRTHDTE,s.F_COMDATE), -9999) &gt; 24 THEN 'Mature' WHEN ISNULL(dbo.SP_Age(s.F_BIRTHDTE,s.F_COMDATE), -9999) = -9999 THEN 'Unknown' ELSE 'error' END</v>
      </c>
      <c r="AD861" s="28" t="str">
        <f t="shared" si="127"/>
        <v>CASE  when dbo.SP_Age(s.F_BIRTHDTE,s.F_COMDATE)  in ('-1','0') then 'Unknown' WHEN s.F_XLEV301 = 2 AND ISNULL(dbo.SP_Age(s.F_BIRTHDTE,s.F_COMDATE), -9999) BETWEEN 1 AND 20 THEN 'Young' WHEN s.F_XLEV301 = 2 AND ISNULL(dbo.SP_Age(s.F_BIRTHDTE,s.F_COMDATE), -9999) &gt; 20 THEN 'Mature' WHEN s.F_XLEV301 = 1 AND ISNULL(dbo.SP_Age(s.F_BIRTHDTE,s.F_COMDATE), -9999) BETWEEN 1 AND 24 THEN 'Young' WHEN s.F_XLEV301 = 1 AND ISNULL(dbo.SP_Age(s.F_BIRTHDTE,s.F_COMDATE), -9999) &gt; 24 THEN 'Mature' WHEN ISNULL(dbo.SP_Age(s.F_BIRTHDTE,s.F_COMDATE), -9999) = -9999 THEN 'Unknown' ELSE 'error' END</v>
      </c>
      <c r="AE861" t="str">
        <f t="shared" si="123"/>
        <v>[Young/Mature marker]</v>
      </c>
    </row>
    <row r="862" spans="1:34" ht="16" x14ac:dyDescent="0.2">
      <c r="A862">
        <v>100610</v>
      </c>
      <c r="B862" s="11" t="str">
        <f>DataItems3[[#This Row],[Field]]&amp;IF(DataItems3[[#This Row],[Options for supplying the Field]]="",""," "&amp;DataItems3[[#This Row],[Options for supplying the Field]])</f>
        <v>Zero hours contract marker</v>
      </c>
      <c r="C862">
        <v>100610</v>
      </c>
      <c r="D862" s="3" t="s">
        <v>100</v>
      </c>
      <c r="F862" s="3" t="s">
        <v>2829</v>
      </c>
      <c r="G862" s="13"/>
      <c r="H862" s="14" t="s">
        <v>2830</v>
      </c>
      <c r="J862" s="3">
        <v>1</v>
      </c>
      <c r="K862" s="17">
        <v>1</v>
      </c>
      <c r="L862" s="3">
        <v>1</v>
      </c>
      <c r="M862" s="3">
        <v>1</v>
      </c>
      <c r="N862" s="3" t="s">
        <v>89</v>
      </c>
      <c r="P862" s="17"/>
      <c r="Q862" s="16" t="s">
        <v>2831</v>
      </c>
      <c r="R862" s="3" t="s">
        <v>93</v>
      </c>
      <c r="S862" s="16" t="s">
        <v>2832</v>
      </c>
      <c r="U862" s="3" t="s">
        <v>93</v>
      </c>
      <c r="V862" s="3" t="s">
        <v>93</v>
      </c>
      <c r="W862" s="77" t="s">
        <v>109</v>
      </c>
      <c r="X862" t="str">
        <f>DataItems3[[#This Row],[Collection]]&amp;DataItems3[[#This Row],[Field]]&amp;DataItems3[[#This Row],[Options for supplying the Field]]&amp;DataItems3[[#This Row],[Fieldname]]&amp;DataItems3[[#This Row],[Parent]]</f>
        <v>StaffZero hours contract markerf_zerohrs</v>
      </c>
      <c r="Y862" s="15">
        <v>43482</v>
      </c>
      <c r="Z862" t="s">
        <v>225</v>
      </c>
      <c r="AA862" s="28" t="str">
        <f t="shared" si="120"/>
        <v xml:space="preserve">ISNULL(c.f_zerohrs,'UNK') </v>
      </c>
      <c r="AB862" s="28" t="str">
        <f t="shared" si="126"/>
        <v xml:space="preserve"> c.F_zerohrs</v>
      </c>
      <c r="AC862" s="28" t="str">
        <f t="shared" si="122"/>
        <v/>
      </c>
      <c r="AD862" s="28" t="str">
        <f t="shared" si="127"/>
        <v/>
      </c>
      <c r="AE862" t="str">
        <f t="shared" si="123"/>
        <v>[Zero hours contract marker]</v>
      </c>
    </row>
    <row r="863" spans="1:34" ht="16" x14ac:dyDescent="0.2">
      <c r="A863">
        <v>100995</v>
      </c>
      <c r="B863" s="19" t="str">
        <f>DataItems3[[#This Row],[Field]]&amp;IF(DataItems3[[#This Row],[Options for supplying the Field]]="",""," "&amp;DataItems3[[#This Row],[Options for supplying the Field]])</f>
        <v>Primarily outside the UK (DF)</v>
      </c>
      <c r="C863">
        <v>100995</v>
      </c>
      <c r="D863" s="3" t="s">
        <v>2992</v>
      </c>
      <c r="F863" s="3" t="s">
        <v>3396</v>
      </c>
      <c r="G863" s="13"/>
      <c r="H863" s="20" t="s">
        <v>3397</v>
      </c>
      <c r="I863" s="13"/>
      <c r="K863" s="17"/>
      <c r="P863" s="17"/>
      <c r="Q863" s="16" t="s">
        <v>3398</v>
      </c>
      <c r="S863" s="16" t="s">
        <v>3398</v>
      </c>
      <c r="W863" s="82" t="s">
        <v>3243</v>
      </c>
      <c r="X863" t="str">
        <f>DataItems3[[#This Row],[Collection]]&amp;DataItems3[[#This Row],[Field]]&amp;DataItems3[[#This Row],[Options for supplying the Field]]&amp;DataItems3[[#This Row],[Fieldname]]&amp;DataItems3[[#This Row],[Parent]]</f>
        <v>Data FuturesPrimarily outside the UK (DF)Z_PRINONUK</v>
      </c>
      <c r="Y863" s="4">
        <v>45173</v>
      </c>
      <c r="Z863" t="s">
        <v>135</v>
      </c>
      <c r="AA863" s="28" t="str">
        <f t="shared" si="120"/>
        <v>case when df.Z_PRINONUK in ('01') then  'Primarly outside the UK' else 'Not primarily outside the UK' end</v>
      </c>
      <c r="AB863" s="28" t="str">
        <f>IF(S863="","",IF(IFERROR(SEARCH("select",S863)&gt;0,0),IF(U863="",IF(MID(S863,SEARCH(H863,S863)-4,1)=" ",MID(S863,SEARCH(H863,S863)-2,LEN(O886)+2),MID(S863,SEARCH(H863,S863)-3,LEN(H863)+3)),U863&amp;"."&amp;H863),S863))</f>
        <v>case when df.Z_PRINONUK in ('01') then  'Primarly outside the UK' else 'Not primarily outside the UK' end</v>
      </c>
      <c r="AC863" s="28" t="str">
        <f t="shared" ref="AC863:AC876" si="128">IF(T863="","",T863)</f>
        <v/>
      </c>
      <c r="AD863" s="28" t="str">
        <f>IF(T863="","",IF(IFERROR(SEARCH("select",T863)&gt;0,0),IF(U863="",IF(MID(T863,SEARCH(H863,T863)-4,1)=" ",MID(T863,SEARCH(H863,T863)-2,LEN(O886)+2),MID(T863,SEARCH(H863,T863)-3,LEN(H863)+3)),U863&amp;"."&amp;H863),T863))</f>
        <v/>
      </c>
      <c r="AE863" s="28" t="str">
        <f t="shared" si="123"/>
        <v>[Primarily outside the UK (DF)]</v>
      </c>
      <c r="AH863" s="28"/>
    </row>
    <row r="864" spans="1:34" ht="16" x14ac:dyDescent="0.2">
      <c r="A864">
        <v>100997</v>
      </c>
      <c r="B864" s="19" t="str">
        <f>DataItems3[[#This Row],[Field]]&amp;IF(DataItems3[[#This Row],[Options for supplying the Field]]="",""," "&amp;DataItems3[[#This Row],[Options for supplying the Field]])</f>
        <v>Study abroad (DF)</v>
      </c>
      <c r="C864">
        <v>100997</v>
      </c>
      <c r="D864" s="3" t="s">
        <v>2992</v>
      </c>
      <c r="F864" s="3" t="s">
        <v>3399</v>
      </c>
      <c r="G864" s="13"/>
      <c r="H864" s="20" t="s">
        <v>3400</v>
      </c>
      <c r="I864" s="13"/>
      <c r="K864" s="17"/>
      <c r="P864" s="17"/>
      <c r="Q864" s="16" t="s">
        <v>3401</v>
      </c>
      <c r="S864" s="16" t="s">
        <v>3401</v>
      </c>
      <c r="W864" s="82" t="s">
        <v>848</v>
      </c>
      <c r="X864" t="str">
        <f>DataItems3[[#This Row],[Collection]]&amp;DataItems3[[#This Row],[Field]]&amp;DataItems3[[#This Row],[Options for supplying the Field]]&amp;DataItems3[[#This Row],[Fieldname]]&amp;DataItems3[[#This Row],[Parent]]</f>
        <v>Data FuturesStudy abroad (DF)STUDYABROAD</v>
      </c>
      <c r="Y864" s="4">
        <v>45173</v>
      </c>
      <c r="Z864" t="s">
        <v>135</v>
      </c>
      <c r="AA864" s="28" t="str">
        <f t="shared" si="120"/>
        <v>case when df.STUDYABROAD in ('01') then  'Study abroad' else 'Not study abroad' end</v>
      </c>
      <c r="AB864" s="28" t="str">
        <f>IF(S864="","",IF(IFERROR(SEARCH("select",S864)&gt;0,0),IF(U864="",IF(MID(S864,SEARCH(H864,S864)-4,1)=" ",MID(S864,SEARCH(H864,S864)-2,LEN(O885)+2),MID(S864,SEARCH(H864,S864)-3,LEN(H864)+3)),U864&amp;"."&amp;H864),S864))</f>
        <v>case when df.STUDYABROAD in ('01') then  'Study abroad' else 'Not study abroad' end</v>
      </c>
      <c r="AC864" s="28" t="str">
        <f t="shared" si="128"/>
        <v/>
      </c>
      <c r="AD864" s="28" t="str">
        <f>IF(T864="","",IF(IFERROR(SEARCH("select",T864)&gt;0,0),IF(U864="",IF(MID(T864,SEARCH(H864,T864)-4,1)=" ",MID(T864,SEARCH(H864,T864)-2,LEN(O885)+2),MID(T864,SEARCH(H864,T864)-3,LEN(H864)+3)),U864&amp;"."&amp;H864),T864))</f>
        <v/>
      </c>
      <c r="AE864" s="28" t="str">
        <f t="shared" si="123"/>
        <v>[Study abroad (DF)]</v>
      </c>
      <c r="AH864" s="28"/>
    </row>
    <row r="865" spans="1:34" ht="16" x14ac:dyDescent="0.2">
      <c r="A865">
        <v>100996</v>
      </c>
      <c r="B865" s="19" t="str">
        <f>DataItems3[[#This Row],[Field]]&amp;IF(DataItems3[[#This Row],[Options for supplying the Field]]="",""," "&amp;DataItems3[[#This Row],[Options for supplying the Field]])</f>
        <v>Distance (DF)</v>
      </c>
      <c r="C865">
        <v>100996</v>
      </c>
      <c r="D865" s="3" t="s">
        <v>2992</v>
      </c>
      <c r="F865" s="3" t="s">
        <v>3402</v>
      </c>
      <c r="G865" s="13"/>
      <c r="H865" s="20" t="s">
        <v>3403</v>
      </c>
      <c r="I865" s="13"/>
      <c r="K865" s="17"/>
      <c r="P865" s="17"/>
      <c r="Q865" s="16" t="s">
        <v>3404</v>
      </c>
      <c r="S865" s="75" t="s">
        <v>3404</v>
      </c>
      <c r="W865" s="82" t="s">
        <v>150</v>
      </c>
      <c r="X865" t="str">
        <f>DataItems3[[#This Row],[Collection]]&amp;DataItems3[[#This Row],[Field]]&amp;DataItems3[[#This Row],[Options for supplying the Field]]&amp;DataItems3[[#This Row],[Fieldname]]&amp;DataItems3[[#This Row],[Parent]]</f>
        <v>Data FuturesDistance (DF)Z_DISTANCE</v>
      </c>
      <c r="Y865" s="4">
        <v>45173</v>
      </c>
      <c r="Z865" t="s">
        <v>135</v>
      </c>
      <c r="AA865" s="28" t="str">
        <f t="shared" si="120"/>
        <v>df.Z_DISTANCE</v>
      </c>
      <c r="AB865" s="28" t="str">
        <f>IF(S865="","",IF(IFERROR(SEARCH("select",S865)&gt;0,0),IF(U865="",IF(MID(S865,SEARCH(H865,S865)-4,1)=" ",MID(S865,SEARCH(H865,S865)-2,LEN(O886)+2),MID(S865,SEARCH(H865,S865)-3,LEN(H865)+3)),U865&amp;"."&amp;H865),S865))</f>
        <v>df.Z_DISTANCE</v>
      </c>
      <c r="AC865" s="28" t="str">
        <f t="shared" si="128"/>
        <v/>
      </c>
      <c r="AD865" s="28" t="str">
        <f>IF(T865="","",IF(IFERROR(SEARCH("select",T865)&gt;0,0),IF(U865="",IF(MID(T865,SEARCH(H865,T865)-4,1)=" ",MID(T865,SEARCH(H865,T865)-2,LEN(O886)+2),MID(T865,SEARCH(H865,T865)-3,LEN(H865)+3)),U865&amp;"."&amp;H865),T865))</f>
        <v/>
      </c>
      <c r="AE865" s="28" t="str">
        <f t="shared" si="123"/>
        <v>[Distance (DF)]</v>
      </c>
      <c r="AH865" s="28"/>
    </row>
    <row r="866" spans="1:34" ht="16" x14ac:dyDescent="0.2">
      <c r="A866">
        <v>100999</v>
      </c>
      <c r="B866" s="19" t="str">
        <f>DataItems3[[#This Row],[Field]]&amp;IF(DataItems3[[#This Row],[Options for supplying the Field]]="",""," "&amp;DataItems3[[#This Row],[Options for supplying the Field]])</f>
        <v>First year marker (DF)</v>
      </c>
      <c r="C866">
        <v>100999</v>
      </c>
      <c r="D866" s="3" t="s">
        <v>2992</v>
      </c>
      <c r="F866" s="3" t="s">
        <v>3405</v>
      </c>
      <c r="G866" s="13"/>
      <c r="H866" s="20" t="s">
        <v>3406</v>
      </c>
      <c r="I866" s="13"/>
      <c r="K866" s="17"/>
      <c r="P866" s="17"/>
      <c r="Q866" s="16" t="s">
        <v>3407</v>
      </c>
      <c r="S866" s="16" t="s">
        <v>3407</v>
      </c>
      <c r="W866" s="83"/>
      <c r="X866" t="str">
        <f>DataItems3[[#This Row],[Collection]]&amp;DataItems3[[#This Row],[Field]]&amp;DataItems3[[#This Row],[Options for supplying the Field]]&amp;DataItems3[[#This Row],[Fieldname]]&amp;DataItems3[[#This Row],[Parent]]</f>
        <v>Data FuturesFirst year marker (DF)Z_ENTRANT_CYC</v>
      </c>
      <c r="Y866" s="4">
        <v>45184</v>
      </c>
      <c r="Z866" t="s">
        <v>3408</v>
      </c>
      <c r="AA866" s="28" t="str">
        <f t="shared" ref="AA866:AA876" si="129">IF(Q866="","",Q866)</f>
        <v>case when df.Z_ENTRANT_CYC= '1' then 'First year' else 'Other year' end</v>
      </c>
      <c r="AB866" s="28" t="str">
        <f>IF(S866="","",IF(IFERROR(SEARCH("select",S866)&gt;0,0),IF(U866="",IF(MID(S866,SEARCH(H866,S866)-4,1)=" ",MID(S866,SEARCH(H866,S866)-2,LEN(O885)+2),MID(S866,SEARCH(H866,S866)-3,LEN(H866)+3)),U866&amp;"."&amp;H866),S866))</f>
        <v>case when df.Z_ENTRANT_CYC= '1' then 'First year' else 'Other year' end</v>
      </c>
      <c r="AC866" s="28" t="str">
        <f t="shared" si="128"/>
        <v/>
      </c>
      <c r="AD866" s="28" t="str">
        <f>IF(T866="","",IF(IFERROR(SEARCH("select",T866)&gt;0,0),IF(U866="",IF(MID(T866,SEARCH(H866,T866)-4,1)=" ",MID(T866,SEARCH(H866,T866)-2,LEN(O885)+2),MID(T866,SEARCH(H866,T866)-3,LEN(H866)+3)),U866&amp;"."&amp;H866),T866))</f>
        <v/>
      </c>
      <c r="AE866" s="28" t="str">
        <f t="shared" si="123"/>
        <v>[First year marker (DF)]</v>
      </c>
      <c r="AH866" s="28"/>
    </row>
    <row r="867" spans="1:34" ht="16" x14ac:dyDescent="0.2">
      <c r="A867">
        <v>100998</v>
      </c>
      <c r="B867" s="19" t="str">
        <f>DataItems3[[#This Row],[Field]]&amp;IF(DataItems3[[#This Row],[Options for supplying the Field]]="",""," "&amp;DataItems3[[#This Row],[Options for supplying the Field]])</f>
        <v>Expected length of programme (DF)</v>
      </c>
      <c r="C867">
        <v>100998</v>
      </c>
      <c r="D867" s="3" t="s">
        <v>2992</v>
      </c>
      <c r="F867" s="3" t="s">
        <v>3409</v>
      </c>
      <c r="G867" s="13"/>
      <c r="H867" s="20" t="s">
        <v>3410</v>
      </c>
      <c r="I867" s="13"/>
      <c r="J867" s="3">
        <v>1</v>
      </c>
      <c r="K867" s="17">
        <v>2</v>
      </c>
      <c r="L867" s="3">
        <v>0</v>
      </c>
      <c r="M867" s="3">
        <v>0</v>
      </c>
      <c r="P867" s="17"/>
      <c r="Q867" s="16" t="s">
        <v>3411</v>
      </c>
      <c r="S867" s="16" t="s">
        <v>3411</v>
      </c>
      <c r="W867" s="83"/>
      <c r="X867" t="str">
        <f>DataItems3[[#This Row],[Collection]]&amp;DataItems3[[#This Row],[Field]]&amp;DataItems3[[#This Row],[Options for supplying the Field]]&amp;DataItems3[[#This Row],[Fieldname]]&amp;DataItems3[[#This Row],[Parent]]</f>
        <v>Data FuturesExpected length of programme (DF)Z_EXPECTLENGRP1</v>
      </c>
      <c r="Y867" s="4">
        <v>45184</v>
      </c>
      <c r="Z867" t="s">
        <v>3408</v>
      </c>
      <c r="AA867" s="28" t="str">
        <f t="shared" si="129"/>
        <v xml:space="preserve">CAST(df.Z_EXPECTLENGRP1 AS VARCHAR) </v>
      </c>
      <c r="AB867" s="28" t="str">
        <f>IF(S867="","",IF(IFERROR(SEARCH("select",S867)&gt;0,0),IF(U867="",IF(MID(S867,SEARCH(H867,S867)-4,1)=" ",MID(S867,SEARCH(H867,S867)-2,LEN(O886)+2),MID(S867,SEARCH(H867,S867)-3,LEN(H867)+3)),U867&amp;"."&amp;H867),S867))</f>
        <v xml:space="preserve">CAST(df.Z_EXPECTLENGRP1 AS VARCHAR) </v>
      </c>
      <c r="AC867" s="28" t="str">
        <f t="shared" si="128"/>
        <v/>
      </c>
      <c r="AD867" s="28" t="str">
        <f>IF(T867="","",IF(IFERROR(SEARCH("select",T867)&gt;0,0),IF(U867="",IF(MID(T867,SEARCH(H867,T867)-4,1)=" ",MID(T867,SEARCH(H867,T867)-2,LEN(O886)+2),MID(T867,SEARCH(H867,T867)-3,LEN(H867)+3)),U867&amp;"."&amp;H867),T867))</f>
        <v/>
      </c>
      <c r="AE867" s="28" t="str">
        <f t="shared" si="123"/>
        <v>[Expected length of programme (DF)]</v>
      </c>
      <c r="AF867" s="28"/>
      <c r="AG867" s="28"/>
      <c r="AH867" s="28"/>
    </row>
    <row r="868" spans="1:34" ht="16" x14ac:dyDescent="0.2">
      <c r="A868">
        <v>101000</v>
      </c>
      <c r="B868" s="19" t="str">
        <f>DataItems3[[#This Row],[Field]]&amp;IF(DataItems3[[#This Row],[Options for supplying the Field]]="",""," "&amp;DataItems3[[#This Row],[Options for supplying the Field]])</f>
        <v>Ethnicity (DF) (White/ Black/ Asian/ Mixed/ Other/ [Unknown/Not applicable])</v>
      </c>
      <c r="C868">
        <v>101000</v>
      </c>
      <c r="D868" s="3" t="s">
        <v>2992</v>
      </c>
      <c r="F868" s="3" t="s">
        <v>3412</v>
      </c>
      <c r="G868" s="3" t="s">
        <v>993</v>
      </c>
      <c r="H868" s="20" t="s">
        <v>3413</v>
      </c>
      <c r="I868" s="3" t="s">
        <v>3414</v>
      </c>
      <c r="J868" s="3">
        <v>2</v>
      </c>
      <c r="K868" s="17">
        <v>2</v>
      </c>
      <c r="L868" s="3">
        <v>2</v>
      </c>
      <c r="M868" s="3">
        <v>6</v>
      </c>
      <c r="P868" s="17"/>
      <c r="Q868" s="16" t="s">
        <v>3415</v>
      </c>
      <c r="S868" s="16" t="s">
        <v>3415</v>
      </c>
      <c r="W868" s="83"/>
      <c r="X868" t="str">
        <f>DataItems3[[#This Row],[Collection]]&amp;DataItems3[[#This Row],[Field]]&amp;DataItems3[[#This Row],[Options for supplying the Field]]&amp;DataItems3[[#This Row],[Fieldname]]&amp;DataItems3[[#This Row],[Parent]]</f>
        <v>Data FuturesEthnicity (DF)(White/ Black/ Asian/ Mixed/ Other/ [Unknown/Not applicable])Z_ETHNICGRP2</v>
      </c>
      <c r="Y868" s="4">
        <v>45184</v>
      </c>
      <c r="Z868" t="s">
        <v>3408</v>
      </c>
      <c r="AA868" s="28" t="str">
        <f t="shared" si="129"/>
        <v>df.Z_ETHNICGRP2</v>
      </c>
      <c r="AB868" s="28" t="str">
        <f>IF(S868="","",IF(IFERROR(SEARCH("select",S868)&gt;0,0),IF(U868="",IF(MID(S868,SEARCH(H868,S868)-4,1)=" ",MID(S868,SEARCH(H868,S868)-2,LEN(O886)+2),MID(S868,SEARCH(H868,S868)-3,LEN(H868)+3)),U868&amp;"."&amp;H868),S868))</f>
        <v>df.Z_ETHNICGRP2</v>
      </c>
      <c r="AC868" s="28" t="str">
        <f t="shared" si="128"/>
        <v/>
      </c>
      <c r="AD868" s="28" t="str">
        <f>IF(T868="","",IF(IFERROR(SEARCH("select",T868)&gt;0,0),IF(U868="",IF(MID(T868,SEARCH(H868,T868)-4,1)=" ",MID(T868,SEARCH(H868,T868)-2,LEN(O886)+2),MID(T868,SEARCH(H868,T868)-3,LEN(H868)+3)),U868&amp;"."&amp;H868),T868))</f>
        <v/>
      </c>
      <c r="AE868" s="28" t="str">
        <f t="shared" si="123"/>
        <v>[Ethnicity (DF)]</v>
      </c>
      <c r="AF868" s="28"/>
      <c r="AG868" s="28"/>
      <c r="AH868" s="28"/>
    </row>
    <row r="869" spans="1:34" s="67" customFormat="1" ht="16" x14ac:dyDescent="0.2">
      <c r="A869" s="67">
        <v>101001</v>
      </c>
      <c r="B869" s="84" t="str">
        <f>DataItems3[[#This Row],[Field]]&amp;IF(DataItems3[[#This Row],[Options for supplying the Field]]="",""," "&amp;DataItems3[[#This Row],[Options for supplying the Field]])</f>
        <v>Ethnicity (DF) (Asian – Bangladeshi or Bangladeshi British/ Asian – Chinese or Chinese British/ Asian - Indian or Indian British/ Asian - Pakistani or Pakistani British/ Any other Asian background/ Black - African or African British/ Black - Caribbean or Caribbean British/ Any other Black background/ Mixed or multiple ethnic background/ White/ Any other ethnic background/ Not applicable or not known)</v>
      </c>
      <c r="C869" s="67">
        <v>101001</v>
      </c>
      <c r="D869" s="66" t="s">
        <v>2992</v>
      </c>
      <c r="E869" s="66"/>
      <c r="F869" s="66" t="s">
        <v>3412</v>
      </c>
      <c r="G869" s="66" t="s">
        <v>3416</v>
      </c>
      <c r="H869" s="85" t="s">
        <v>3417</v>
      </c>
      <c r="I869" s="66" t="s">
        <v>3414</v>
      </c>
      <c r="J869" s="66">
        <v>3</v>
      </c>
      <c r="K869" s="86">
        <v>3</v>
      </c>
      <c r="L869" s="66">
        <v>3</v>
      </c>
      <c r="M869" s="66">
        <v>8</v>
      </c>
      <c r="N869" s="66"/>
      <c r="O869" s="66"/>
      <c r="P869" s="86"/>
      <c r="Q869" s="75" t="s">
        <v>3418</v>
      </c>
      <c r="R869" s="66"/>
      <c r="S869" s="75" t="s">
        <v>3418</v>
      </c>
      <c r="T869" s="66"/>
      <c r="U869" s="66"/>
      <c r="V869" s="3"/>
      <c r="W869" s="83"/>
      <c r="X869" s="67" t="str">
        <f>DataItems3[[#This Row],[Collection]]&amp;DataItems3[[#This Row],[Field]]&amp;DataItems3[[#This Row],[Options for supplying the Field]]&amp;DataItems3[[#This Row],[Fieldname]]&amp;DataItems3[[#This Row],[Parent]]</f>
        <v>Data FuturesEthnicity (DF)(Asian – Bangladeshi or Bangladeshi British/ Asian – Chinese or Chinese British/ Asian - Indian or Indian British/ Asian - Pakistani or Pakistani British/ Any other Asian background/ Black - African or African British/ Black - Caribbean or Caribbean British/ Any other Black background/ Mixed or multiple ethnic background/ White/ Any other ethnic background/ Not applicable or not known)Z_ETHNICGRP3</v>
      </c>
      <c r="Y869" s="87">
        <v>45184</v>
      </c>
      <c r="Z869" s="67" t="s">
        <v>3408</v>
      </c>
      <c r="AA869" s="74" t="str">
        <f t="shared" si="129"/>
        <v xml:space="preserve">case when df.Z_ETHNICGRP3 in ('Z9') then 'Z9' WHEN (df.Z_PERMADDGRP1 = '01' and df.Z_ETHNICGRP3 IN ('09')) THEN 'Mixed' when df.Z_ETHNICGRP3 in ('11') then 'Other' else df.Z_ETHNICGRP3 end </v>
      </c>
      <c r="AB869" s="74" t="str">
        <f>IF(S869="","",IF(IFERROR(SEARCH("select",S869)&gt;0,0),IF(U869="",IF(MID(S869,SEARCH(H869,S869)-4,1)=" ",MID(S869,SEARCH(H869,S869)-2,LEN(O886)+2),MID(S869,SEARCH(H869,S869)-3,LEN(H869)+3)),U869&amp;"."&amp;H869),S869))</f>
        <v xml:space="preserve">case when df.Z_ETHNICGRP3 in ('Z9') then 'Z9' WHEN (df.Z_PERMADDGRP1 = '01' and df.Z_ETHNICGRP3 IN ('09')) THEN 'Mixed' when df.Z_ETHNICGRP3 in ('11') then 'Other' else df.Z_ETHNICGRP3 end </v>
      </c>
      <c r="AC869" s="74" t="str">
        <f t="shared" si="128"/>
        <v/>
      </c>
      <c r="AD869" s="74" t="str">
        <f>IF(T869="","",IF(IFERROR(SEARCH("select",T869)&gt;0,0),IF(U869="",IF(MID(T869,SEARCH(H869,T869)-4,1)=" ",MID(T869,SEARCH(H869,T869)-2,LEN(O886)+2),MID(T869,SEARCH(H869,T869)-3,LEN(H869)+3)),U869&amp;"."&amp;H869),T869))</f>
        <v/>
      </c>
      <c r="AE869" s="74" t="str">
        <f t="shared" si="123"/>
        <v>[Ethnicity (DF)]</v>
      </c>
      <c r="AF869" s="74"/>
      <c r="AG869" s="74"/>
      <c r="AH869" s="74"/>
    </row>
    <row r="870" spans="1:34" ht="16" x14ac:dyDescent="0.2">
      <c r="A870">
        <v>101002</v>
      </c>
      <c r="B870" s="88" t="str">
        <f>DataItems3[[#This Row],[Field]]&amp;IF(DataItems3[[#This Row],[Options for supplying the Field]]="",""," "&amp;DataItems3[[#This Row],[Options for supplying the Field]])</f>
        <v>Domicile (DF) (County/ Unitary Authority/Non UK)</v>
      </c>
      <c r="C870">
        <v>101002</v>
      </c>
      <c r="D870" s="3" t="s">
        <v>2992</v>
      </c>
      <c r="F870" s="3" t="s">
        <v>3419</v>
      </c>
      <c r="G870" s="3" t="s">
        <v>3420</v>
      </c>
      <c r="H870" s="20" t="s">
        <v>3421</v>
      </c>
      <c r="I870" s="13"/>
      <c r="J870" s="3">
        <v>4</v>
      </c>
      <c r="K870" s="17">
        <v>4</v>
      </c>
      <c r="L870" s="3">
        <v>0</v>
      </c>
      <c r="M870" s="3">
        <v>0</v>
      </c>
      <c r="P870" s="17"/>
      <c r="Q870" s="16" t="s">
        <v>3422</v>
      </c>
      <c r="S870" s="16" t="s">
        <v>3422</v>
      </c>
      <c r="W870" s="83"/>
      <c r="X870" t="str">
        <f>DataItems3[[#This Row],[Collection]]&amp;DataItems3[[#This Row],[Field]]&amp;DataItems3[[#This Row],[Options for supplying the Field]]&amp;DataItems3[[#This Row],[Fieldname]]&amp;DataItems3[[#This Row],[Parent]]</f>
        <v>Data FuturesDomicile (DF)(County/ Unitary Authority/Non UK)Z_PERMADDUC</v>
      </c>
      <c r="Y870" s="4">
        <v>45184</v>
      </c>
      <c r="Z870" t="s">
        <v>3408</v>
      </c>
      <c r="AA870" s="28" t="str">
        <f t="shared" si="129"/>
        <v>CASE WHEN df.Z_PERMADDGRP5='05' THEN '05' WHEN df.Z_PERMADDGRP1='01' THEN df.Z_PERMADDUC WHEN df.Z_PERMADDGRP1 = '02' THEN 'Non UK' else 'NOTK' END</v>
      </c>
      <c r="AB870" s="28" t="str">
        <f>IF(S870="","",IF(IFERROR(SEARCH("select",S870)&gt;0,0),IF(U870="",IF(MID(S870,SEARCH(H870,S870)-4,1)=" ",MID(S870,SEARCH(H870,S870)-2,LEN(O886)+2),MID(S870,SEARCH(H870,S870)-3,LEN(H870)+3)),U870&amp;"."&amp;H870),S870))</f>
        <v>CASE WHEN df.Z_PERMADDGRP5='05' THEN '05' WHEN df.Z_PERMADDGRP1='01' THEN df.Z_PERMADDUC WHEN df.Z_PERMADDGRP1 = '02' THEN 'Non UK' else 'NOTK' END</v>
      </c>
      <c r="AC870" s="28" t="str">
        <f t="shared" si="128"/>
        <v/>
      </c>
      <c r="AD870" s="28" t="str">
        <f>IF(T870="","",IF(IFERROR(SEARCH("select",T870)&gt;0,0),IF(U870="",IF(MID(T870,SEARCH(H870,T870)-4,1)=" ",MID(T870,SEARCH(H870,T870)-2,LEN(O886)+2),MID(T870,SEARCH(H870,T870)-3,LEN(H870)+3)),U870&amp;"."&amp;H870),T870))</f>
        <v/>
      </c>
      <c r="AE870" s="28" t="str">
        <f t="shared" si="123"/>
        <v>[Domicile (DF)]</v>
      </c>
      <c r="AF870" s="28"/>
      <c r="AG870" s="28"/>
      <c r="AH870" s="28"/>
    </row>
    <row r="871" spans="1:34" ht="16" x14ac:dyDescent="0.2">
      <c r="A871">
        <v>101003</v>
      </c>
      <c r="B871" s="88" t="str">
        <f>DataItems3[[#This Row],[Field]]&amp;IF(DataItems3[[#This Row],[Options for supplying the Field]]="",""," "&amp;DataItems3[[#This Row],[Options for supplying the Field]])</f>
        <v>Domicile (DF) (UK/Non-UK/ Not known)</v>
      </c>
      <c r="C871">
        <v>101003</v>
      </c>
      <c r="D871" s="3" t="s">
        <v>2992</v>
      </c>
      <c r="F871" s="3" t="s">
        <v>3419</v>
      </c>
      <c r="G871" s="3" t="s">
        <v>3423</v>
      </c>
      <c r="H871" s="20" t="s">
        <v>3424</v>
      </c>
      <c r="I871" s="13"/>
      <c r="J871" s="3">
        <v>1</v>
      </c>
      <c r="K871" s="17">
        <v>1</v>
      </c>
      <c r="L871" s="3">
        <v>0</v>
      </c>
      <c r="M871" s="3">
        <v>0</v>
      </c>
      <c r="P871" s="17"/>
      <c r="Q871" s="16" t="s">
        <v>3425</v>
      </c>
      <c r="S871" s="16" t="s">
        <v>3425</v>
      </c>
      <c r="W871" s="83"/>
      <c r="X871" t="str">
        <f>DataItems3[[#This Row],[Collection]]&amp;DataItems3[[#This Row],[Field]]&amp;DataItems3[[#This Row],[Options for supplying the Field]]&amp;DataItems3[[#This Row],[Fieldname]]&amp;DataItems3[[#This Row],[Parent]]</f>
        <v>Data FuturesDomicile (DF)(UK/Non-UK/ Not known)Z_PERMADDGRP1</v>
      </c>
      <c r="Y871" s="4">
        <v>45188</v>
      </c>
      <c r="Z871" t="s">
        <v>3408</v>
      </c>
      <c r="AA871" s="28" t="str">
        <f t="shared" si="129"/>
        <v>cast(df.Z_PERMADDGRP1 as varchar)</v>
      </c>
      <c r="AB871" s="28" t="str">
        <f>IF(S871="","",IF(IFERROR(SEARCH("select",S871)&gt;0,0),IF(U871="",IF(MID(S871,SEARCH(H871,S871)-4,1)=" ",MID(S871,SEARCH(H871,S871)-2,LEN(O886)+2),MID(S871,SEARCH(H871,S871)-3,LEN(H871)+3)),U871&amp;"."&amp;H871),S871))</f>
        <v>cast(df.Z_PERMADDGRP1 as varchar)</v>
      </c>
      <c r="AC871" s="28" t="str">
        <f t="shared" si="128"/>
        <v/>
      </c>
      <c r="AD871" s="28" t="str">
        <f>IF(T871="","",IF(IFERROR(SEARCH("select",T871)&gt;0,0),IF(U871="",IF(MID(T871,SEARCH(H871,T871)-4,1)=" ",MID(T871,SEARCH(H871,T871)-2,LEN(O886)+2),MID(T871,SEARCH(H871,T871)-3,LEN(H871)+3)),U871&amp;"."&amp;H871),T871))</f>
        <v/>
      </c>
      <c r="AE871" s="28" t="str">
        <f t="shared" si="123"/>
        <v>[Domicile (DF)]</v>
      </c>
      <c r="AF871" s="28"/>
      <c r="AG871" s="28"/>
      <c r="AH871" s="28"/>
    </row>
    <row r="872" spans="1:34" ht="16" x14ac:dyDescent="0.2">
      <c r="A872">
        <v>101004</v>
      </c>
      <c r="B872" s="88" t="str">
        <f>DataItems3[[#This Row],[Field]]&amp;IF(DataItems3[[#This Row],[Options for supplying the Field]]="",""," "&amp;DataItems3[[#This Row],[Options for supplying the Field]])</f>
        <v>Subject of Study (DF) (HECOS)</v>
      </c>
      <c r="C872">
        <v>101004</v>
      </c>
      <c r="D872" s="3" t="s">
        <v>2992</v>
      </c>
      <c r="F872" s="3" t="s">
        <v>3426</v>
      </c>
      <c r="G872" s="13" t="s">
        <v>3427</v>
      </c>
      <c r="H872" s="20" t="s">
        <v>3428</v>
      </c>
      <c r="I872" s="13"/>
      <c r="J872" s="3">
        <v>1</v>
      </c>
      <c r="K872" s="17">
        <v>8</v>
      </c>
      <c r="L872" s="3">
        <v>1</v>
      </c>
      <c r="M872" s="3">
        <v>0</v>
      </c>
      <c r="P872" s="17"/>
      <c r="Q872" s="16" t="s">
        <v>3429</v>
      </c>
      <c r="S872" s="16" t="s">
        <v>3429</v>
      </c>
      <c r="W872" s="83"/>
      <c r="X872" t="str">
        <f>DataItems3[[#This Row],[Collection]]&amp;DataItems3[[#This Row],[Field]]&amp;DataItems3[[#This Row],[Options for supplying the Field]]&amp;DataItems3[[#This Row],[Fieldname]]&amp;DataItems3[[#This Row],[Parent]]</f>
        <v>Data FuturesSubject of Study (DF)(HECOS)Z_SUBJHECOS</v>
      </c>
      <c r="Y872" s="4">
        <v>45188</v>
      </c>
      <c r="Z872" t="s">
        <v>3408</v>
      </c>
      <c r="AA872" s="28" t="str">
        <f t="shared" si="129"/>
        <v>cast(dfsj.Z_SUBJHECOS as varchar)</v>
      </c>
      <c r="AB872" s="28" t="str">
        <f>IF(S872="","",IF(IFERROR(SEARCH("select",S872)&gt;0,0),IF(U872="",IF(MID(S872,SEARCH(H872,S872)-4,1)=" ",MID(S872,SEARCH(H872,S872)-2,LEN(O885)+2),MID(S872,SEARCH(H872,S872)-3,LEN(H872)+3)),U872&amp;"."&amp;H872),S872))</f>
        <v>cast(dfsj.Z_SUBJHECOS as varchar)</v>
      </c>
      <c r="AC872" s="28" t="str">
        <f t="shared" si="128"/>
        <v/>
      </c>
      <c r="AD872" s="28" t="str">
        <f>IF(T872="","",IF(IFERROR(SEARCH("select",T872)&gt;0,0),IF(U872="",IF(MID(T872,SEARCH(H872,T872)-4,1)=" ",MID(T872,SEARCH(H872,T872)-2,LEN(O885)+2),MID(T872,SEARCH(H872,T872)-3,LEN(H872)+3)),U872&amp;"."&amp;H872),T872))</f>
        <v/>
      </c>
      <c r="AE872" s="28" t="str">
        <f t="shared" si="123"/>
        <v>[Subject of Study (DF)]</v>
      </c>
      <c r="AF872" s="28"/>
      <c r="AG872" s="28"/>
      <c r="AH872" s="28"/>
    </row>
    <row r="873" spans="1:34" ht="80" x14ac:dyDescent="0.2">
      <c r="A873">
        <v>101007</v>
      </c>
      <c r="B873" s="88" t="str">
        <f>DataItems3[[#This Row],[Field]]&amp;IF(DataItems3[[#This Row],[Options for supplying the Field]]="",""," "&amp;DataItems3[[#This Row],[Options for supplying the Field]])</f>
        <v>Level of study (Postgraduate (research)/ Postgraduate (taught) / First degree/ Other undergraduate) (DF)</v>
      </c>
      <c r="C873">
        <v>101007</v>
      </c>
      <c r="D873" s="3" t="s">
        <v>2992</v>
      </c>
      <c r="F873" s="3" t="s">
        <v>1387</v>
      </c>
      <c r="G873" s="13" t="s">
        <v>3430</v>
      </c>
      <c r="H873" s="20" t="s">
        <v>3431</v>
      </c>
      <c r="I873" s="13"/>
      <c r="J873" s="3">
        <v>1</v>
      </c>
      <c r="K873" s="17">
        <v>2</v>
      </c>
      <c r="L873" s="3">
        <v>0</v>
      </c>
      <c r="M873" s="3">
        <v>0</v>
      </c>
      <c r="P873" s="17"/>
      <c r="Q873" s="63" t="s">
        <v>3432</v>
      </c>
      <c r="S873" s="63" t="s">
        <v>3432</v>
      </c>
      <c r="W873" s="83"/>
      <c r="X873" t="str">
        <f>DataItems3[[#This Row],[Collection]]&amp;DataItems3[[#This Row],[Field]]&amp;DataItems3[[#This Row],[Options for supplying the Field]]&amp;DataItems3[[#This Row],[Fieldname]]&amp;DataItems3[[#This Row],[Parent]]</f>
        <v>Data FuturesLevel of study(Postgraduate (research)/ Postgraduate (taught) / First degree/ Other undergraduate) (DF)Z_LEVELGRP2</v>
      </c>
      <c r="Y873" s="4">
        <v>45190</v>
      </c>
      <c r="Z873" t="s">
        <v>2463</v>
      </c>
      <c r="AA873" s="28" t="str">
        <f t="shared" si="129"/>
        <v>CAST(df.Z_LEVELGRP2 AS VARCHAR)</v>
      </c>
      <c r="AB873" s="28" t="str">
        <f>IF(S873="","",IF(IFERROR(SEARCH("select",S873)&gt;0,0),IF(U873="",IF(MID(S873,SEARCH(H873,S873)-4,1)=" ",MID(S873,SEARCH(H873,S873)-2,LEN(O884)+2),MID(S873,SEARCH(H873,S873)-3,LEN(H873)+3)),U873&amp;"."&amp;H873),S873))</f>
        <v>CAST(df.Z_LEVELGRP2 AS VARCHAR)</v>
      </c>
      <c r="AC873" s="28" t="str">
        <f t="shared" si="128"/>
        <v/>
      </c>
      <c r="AD873" s="28" t="str">
        <f>IF(T873="","",IF(IFERROR(SEARCH("select",T873)&gt;0,0),IF(U873="",IF(MID(T873,SEARCH(H873,T873)-4,1)=" ",MID(T873,SEARCH(H873,T873)-2,LEN(O884)+2),MID(T873,SEARCH(H873,T873)-3,LEN(H873)+3)),U873&amp;"."&amp;H873),T873))</f>
        <v/>
      </c>
      <c r="AE873" s="28" t="str">
        <f t="shared" si="123"/>
        <v>[Level of study]</v>
      </c>
      <c r="AF873" s="28"/>
      <c r="AG873" s="28"/>
      <c r="AH873" s="28"/>
    </row>
    <row r="874" spans="1:34" ht="112" x14ac:dyDescent="0.2">
      <c r="A874">
        <v>101009</v>
      </c>
      <c r="B874" s="88" t="str">
        <f>DataItems3[[#This Row],[Field]]&amp;IF(DataItems3[[#This Row],[Options for supplying the Field]]="",""," "&amp;DataItems3[[#This Row],[Options for supplying the Field]])</f>
        <v>Tariff⁽¹⁾ bands  (Less than 48/ 48-63/ 64-79/ 80-95/ 96-111/ 112-127/ 128-143/ 144-159/ 160-175/ 176-191/ 192-207/ 208-223/ 224-239/ 240+/ Zero or Unknown) (DF)</v>
      </c>
      <c r="C874">
        <v>101009</v>
      </c>
      <c r="D874" s="3" t="s">
        <v>2992</v>
      </c>
      <c r="F874" s="3" t="s">
        <v>3433</v>
      </c>
      <c r="G874" s="13" t="s">
        <v>3434</v>
      </c>
      <c r="H874" s="63" t="s">
        <v>3435</v>
      </c>
      <c r="I874" s="13"/>
      <c r="J874" s="3">
        <v>1</v>
      </c>
      <c r="K874" s="17">
        <v>3</v>
      </c>
      <c r="L874" s="3">
        <v>1</v>
      </c>
      <c r="M874" s="3">
        <v>0</v>
      </c>
      <c r="P874" s="17"/>
      <c r="Q874" s="63" t="s">
        <v>3436</v>
      </c>
      <c r="S874" s="63" t="s">
        <v>3436</v>
      </c>
      <c r="W874" s="83"/>
      <c r="X874" t="str">
        <f>DataItems3[[#This Row],[Collection]]&amp;DataItems3[[#This Row],[Field]]&amp;DataItems3[[#This Row],[Options for supplying the Field]]&amp;DataItems3[[#This Row],[Fieldname]]&amp;DataItems3[[#This Row],[Parent]]</f>
        <v>Data FuturesTariff⁽¹⁾ bands (Less than 48/ 48-63/ 64-79/ 80-95/ 96-111/ 112-127/ 128-143/ 144-159/ 160-175/ 176-191/ 192-207/ 208-223/ 224-239/ 240+/ Zero or Unknown) (DF)Z_TARIFFGRP2</v>
      </c>
      <c r="Y874" s="4">
        <v>45190</v>
      </c>
      <c r="Z874" t="s">
        <v>2463</v>
      </c>
      <c r="AA874" s="28" t="str">
        <f t="shared" si="129"/>
        <v>df.Z_TARIFFGRP2</v>
      </c>
      <c r="AB874" s="28" t="str">
        <f>IF(S874="","",IF(IFERROR(SEARCH("select",S874)&gt;0,0),IF(U874="",IF(MID(S874,SEARCH(H874,S874)-4,1)=" ",MID(S874,SEARCH(H874,S874)-2,LEN(O883)+2),MID(S874,SEARCH(H874,S874)-3,LEN(H874)+3)),U874&amp;"."&amp;H874),S874))</f>
        <v>df.Z_TARIFFGRP2</v>
      </c>
      <c r="AC874" s="28" t="str">
        <f t="shared" si="128"/>
        <v/>
      </c>
      <c r="AD874" s="28" t="str">
        <f>IF(T874="","",IF(IFERROR(SEARCH("select",T874)&gt;0,0),IF(U874="",IF(MID(T874,SEARCH(H874,T874)-4,1)=" ",MID(T874,SEARCH(H874,T874)-2,LEN(O883)+2),MID(T874,SEARCH(H874,T874)-3,LEN(H874)+3)),U874&amp;"."&amp;H874),T874))</f>
        <v/>
      </c>
      <c r="AE874" s="28" t="str">
        <f t="shared" si="123"/>
        <v>[Tariff bands ]</v>
      </c>
      <c r="AF874" s="28"/>
      <c r="AG874" s="28"/>
      <c r="AH874" s="28"/>
    </row>
    <row r="875" spans="1:34" ht="16" x14ac:dyDescent="0.2">
      <c r="A875">
        <v>101008</v>
      </c>
      <c r="B875" s="88" t="str">
        <f>DataItems3[[#This Row],[Field]]&amp;IF(DataItems3[[#This Row],[Options for supplying the Field]]="",""," "&amp;DataItems3[[#This Row],[Options for supplying the Field]])</f>
        <v>Mode of study  (full-time/part-time) (DF)</v>
      </c>
      <c r="C875">
        <v>101008</v>
      </c>
      <c r="D875" s="3" t="s">
        <v>2992</v>
      </c>
      <c r="F875" s="3" t="s">
        <v>3437</v>
      </c>
      <c r="G875" s="63" t="s">
        <v>3438</v>
      </c>
      <c r="H875" s="63" t="s">
        <v>3439</v>
      </c>
      <c r="I875" s="63" t="s">
        <v>3440</v>
      </c>
      <c r="J875" s="3">
        <v>1</v>
      </c>
      <c r="K875" s="17">
        <v>1</v>
      </c>
      <c r="M875" s="3">
        <v>0</v>
      </c>
      <c r="P875" s="17"/>
      <c r="Q875" s="63" t="s">
        <v>3441</v>
      </c>
      <c r="S875" s="63" t="s">
        <v>3441</v>
      </c>
      <c r="W875" s="83"/>
      <c r="X875" t="str">
        <f>DataItems3[[#This Row],[Collection]]&amp;DataItems3[[#This Row],[Field]]&amp;DataItems3[[#This Row],[Options for supplying the Field]]&amp;DataItems3[[#This Row],[Fieldname]]&amp;DataItems3[[#This Row],[Parent]]</f>
        <v>Data FuturesMode of study (full-time/part-time) (DF)Z_MODEGRP1</v>
      </c>
      <c r="Y875" s="4">
        <v>45190</v>
      </c>
      <c r="Z875" t="s">
        <v>2463</v>
      </c>
      <c r="AA875" s="28" t="str">
        <f t="shared" si="129"/>
        <v>cast(df.Z_MODEGRP1 as varchar)</v>
      </c>
      <c r="AB875" s="28" t="str">
        <f>IF(S875="","",IF(IFERROR(SEARCH("select",S875)&gt;0,0),IF(U875="",IF(MID(S875,SEARCH(H875,S875)-4,1)=" ",MID(S875,SEARCH(H875,S875)-2,LEN(O884)+2),MID(S875,SEARCH(H875,S875)-3,LEN(H875)+3)),U875&amp;"."&amp;H875),S875))</f>
        <v>cast(df.Z_MODEGRP1 as varchar)</v>
      </c>
      <c r="AC875" s="28" t="str">
        <f t="shared" si="128"/>
        <v/>
      </c>
      <c r="AD875" s="28" t="str">
        <f>IF(T875="","",IF(IFERROR(SEARCH("select",T875)&gt;0,0),IF(U875="",IF(MID(T875,SEARCH(H875,T875)-4,1)=" ",MID(T875,SEARCH(H875,T875)-2,LEN(O884)+2),MID(T875,SEARCH(H875,T875)-3,LEN(H875)+3)),U875&amp;"."&amp;H875),T875))</f>
        <v/>
      </c>
      <c r="AE875" s="28" t="str">
        <f t="shared" si="123"/>
        <v>[Mode of study ]</v>
      </c>
      <c r="AF875" s="28"/>
      <c r="AG875" s="28"/>
      <c r="AH875" s="28"/>
    </row>
    <row r="876" spans="1:34" ht="16" x14ac:dyDescent="0.2">
      <c r="A876">
        <v>101005</v>
      </c>
      <c r="B876" s="88" t="str">
        <f>DataItems3[[#This Row],[Field]]&amp;IF(DataItems3[[#This Row],[Options for supplying the Field]]="",""," "&amp;DataItems3[[#This Row],[Options for supplying the Field]])</f>
        <v>Country of HE Provider (OU included in England) (DF)</v>
      </c>
      <c r="C876">
        <v>101005</v>
      </c>
      <c r="D876" s="3" t="s">
        <v>2992</v>
      </c>
      <c r="F876" s="3" t="s">
        <v>3442</v>
      </c>
      <c r="G876" s="13"/>
      <c r="H876" s="20" t="s">
        <v>3443</v>
      </c>
      <c r="I876" s="13"/>
      <c r="J876" s="3">
        <v>1</v>
      </c>
      <c r="K876" s="17">
        <v>3</v>
      </c>
      <c r="L876" s="3">
        <v>0</v>
      </c>
      <c r="M876" s="3">
        <v>0</v>
      </c>
      <c r="P876" s="17"/>
      <c r="Q876" s="16" t="s">
        <v>3444</v>
      </c>
      <c r="S876" s="16" t="s">
        <v>3444</v>
      </c>
      <c r="W876" s="83"/>
      <c r="X876" t="str">
        <f>DataItems3[[#This Row],[Collection]]&amp;DataItems3[[#This Row],[Field]]&amp;DataItems3[[#This Row],[Options for supplying the Field]]&amp;DataItems3[[#This Row],[Fieldname]]&amp;DataItems3[[#This Row],[Parent]]</f>
        <v>Data FuturesCountry of HE Provider (OU included in England) (DF)Z_PROVIDERGRP2</v>
      </c>
      <c r="Y876" s="4">
        <v>45188</v>
      </c>
      <c r="Z876" t="s">
        <v>3408</v>
      </c>
      <c r="AA876" s="28" t="str">
        <f t="shared" si="129"/>
        <v>cast(df.Z_PROVIDERGRP2 as varchar)</v>
      </c>
      <c r="AB876" s="28" t="str">
        <f>IF(S876="","",IF(IFERROR(SEARCH("select",S876)&gt;0,0),IF(U876="",IF(MID(S876,SEARCH(H876,S876)-4,1)=" ",MID(S876,SEARCH(H876,S876)-2,LEN(O885)+2),MID(S876,SEARCH(H876,S876)-3,LEN(H876)+3)),U876&amp;"."&amp;H876),S876))</f>
        <v>cast(df.Z_PROVIDERGRP2 as varchar)</v>
      </c>
      <c r="AC876" s="28" t="str">
        <f t="shared" si="128"/>
        <v/>
      </c>
      <c r="AD876" s="28" t="str">
        <f>IF(T876="","",IF(IFERROR(SEARCH("select",T876)&gt;0,0),IF(U876="",IF(MID(T876,SEARCH(H876,T876)-4,1)=" ",MID(T876,SEARCH(H876,T876)-2,LEN(O885)+2),MID(T876,SEARCH(H876,T876)-3,LEN(H876)+3)),U876&amp;"."&amp;H876),T876))</f>
        <v/>
      </c>
      <c r="AE876" s="28" t="str">
        <f t="shared" si="123"/>
        <v>[Country of HE Provider (OU included in England) (DF)]</v>
      </c>
      <c r="AF876" s="28"/>
      <c r="AG876" s="28"/>
      <c r="AH876" s="28"/>
    </row>
    <row r="878" spans="1:34" x14ac:dyDescent="0.2">
      <c r="Y878" s="4">
        <v>45188</v>
      </c>
      <c r="Z878" t="s">
        <v>3408</v>
      </c>
    </row>
  </sheetData>
  <sheetProtection insertColumns="0" insertRows="0" autoFilter="0"/>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3]!InsertRow">
                <anchor>
                  <from>
                    <xdr:col>1</xdr:col>
                    <xdr:colOff>2819400</xdr:colOff>
                    <xdr:row>0</xdr:row>
                    <xdr:rowOff>38100</xdr:rowOff>
                  </from>
                  <to>
                    <xdr:col>2</xdr:col>
                    <xdr:colOff>76200</xdr:colOff>
                    <xdr:row>1</xdr:row>
                    <xdr:rowOff>12700</xdr:rowOff>
                  </to>
                </anchor>
              </controlPr>
            </control>
          </mc:Choice>
        </mc:AlternateContent>
      </controls>
    </mc:Choice>
  </mc:AlternateContent>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A3D4-E5E8-4F49-9018-53EE0165397C}">
  <dimension ref="A1:D27"/>
  <sheetViews>
    <sheetView workbookViewId="0">
      <selection activeCell="B20" sqref="B20"/>
    </sheetView>
  </sheetViews>
  <sheetFormatPr baseColWidth="10" defaultColWidth="8.83203125" defaultRowHeight="15" x14ac:dyDescent="0.2"/>
  <cols>
    <col min="1" max="1" width="50.5" bestFit="1" customWidth="1"/>
    <col min="2" max="2" width="89.1640625" bestFit="1" customWidth="1"/>
  </cols>
  <sheetData>
    <row r="1" spans="1:4" x14ac:dyDescent="0.2">
      <c r="A1" s="1" t="s">
        <v>9</v>
      </c>
      <c r="B1" s="1" t="s">
        <v>10</v>
      </c>
      <c r="C1" s="1" t="s">
        <v>11</v>
      </c>
      <c r="D1" s="2"/>
    </row>
    <row r="2" spans="1:4" x14ac:dyDescent="0.2">
      <c r="A2" s="1"/>
      <c r="B2" s="1"/>
      <c r="C2" s="1"/>
      <c r="D2" s="2"/>
    </row>
    <row r="3" spans="1:4" x14ac:dyDescent="0.2">
      <c r="A3" s="1" t="s">
        <v>51</v>
      </c>
      <c r="B3" s="1" t="s">
        <v>52</v>
      </c>
      <c r="C3" s="1" t="s">
        <v>53</v>
      </c>
      <c r="D3" s="2"/>
    </row>
    <row r="4" spans="1:4" x14ac:dyDescent="0.2">
      <c r="A4" s="2" t="s">
        <v>12</v>
      </c>
      <c r="B4" s="2" t="s">
        <v>2844</v>
      </c>
      <c r="C4" s="2" t="s">
        <v>6</v>
      </c>
      <c r="D4" s="2"/>
    </row>
    <row r="5" spans="1:4" x14ac:dyDescent="0.2">
      <c r="A5" s="2" t="s">
        <v>13</v>
      </c>
      <c r="B5" s="2" t="s">
        <v>2845</v>
      </c>
      <c r="C5" s="2" t="s">
        <v>14</v>
      </c>
      <c r="D5" s="2"/>
    </row>
    <row r="6" spans="1:4" x14ac:dyDescent="0.2">
      <c r="A6" s="2" t="s">
        <v>3</v>
      </c>
      <c r="B6" s="2" t="s">
        <v>2846</v>
      </c>
      <c r="C6" s="2" t="s">
        <v>15</v>
      </c>
      <c r="D6" s="2"/>
    </row>
    <row r="7" spans="1:4" x14ac:dyDescent="0.2">
      <c r="A7" s="2" t="s">
        <v>16</v>
      </c>
      <c r="B7" s="2" t="s">
        <v>2847</v>
      </c>
      <c r="C7" s="2" t="s">
        <v>17</v>
      </c>
      <c r="D7" s="2"/>
    </row>
    <row r="8" spans="1:4" x14ac:dyDescent="0.2">
      <c r="A8" s="2" t="s">
        <v>18</v>
      </c>
      <c r="B8" s="2" t="s">
        <v>19</v>
      </c>
      <c r="C8" s="2" t="s">
        <v>20</v>
      </c>
      <c r="D8" s="2"/>
    </row>
    <row r="9" spans="1:4" x14ac:dyDescent="0.2">
      <c r="A9" s="2" t="s">
        <v>21</v>
      </c>
      <c r="B9" s="2" t="s">
        <v>2848</v>
      </c>
      <c r="C9" s="2" t="s">
        <v>22</v>
      </c>
      <c r="D9" s="2"/>
    </row>
    <row r="10" spans="1:4" x14ac:dyDescent="0.2">
      <c r="A10" s="2" t="s">
        <v>23</v>
      </c>
      <c r="B10" s="2" t="s">
        <v>2849</v>
      </c>
      <c r="C10" s="2" t="s">
        <v>24</v>
      </c>
      <c r="D10" s="2"/>
    </row>
    <row r="11" spans="1:4" x14ac:dyDescent="0.2">
      <c r="A11" s="2" t="s">
        <v>25</v>
      </c>
      <c r="B11" s="2" t="s">
        <v>26</v>
      </c>
      <c r="C11" s="2" t="s">
        <v>27</v>
      </c>
      <c r="D11" s="2"/>
    </row>
    <row r="12" spans="1:4" x14ac:dyDescent="0.2">
      <c r="A12" s="2" t="s">
        <v>28</v>
      </c>
      <c r="B12" s="2" t="s">
        <v>29</v>
      </c>
      <c r="C12" s="2" t="s">
        <v>30</v>
      </c>
      <c r="D12" s="2"/>
    </row>
    <row r="13" spans="1:4" x14ac:dyDescent="0.2">
      <c r="A13" s="2" t="s">
        <v>31</v>
      </c>
      <c r="B13" s="2" t="s">
        <v>2850</v>
      </c>
      <c r="C13" s="2" t="s">
        <v>32</v>
      </c>
      <c r="D13" s="2"/>
    </row>
    <row r="14" spans="1:4" x14ac:dyDescent="0.2">
      <c r="A14" s="2"/>
      <c r="B14" s="2" t="s">
        <v>2851</v>
      </c>
      <c r="C14" s="2" t="s">
        <v>33</v>
      </c>
      <c r="D14" s="2"/>
    </row>
    <row r="15" spans="1:4" x14ac:dyDescent="0.2">
      <c r="A15" s="2"/>
      <c r="B15" s="2" t="s">
        <v>2852</v>
      </c>
      <c r="C15" s="2" t="s">
        <v>34</v>
      </c>
      <c r="D15" s="2"/>
    </row>
    <row r="16" spans="1:4" x14ac:dyDescent="0.2">
      <c r="A16" s="2"/>
      <c r="B16" s="2" t="s">
        <v>35</v>
      </c>
      <c r="C16" s="2" t="s">
        <v>36</v>
      </c>
      <c r="D16" s="2"/>
    </row>
    <row r="17" spans="1:4" x14ac:dyDescent="0.2">
      <c r="A17" s="2"/>
      <c r="B17" s="2" t="s">
        <v>37</v>
      </c>
      <c r="C17" s="2" t="s">
        <v>38</v>
      </c>
      <c r="D17" s="2"/>
    </row>
    <row r="18" spans="1:4" x14ac:dyDescent="0.2">
      <c r="A18" s="2"/>
      <c r="B18" s="2" t="s">
        <v>2853</v>
      </c>
      <c r="C18" s="2" t="s">
        <v>39</v>
      </c>
      <c r="D18" s="2"/>
    </row>
    <row r="19" spans="1:4" x14ac:dyDescent="0.2">
      <c r="A19" s="2"/>
      <c r="B19" s="2" t="s">
        <v>40</v>
      </c>
      <c r="C19" s="2" t="s">
        <v>41</v>
      </c>
      <c r="D19" s="2"/>
    </row>
    <row r="20" spans="1:4" x14ac:dyDescent="0.2">
      <c r="A20" s="2"/>
      <c r="B20" s="2" t="s">
        <v>2854</v>
      </c>
      <c r="C20" s="2" t="s">
        <v>42</v>
      </c>
      <c r="D20" s="2"/>
    </row>
    <row r="21" spans="1:4" x14ac:dyDescent="0.2">
      <c r="A21" s="2"/>
      <c r="B21" s="2"/>
      <c r="C21" s="2" t="s">
        <v>43</v>
      </c>
      <c r="D21" s="2"/>
    </row>
    <row r="22" spans="1:4" x14ac:dyDescent="0.2">
      <c r="A22" s="2"/>
      <c r="B22" s="2"/>
      <c r="C22" s="2" t="s">
        <v>44</v>
      </c>
      <c r="D22" s="2"/>
    </row>
    <row r="23" spans="1:4" x14ac:dyDescent="0.2">
      <c r="A23" s="2"/>
      <c r="B23" s="2"/>
      <c r="C23" s="2" t="s">
        <v>45</v>
      </c>
      <c r="D23" s="2"/>
    </row>
    <row r="24" spans="1:4" x14ac:dyDescent="0.2">
      <c r="A24" s="2"/>
      <c r="B24" s="2"/>
      <c r="C24" s="2" t="s">
        <v>46</v>
      </c>
      <c r="D24" s="2"/>
    </row>
    <row r="25" spans="1:4" x14ac:dyDescent="0.2">
      <c r="A25" s="2"/>
      <c r="B25" s="2"/>
      <c r="C25" s="2" t="s">
        <v>47</v>
      </c>
      <c r="D25" s="2"/>
    </row>
    <row r="26" spans="1:4" x14ac:dyDescent="0.2">
      <c r="A26" s="2"/>
      <c r="B26" s="2"/>
      <c r="C26" s="2" t="s">
        <v>48</v>
      </c>
      <c r="D26" s="2"/>
    </row>
    <row r="27" spans="1:4" x14ac:dyDescent="0.2">
      <c r="A27" s="2"/>
      <c r="B27" s="2"/>
      <c r="C27" s="2" t="s">
        <v>49</v>
      </c>
      <c r="D27" s="2"/>
    </row>
  </sheetData>
  <pageMargins left="0.7" right="0.7" top="0.75" bottom="0.75" header="0.3" footer="0.3"/>
</worksheet>
</file>

<file path=docMetadata/LabelInfo.xml><?xml version="1.0" encoding="utf-8"?>
<clbl:labelList xmlns:clbl="http://schemas.microsoft.com/office/2020/mipLabelMetadata">
  <clbl:label id="{48f9394d-8a14-4d27-82a6-f35f12361205}" enabled="0" method="" siteId="{48f9394d-8a14-4d27-82a6-f35f12361205}" removed="1"/>
</clbl:labelLis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InputTemplate</vt:lpstr>
      <vt:lpstr>Picklist</vt:lpstr>
      <vt:lpstr>Lists</vt:lpstr>
      <vt:lpstr>FieldChoice</vt:lpstr>
      <vt:lpstr>MaxUniqueID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 Duxbury</dc:creator>
  <cp:lastModifiedBy>Scott Wilson</cp:lastModifiedBy>
  <dcterms:created xsi:type="dcterms:W3CDTF">2022-09-06T10:07:59Z</dcterms:created>
  <dcterms:modified xsi:type="dcterms:W3CDTF">2023-12-13T15:18:49Z</dcterms:modified>
</cp:coreProperties>
</file>