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6a635446fb54665/Documents/"/>
    </mc:Choice>
  </mc:AlternateContent>
  <xr:revisionPtr revIDLastSave="308" documentId="8_{89E0CEAF-C84F-440F-9AF3-FDF4B3D58BF9}" xr6:coauthVersionLast="47" xr6:coauthVersionMax="47" xr10:uidLastSave="{EB5700E1-6E2A-4228-BC03-57E92A75CCB4}"/>
  <bookViews>
    <workbookView xWindow="28680" yWindow="-120" windowWidth="29040" windowHeight="15720" firstSheet="1" activeTab="1" xr2:uid="{43C158F5-86A0-49E9-8A15-8638FC6F6201}"/>
  </bookViews>
  <sheets>
    <sheet name="Assumptions" sheetId="5" state="hidden" r:id="rId1"/>
    <sheet name="PnL" sheetId="1" r:id="rId2"/>
    <sheet name="BS" sheetId="2" r:id="rId3"/>
    <sheet name="CF" sheetId="3" r:id="rId4"/>
    <sheet name="Debt" sheetId="4" r:id="rId5"/>
    <sheet name="Sheet6" sheetId="6" r:id="rId6"/>
  </sheets>
  <externalReferences>
    <externalReference r:id="rId7"/>
  </externalReferences>
  <definedNames>
    <definedName name="Bootstrapped">'[1]Name File'!$B$10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F14" i="3"/>
  <c r="E14" i="3"/>
  <c r="G24" i="2"/>
  <c r="F24" i="2"/>
  <c r="E24" i="2"/>
  <c r="G26" i="2"/>
  <c r="F26" i="2"/>
  <c r="E26" i="2"/>
  <c r="G21" i="2"/>
  <c r="F21" i="2"/>
  <c r="E21" i="2"/>
  <c r="G20" i="2"/>
  <c r="G19" i="2" s="1"/>
  <c r="F20" i="2"/>
  <c r="E20" i="2"/>
  <c r="G16" i="2"/>
  <c r="G16" i="3" s="1"/>
  <c r="F16" i="2"/>
  <c r="E16" i="2"/>
  <c r="E16" i="3" s="1"/>
  <c r="G13" i="2"/>
  <c r="F13" i="2"/>
  <c r="E13" i="2"/>
  <c r="F18" i="3" s="1"/>
  <c r="G12" i="2"/>
  <c r="F12" i="2"/>
  <c r="E12" i="2"/>
  <c r="G11" i="2"/>
  <c r="F11" i="2"/>
  <c r="E11" i="2"/>
  <c r="E13" i="6"/>
  <c r="D13" i="6"/>
  <c r="C13" i="6"/>
  <c r="E11" i="4"/>
  <c r="E27" i="3"/>
  <c r="E5" i="4" s="1"/>
  <c r="G26" i="3"/>
  <c r="G6" i="4" s="1"/>
  <c r="F26" i="3"/>
  <c r="F6" i="4" s="1"/>
  <c r="E26" i="3"/>
  <c r="E6" i="4" s="1"/>
  <c r="G24" i="3"/>
  <c r="G23" i="3" s="1"/>
  <c r="F24" i="3"/>
  <c r="F23" i="3" s="1"/>
  <c r="E24" i="3"/>
  <c r="E23" i="3" s="1"/>
  <c r="G22" i="3"/>
  <c r="F22" i="3"/>
  <c r="E22" i="3"/>
  <c r="G18" i="3"/>
  <c r="G17" i="3"/>
  <c r="F17" i="3"/>
  <c r="E17" i="3"/>
  <c r="G13" i="3"/>
  <c r="F13" i="3"/>
  <c r="E13" i="3"/>
  <c r="F29" i="2"/>
  <c r="G29" i="2" s="1"/>
  <c r="F28" i="2"/>
  <c r="F27" i="3" s="1"/>
  <c r="F5" i="4" s="1"/>
  <c r="F19" i="2"/>
  <c r="G15" i="2"/>
  <c r="G14" i="2" s="1"/>
  <c r="F15" i="2"/>
  <c r="E15" i="2"/>
  <c r="E6" i="6"/>
  <c r="D6" i="6"/>
  <c r="C6" i="6"/>
  <c r="C8" i="6"/>
  <c r="D4" i="6" s="1"/>
  <c r="D8" i="6" s="1"/>
  <c r="E4" i="6" s="1"/>
  <c r="E7" i="6"/>
  <c r="B7" i="6"/>
  <c r="D3" i="6"/>
  <c r="E3" i="6" s="1"/>
  <c r="B6" i="6"/>
  <c r="B5" i="6"/>
  <c r="G15" i="1"/>
  <c r="F15" i="1"/>
  <c r="E15" i="1"/>
  <c r="G14" i="1"/>
  <c r="F14" i="1"/>
  <c r="E14" i="1"/>
  <c r="F7" i="1"/>
  <c r="G9" i="1"/>
  <c r="G8" i="1"/>
  <c r="F8" i="1"/>
  <c r="E8" i="1"/>
  <c r="E9" i="1" s="1"/>
  <c r="F4" i="1"/>
  <c r="F5" i="1" s="1"/>
  <c r="F6" i="1" s="1"/>
  <c r="E4" i="1"/>
  <c r="E5" i="1" s="1"/>
  <c r="E6" i="1" s="1"/>
  <c r="G5" i="1"/>
  <c r="G6" i="1" s="1"/>
  <c r="F16" i="4"/>
  <c r="G16" i="4" s="1"/>
  <c r="F10" i="4"/>
  <c r="G10" i="4" s="1"/>
  <c r="F2" i="4"/>
  <c r="G2" i="4" s="1"/>
  <c r="F10" i="3"/>
  <c r="G10" i="3" s="1"/>
  <c r="F2" i="3"/>
  <c r="G2" i="3" s="1"/>
  <c r="F7" i="2"/>
  <c r="G7" i="2" s="1"/>
  <c r="F2" i="2"/>
  <c r="G2" i="2" s="1"/>
  <c r="F2" i="1"/>
  <c r="G2" i="1"/>
  <c r="G1" i="5"/>
  <c r="F1" i="5"/>
  <c r="E21" i="3"/>
  <c r="E19" i="3" l="1"/>
  <c r="G19" i="3"/>
  <c r="F19" i="3"/>
  <c r="E14" i="2"/>
  <c r="F16" i="3"/>
  <c r="E18" i="3"/>
  <c r="G28" i="2"/>
  <c r="G27" i="3" s="1"/>
  <c r="G5" i="4" s="1"/>
  <c r="E20" i="3"/>
  <c r="E4" i="3" s="1"/>
  <c r="E19" i="2"/>
  <c r="F14" i="2"/>
  <c r="E8" i="6"/>
  <c r="F9" i="1"/>
  <c r="E15" i="3"/>
  <c r="F21" i="3" l="1"/>
  <c r="F20" i="3" s="1"/>
  <c r="F4" i="3" s="1"/>
  <c r="G21" i="3"/>
  <c r="G20" i="3" s="1"/>
  <c r="G4" i="3" s="1"/>
  <c r="F15" i="3"/>
  <c r="G15" i="3"/>
  <c r="E3" i="2"/>
  <c r="F3" i="2"/>
  <c r="G3" i="2"/>
  <c r="E4" i="2"/>
  <c r="F4" i="2"/>
  <c r="G4" i="2"/>
  <c r="E5" i="2"/>
  <c r="F5" i="2"/>
  <c r="G5" i="2"/>
  <c r="E8" i="2"/>
  <c r="F8" i="2"/>
  <c r="G8" i="2"/>
  <c r="E9" i="2"/>
  <c r="F9" i="2"/>
  <c r="G9" i="2"/>
  <c r="E10" i="2"/>
  <c r="F10" i="2"/>
  <c r="G10" i="2"/>
  <c r="E17" i="2"/>
  <c r="F17" i="2"/>
  <c r="G17" i="2"/>
  <c r="E18" i="2"/>
  <c r="F18" i="2"/>
  <c r="G18" i="2"/>
  <c r="E22" i="2"/>
  <c r="F22" i="2"/>
  <c r="G22" i="2"/>
  <c r="E23" i="2"/>
  <c r="F23" i="2"/>
  <c r="G23" i="2"/>
  <c r="E25" i="2"/>
  <c r="F25" i="2"/>
  <c r="G25" i="2"/>
  <c r="E30" i="2"/>
  <c r="F30" i="2"/>
  <c r="G30" i="2"/>
  <c r="E3" i="3"/>
  <c r="F3" i="3"/>
  <c r="G3" i="3"/>
  <c r="E5" i="3"/>
  <c r="F5" i="3"/>
  <c r="G5" i="3"/>
  <c r="E6" i="3"/>
  <c r="F6" i="3"/>
  <c r="G6" i="3"/>
  <c r="E8" i="3"/>
  <c r="F8" i="3"/>
  <c r="G8" i="3"/>
  <c r="E11" i="3"/>
  <c r="F11" i="3"/>
  <c r="G11" i="3"/>
  <c r="E12" i="3"/>
  <c r="F12" i="3"/>
  <c r="G12" i="3"/>
  <c r="E25" i="3"/>
  <c r="F25" i="3"/>
  <c r="G25" i="3"/>
  <c r="E29" i="3"/>
  <c r="F29" i="3"/>
  <c r="G29" i="3"/>
  <c r="E30" i="3"/>
  <c r="F30" i="3"/>
  <c r="G30" i="3"/>
  <c r="E31" i="3"/>
  <c r="F31" i="3"/>
  <c r="G31" i="3"/>
  <c r="E4" i="4"/>
  <c r="F4" i="4"/>
  <c r="G4" i="4"/>
  <c r="E8" i="4"/>
  <c r="F8" i="4"/>
  <c r="G8" i="4"/>
  <c r="F11" i="4"/>
  <c r="G11" i="4"/>
  <c r="E12" i="4"/>
  <c r="F12" i="4"/>
  <c r="G12" i="4"/>
  <c r="E13" i="4"/>
  <c r="F13" i="4"/>
  <c r="G13" i="4"/>
  <c r="E14" i="4"/>
  <c r="F14" i="4"/>
  <c r="G14" i="4"/>
  <c r="E18" i="4"/>
  <c r="F18" i="4"/>
  <c r="G18" i="4"/>
  <c r="E19" i="4"/>
  <c r="F19" i="4"/>
  <c r="G19" i="4"/>
  <c r="E20" i="4"/>
  <c r="F20" i="4"/>
  <c r="G20" i="4"/>
  <c r="F21" i="4"/>
  <c r="G21" i="4"/>
  <c r="G22" i="4"/>
  <c r="E24" i="4"/>
  <c r="F24" i="4"/>
  <c r="G24" i="4"/>
  <c r="E25" i="4"/>
  <c r="F25" i="4"/>
  <c r="G25" i="4"/>
  <c r="F26" i="4"/>
  <c r="G26" i="4"/>
  <c r="G27" i="4"/>
  <c r="E29" i="4"/>
  <c r="F29" i="4"/>
  <c r="G29" i="4"/>
  <c r="E30" i="4"/>
  <c r="F30" i="4"/>
  <c r="G30" i="4"/>
  <c r="F31" i="4"/>
  <c r="G31" i="4"/>
  <c r="G32" i="4"/>
  <c r="E10" i="1"/>
  <c r="F10" i="1"/>
  <c r="G10" i="1"/>
  <c r="E11" i="1"/>
  <c r="F11" i="1"/>
  <c r="G11" i="1"/>
  <c r="E12" i="1"/>
  <c r="F12" i="1"/>
  <c r="G12" i="1"/>
  <c r="E13" i="1"/>
  <c r="F13" i="1"/>
  <c r="G13" i="1"/>
  <c r="E16" i="1"/>
  <c r="F16" i="1"/>
  <c r="G16" i="1"/>
  <c r="E17" i="1"/>
  <c r="F17" i="1"/>
  <c r="G17" i="1"/>
</calcChain>
</file>

<file path=xl/sharedStrings.xml><?xml version="1.0" encoding="utf-8"?>
<sst xmlns="http://schemas.openxmlformats.org/spreadsheetml/2006/main" count="221" uniqueCount="93">
  <si>
    <t>.</t>
  </si>
  <si>
    <t>PNL Overview</t>
  </si>
  <si>
    <t>Unit</t>
  </si>
  <si>
    <t>Total Revenue</t>
  </si>
  <si>
    <t>USD</t>
  </si>
  <si>
    <t>Total Costs</t>
  </si>
  <si>
    <t>X</t>
  </si>
  <si>
    <t>EBITDA</t>
  </si>
  <si>
    <t>EBITDA Margin</t>
  </si>
  <si>
    <t>%</t>
  </si>
  <si>
    <t>Depreciation and Amortization</t>
  </si>
  <si>
    <t>EBIT</t>
  </si>
  <si>
    <t>EBIT Margin</t>
  </si>
  <si>
    <t>Net Interest Expense</t>
  </si>
  <si>
    <t>Tax</t>
  </si>
  <si>
    <t>Net Income</t>
  </si>
  <si>
    <t>Net Margin</t>
  </si>
  <si>
    <t>Impairment</t>
  </si>
  <si>
    <t>Other Income / Losses</t>
  </si>
  <si>
    <t>Full Income of the year</t>
  </si>
  <si>
    <t>x</t>
  </si>
  <si>
    <t>Income Margin</t>
  </si>
  <si>
    <t>Revenue</t>
  </si>
  <si>
    <t>Balance Sheet</t>
  </si>
  <si>
    <t>Assets</t>
  </si>
  <si>
    <t>Liabilities and Equity</t>
  </si>
  <si>
    <t>Balance Check</t>
  </si>
  <si>
    <t>Bool</t>
  </si>
  <si>
    <t>Current Assets</t>
  </si>
  <si>
    <t>Cash and cash equivalents</t>
  </si>
  <si>
    <t>Trade and other receivables</t>
  </si>
  <si>
    <t>Prepaid expenses</t>
  </si>
  <si>
    <t>Inventory</t>
  </si>
  <si>
    <t>Non-current Assets</t>
  </si>
  <si>
    <t>PPE</t>
  </si>
  <si>
    <t>Long-term receivables</t>
  </si>
  <si>
    <t>Liabilities</t>
  </si>
  <si>
    <t>Current Liabilities</t>
  </si>
  <si>
    <t>Trade and Other Payables</t>
  </si>
  <si>
    <t>Unearned Revenue</t>
  </si>
  <si>
    <t>Non-current Liabilities</t>
  </si>
  <si>
    <t>Long-term Borrowings</t>
  </si>
  <si>
    <t>Employee end of service benefits</t>
  </si>
  <si>
    <t>Equity</t>
  </si>
  <si>
    <t>Raised Equity</t>
  </si>
  <si>
    <t>Grants</t>
  </si>
  <si>
    <t>Legal Reserve</t>
  </si>
  <si>
    <t>Revaluation Reserve</t>
  </si>
  <si>
    <t>Accumulated Gains / Losses</t>
  </si>
  <si>
    <t>Cashflows</t>
  </si>
  <si>
    <t>Operating Cashflow</t>
  </si>
  <si>
    <t>Investing Cashflow</t>
  </si>
  <si>
    <t>Financing Cashflow</t>
  </si>
  <si>
    <t>YoY Cash Change</t>
  </si>
  <si>
    <t>Cash Balance by EoM</t>
  </si>
  <si>
    <t>EBIT (NOPLAT - excluding interest)</t>
  </si>
  <si>
    <t>(+) Depreciation</t>
  </si>
  <si>
    <t>(+) Changes in Working Capital</t>
  </si>
  <si>
    <t>(-) Δ Trade and other receivables</t>
  </si>
  <si>
    <t>(-) Prepaid expenses</t>
  </si>
  <si>
    <t>(-) Δ Inventory</t>
  </si>
  <si>
    <t>(+) Δ Trade and Other Payables and unearned revenue</t>
  </si>
  <si>
    <t>Cashflow from CapEx Activities</t>
  </si>
  <si>
    <t>(-) CapEx</t>
  </si>
  <si>
    <t>Cashflow from non-CapEx Activities</t>
  </si>
  <si>
    <t>(±) Sales or disposal of other assets</t>
  </si>
  <si>
    <t>(+) Equity</t>
  </si>
  <si>
    <t>(+) Change in Reserves</t>
  </si>
  <si>
    <t>(+) Grants</t>
  </si>
  <si>
    <t>(+) Debt issued</t>
  </si>
  <si>
    <t>(-) Debt principal repayment</t>
  </si>
  <si>
    <t>(-) Interest payment</t>
  </si>
  <si>
    <t>Funding Requirement</t>
  </si>
  <si>
    <t>Opening Cash Balance (bs - last month cash balance)</t>
  </si>
  <si>
    <t>FCF (sum of investing + operating cashflows from CF)</t>
  </si>
  <si>
    <t>Grants and Reserves (BS - equity)</t>
  </si>
  <si>
    <t>Equity Sale (BS - equity assumption)</t>
  </si>
  <si>
    <t>Minimum Desired Cash (new assumption to be made)</t>
  </si>
  <si>
    <t>Cash Surplus/Deficit</t>
  </si>
  <si>
    <t>Outstanding Debt</t>
  </si>
  <si>
    <t>Debt BOP (last month / year debt outstanding on BS)</t>
  </si>
  <si>
    <t>Debt Added</t>
  </si>
  <si>
    <t>Debt Principal Paid</t>
  </si>
  <si>
    <t>Debt EOP</t>
  </si>
  <si>
    <t>Debt Financing</t>
  </si>
  <si>
    <t>Debt Issued for Cash financing</t>
  </si>
  <si>
    <t>Debt Issuance</t>
  </si>
  <si>
    <t>Full Debt Payment</t>
  </si>
  <si>
    <t>Principle Payment</t>
  </si>
  <si>
    <t>Interest Payment</t>
  </si>
  <si>
    <t>Other</t>
  </si>
  <si>
    <t>PPE Old</t>
  </si>
  <si>
    <t>PPE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</si>
</sst>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0" tint="-4.9989318521683403E-2"/>
      <name val="Arial"/>
      <family val="2"/>
    </font>
    <font>
      <sz val="10"/>
      <name val="Aptos Narrow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0" tint="-0.499984740745262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color theme="9" tint="-0.249977111117893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DAE9F8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thin">
        <color theme="0" tint="-0.14996795556505021"/>
      </top>
      <bottom style="medium">
        <color theme="0"/>
      </bottom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/>
      <diagonal/>
    </border>
    <border>
      <left/>
      <right/>
      <top style="thin">
        <color theme="0"/>
      </top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3743705557422"/>
      </bottom>
      <diagonal/>
    </border>
    <border>
      <left/>
      <right/>
      <top style="dotted">
        <color theme="0" tint="-0.14993743705557422"/>
      </top>
      <bottom style="dotted">
        <color theme="0" tint="-0.1499679555650502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71">
    <xf numFmtId="0" fontId="0" fillId="0" borderId="0" xfId="0"/>
    <xf numFmtId="0" fontId="2" fillId="2" borderId="1" xfId="0" applyFont="1" applyFill="1" applyBorder="1"/>
    <xf numFmtId="0" fontId="4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/>
    </xf>
    <xf numFmtId="0" fontId="6" fillId="4" borderId="0" xfId="1" applyFont="1" applyFill="1"/>
    <xf numFmtId="4" fontId="6" fillId="4" borderId="2" xfId="2" applyNumberFormat="1" applyFont="1" applyFill="1" applyBorder="1" applyAlignment="1">
      <alignment horizontal="left"/>
    </xf>
    <xf numFmtId="4" fontId="6" fillId="4" borderId="2" xfId="2" applyNumberFormat="1" applyFont="1" applyFill="1" applyBorder="1" applyAlignment="1">
      <alignment horizontal="center"/>
    </xf>
    <xf numFmtId="3" fontId="6" fillId="4" borderId="2" xfId="2" applyNumberFormat="1" applyFont="1" applyFill="1" applyBorder="1" applyAlignment="1">
      <alignment horizontal="right"/>
    </xf>
    <xf numFmtId="3" fontId="6" fillId="5" borderId="2" xfId="2" applyNumberFormat="1" applyFont="1" applyFill="1" applyBorder="1" applyAlignment="1">
      <alignment horizontal="right"/>
    </xf>
    <xf numFmtId="0" fontId="5" fillId="4" borderId="0" xfId="1" applyFont="1" applyFill="1"/>
    <xf numFmtId="0" fontId="7" fillId="6" borderId="3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center"/>
    </xf>
    <xf numFmtId="3" fontId="7" fillId="6" borderId="3" xfId="0" applyNumberFormat="1" applyFont="1" applyFill="1" applyBorder="1" applyAlignment="1">
      <alignment horizontal="right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 applyAlignment="1">
      <alignment horizontal="center"/>
    </xf>
    <xf numFmtId="9" fontId="8" fillId="6" borderId="4" xfId="0" applyNumberFormat="1" applyFont="1" applyFill="1" applyBorder="1" applyAlignment="1">
      <alignment horizontal="right"/>
    </xf>
    <xf numFmtId="0" fontId="9" fillId="2" borderId="5" xfId="1" applyFont="1" applyFill="1" applyBorder="1" applyAlignment="1">
      <alignment horizontal="left"/>
    </xf>
    <xf numFmtId="0" fontId="9" fillId="2" borderId="5" xfId="1" applyFont="1" applyFill="1" applyBorder="1" applyAlignment="1">
      <alignment horizontal="center"/>
    </xf>
    <xf numFmtId="3" fontId="9" fillId="7" borderId="5" xfId="1" applyNumberFormat="1" applyFont="1" applyFill="1" applyBorder="1" applyAlignment="1">
      <alignment horizontal="right"/>
    </xf>
    <xf numFmtId="0" fontId="6" fillId="2" borderId="6" xfId="1" applyFont="1" applyFill="1" applyBorder="1" applyAlignment="1">
      <alignment horizontal="left"/>
    </xf>
    <xf numFmtId="0" fontId="6" fillId="2" borderId="6" xfId="1" applyFont="1" applyFill="1" applyBorder="1" applyAlignment="1">
      <alignment horizontal="center"/>
    </xf>
    <xf numFmtId="9" fontId="6" fillId="2" borderId="6" xfId="1" applyNumberFormat="1" applyFont="1" applyFill="1" applyBorder="1" applyAlignment="1">
      <alignment horizontal="right"/>
    </xf>
    <xf numFmtId="0" fontId="6" fillId="4" borderId="7" xfId="1" applyFont="1" applyFill="1" applyBorder="1" applyAlignment="1">
      <alignment horizontal="left"/>
    </xf>
    <xf numFmtId="0" fontId="6" fillId="4" borderId="7" xfId="1" applyFont="1" applyFill="1" applyBorder="1" applyAlignment="1">
      <alignment horizontal="center"/>
    </xf>
    <xf numFmtId="3" fontId="6" fillId="4" borderId="7" xfId="1" applyNumberFormat="1" applyFont="1" applyFill="1" applyBorder="1" applyAlignment="1">
      <alignment horizontal="right"/>
    </xf>
    <xf numFmtId="0" fontId="6" fillId="4" borderId="8" xfId="1" applyFont="1" applyFill="1" applyBorder="1" applyAlignment="1">
      <alignment horizontal="left"/>
    </xf>
    <xf numFmtId="0" fontId="6" fillId="4" borderId="8" xfId="1" applyFont="1" applyFill="1" applyBorder="1" applyAlignment="1">
      <alignment horizontal="center"/>
    </xf>
    <xf numFmtId="3" fontId="6" fillId="4" borderId="8" xfId="1" applyNumberFormat="1" applyFont="1" applyFill="1" applyBorder="1" applyAlignment="1">
      <alignment horizontal="right"/>
    </xf>
    <xf numFmtId="0" fontId="6" fillId="8" borderId="5" xfId="1" applyFont="1" applyFill="1" applyBorder="1" applyAlignment="1">
      <alignment horizontal="left"/>
    </xf>
    <xf numFmtId="0" fontId="9" fillId="8" borderId="5" xfId="1" applyFont="1" applyFill="1" applyBorder="1" applyAlignment="1">
      <alignment horizontal="center"/>
    </xf>
    <xf numFmtId="3" fontId="6" fillId="9" borderId="5" xfId="1" applyNumberFormat="1" applyFont="1" applyFill="1" applyBorder="1" applyAlignment="1">
      <alignment horizontal="right"/>
    </xf>
    <xf numFmtId="0" fontId="5" fillId="4" borderId="0" xfId="1" applyFont="1" applyFill="1" applyAlignment="1">
      <alignment horizontal="center"/>
    </xf>
    <xf numFmtId="0" fontId="8" fillId="8" borderId="6" xfId="1" applyFont="1" applyFill="1" applyBorder="1" applyAlignment="1">
      <alignment horizontal="left"/>
    </xf>
    <xf numFmtId="0" fontId="8" fillId="8" borderId="6" xfId="1" applyFont="1" applyFill="1" applyBorder="1" applyAlignment="1">
      <alignment horizontal="center"/>
    </xf>
    <xf numFmtId="9" fontId="8" fillId="8" borderId="6" xfId="1" applyNumberFormat="1" applyFont="1" applyFill="1" applyBorder="1" applyAlignment="1">
      <alignment horizontal="right"/>
    </xf>
    <xf numFmtId="0" fontId="10" fillId="0" borderId="0" xfId="0" applyFont="1"/>
    <xf numFmtId="3" fontId="10" fillId="0" borderId="2" xfId="0" applyNumberFormat="1" applyFont="1" applyBorder="1"/>
    <xf numFmtId="0" fontId="10" fillId="0" borderId="10" xfId="0" applyFont="1" applyBorder="1"/>
    <xf numFmtId="0" fontId="10" fillId="0" borderId="11" xfId="0" applyFont="1" applyBorder="1"/>
    <xf numFmtId="3" fontId="10" fillId="0" borderId="0" xfId="0" applyNumberFormat="1" applyFont="1"/>
    <xf numFmtId="0" fontId="11" fillId="4" borderId="0" xfId="0" applyFont="1" applyFill="1"/>
    <xf numFmtId="0" fontId="10" fillId="0" borderId="12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3" fontId="10" fillId="0" borderId="12" xfId="0" applyNumberFormat="1" applyFont="1" applyBorder="1" applyAlignment="1">
      <alignment horizontal="right" vertical="center"/>
    </xf>
    <xf numFmtId="0" fontId="10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right"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right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" fillId="10" borderId="9" xfId="0" applyFont="1" applyFill="1" applyBorder="1" applyAlignment="1">
      <alignment vertical="center"/>
    </xf>
    <xf numFmtId="0" fontId="4" fillId="10" borderId="9" xfId="0" applyFont="1" applyFill="1" applyBorder="1" applyAlignment="1">
      <alignment horizontal="center" vertical="center"/>
    </xf>
    <xf numFmtId="3" fontId="4" fillId="10" borderId="9" xfId="0" applyNumberFormat="1" applyFont="1" applyFill="1" applyBorder="1" applyAlignment="1">
      <alignment horizontal="right" vertical="center"/>
    </xf>
    <xf numFmtId="0" fontId="10" fillId="8" borderId="6" xfId="0" applyFont="1" applyFill="1" applyBorder="1" applyAlignment="1">
      <alignment vertical="center"/>
    </xf>
    <xf numFmtId="0" fontId="10" fillId="8" borderId="6" xfId="0" applyFont="1" applyFill="1" applyBorder="1" applyAlignment="1">
      <alignment horizontal="center" vertical="center"/>
    </xf>
    <xf numFmtId="3" fontId="10" fillId="8" borderId="6" xfId="0" applyNumberFormat="1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right" vertical="center"/>
    </xf>
    <xf numFmtId="0" fontId="10" fillId="0" borderId="10" xfId="0" applyFont="1" applyBorder="1" applyAlignment="1">
      <alignment vertical="center"/>
    </xf>
    <xf numFmtId="0" fontId="10" fillId="0" borderId="10" xfId="0" applyFont="1" applyBorder="1" applyAlignment="1">
      <alignment horizontal="center" vertical="center"/>
    </xf>
    <xf numFmtId="3" fontId="10" fillId="0" borderId="10" xfId="0" applyNumberFormat="1" applyFont="1" applyBorder="1" applyAlignment="1">
      <alignment horizontal="right" vertical="center"/>
    </xf>
    <xf numFmtId="0" fontId="10" fillId="0" borderId="11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3" fontId="10" fillId="0" borderId="11" xfId="0" applyNumberFormat="1" applyFont="1" applyBorder="1" applyAlignment="1">
      <alignment horizontal="right" vertical="center"/>
    </xf>
    <xf numFmtId="0" fontId="5" fillId="0" borderId="9" xfId="0" applyFont="1" applyBorder="1" applyAlignment="1">
      <alignment horizontal="center"/>
    </xf>
    <xf numFmtId="0" fontId="10" fillId="8" borderId="9" xfId="0" applyFont="1" applyFill="1" applyBorder="1" applyAlignment="1">
      <alignment vertical="center"/>
    </xf>
    <xf numFmtId="0" fontId="10" fillId="8" borderId="9" xfId="0" applyFont="1" applyFill="1" applyBorder="1" applyAlignment="1">
      <alignment horizontal="center" vertical="center"/>
    </xf>
    <xf numFmtId="3" fontId="10" fillId="8" borderId="9" xfId="0" applyNumberFormat="1" applyFont="1" applyFill="1" applyBorder="1" applyAlignment="1">
      <alignment horizontal="right" vertical="center"/>
    </xf>
    <xf numFmtId="0" fontId="7" fillId="11" borderId="9" xfId="0" applyFont="1" applyFill="1" applyBorder="1" applyAlignment="1">
      <alignment vertical="center"/>
    </xf>
    <xf numFmtId="0" fontId="7" fillId="11" borderId="9" xfId="0" applyFont="1" applyFill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1" fillId="4" borderId="9" xfId="0" applyFont="1" applyFill="1" applyBorder="1"/>
    <xf numFmtId="3" fontId="7" fillId="11" borderId="9" xfId="0" applyNumberFormat="1" applyFont="1" applyFill="1" applyBorder="1" applyAlignment="1">
      <alignment vertical="center"/>
    </xf>
    <xf numFmtId="3" fontId="10" fillId="0" borderId="12" xfId="0" applyNumberFormat="1" applyFont="1" applyBorder="1" applyAlignment="1">
      <alignment vertical="center"/>
    </xf>
    <xf numFmtId="3" fontId="10" fillId="0" borderId="10" xfId="0" applyNumberFormat="1" applyFont="1" applyBorder="1" applyAlignment="1">
      <alignment vertical="center"/>
    </xf>
    <xf numFmtId="3" fontId="12" fillId="0" borderId="10" xfId="0" applyNumberFormat="1" applyFont="1" applyBorder="1" applyAlignment="1">
      <alignment vertical="center"/>
    </xf>
    <xf numFmtId="0" fontId="11" fillId="0" borderId="0" xfId="0" applyFont="1"/>
    <xf numFmtId="3" fontId="10" fillId="0" borderId="8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9" fontId="13" fillId="0" borderId="0" xfId="0" applyNumberFormat="1" applyFont="1" applyAlignment="1">
      <alignment vertical="center"/>
    </xf>
    <xf numFmtId="0" fontId="5" fillId="3" borderId="0" xfId="0" applyFont="1" applyFill="1" applyAlignment="1">
      <alignment vertical="center"/>
    </xf>
    <xf numFmtId="3" fontId="10" fillId="8" borderId="0" xfId="0" applyNumberFormat="1" applyFont="1" applyFill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3" fontId="10" fillId="9" borderId="0" xfId="0" applyNumberFormat="1" applyFont="1" applyFill="1" applyAlignment="1">
      <alignment horizontal="right" vertical="center"/>
    </xf>
    <xf numFmtId="0" fontId="5" fillId="3" borderId="9" xfId="0" applyFont="1" applyFill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3" fontId="5" fillId="3" borderId="9" xfId="0" applyNumberFormat="1" applyFont="1" applyFill="1" applyBorder="1" applyAlignment="1">
      <alignment horizontal="right" vertical="center"/>
    </xf>
    <xf numFmtId="3" fontId="10" fillId="8" borderId="9" xfId="0" applyNumberFormat="1" applyFont="1" applyFill="1" applyBorder="1" applyAlignment="1">
      <alignment vertical="center"/>
    </xf>
    <xf numFmtId="0" fontId="10" fillId="0" borderId="9" xfId="0" applyFont="1" applyBorder="1"/>
    <xf numFmtId="0" fontId="5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3" fontId="10" fillId="8" borderId="1" xfId="0" applyNumberFormat="1" applyFont="1" applyFill="1" applyBorder="1" applyAlignment="1">
      <alignment horizontal="right" vertical="center"/>
    </xf>
    <xf numFmtId="0" fontId="10" fillId="4" borderId="0" xfId="0" applyFont="1" applyFill="1"/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right" vertical="center"/>
    </xf>
    <xf numFmtId="0" fontId="2" fillId="2" borderId="0" xfId="0" applyFont="1" applyFill="1"/>
    <xf numFmtId="3" fontId="4" fillId="3" borderId="0" xfId="0" applyNumberFormat="1" applyFont="1" applyFill="1"/>
    <xf numFmtId="0" fontId="5" fillId="3" borderId="0" xfId="0" applyFont="1" applyFill="1" applyAlignment="1">
      <alignment horizontal="center"/>
    </xf>
    <xf numFmtId="3" fontId="10" fillId="0" borderId="2" xfId="0" applyNumberFormat="1" applyFont="1" applyBorder="1" applyAlignment="1">
      <alignment horizontal="center"/>
    </xf>
    <xf numFmtId="0" fontId="10" fillId="0" borderId="2" xfId="0" applyFont="1" applyBorder="1"/>
    <xf numFmtId="0" fontId="10" fillId="0" borderId="10" xfId="0" applyFont="1" applyBorder="1" applyAlignment="1">
      <alignment horizontal="center"/>
    </xf>
    <xf numFmtId="3" fontId="10" fillId="0" borderId="10" xfId="0" applyNumberFormat="1" applyFont="1" applyBorder="1"/>
    <xf numFmtId="0" fontId="10" fillId="0" borderId="11" xfId="0" applyFont="1" applyBorder="1" applyAlignment="1">
      <alignment horizontal="center"/>
    </xf>
    <xf numFmtId="3" fontId="10" fillId="0" borderId="11" xfId="0" applyNumberFormat="1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3" fontId="10" fillId="8" borderId="0" xfId="0" applyNumberFormat="1" applyFont="1" applyFill="1"/>
    <xf numFmtId="0" fontId="10" fillId="0" borderId="2" xfId="0" applyFont="1" applyBorder="1" applyAlignment="1">
      <alignment horizontal="center"/>
    </xf>
    <xf numFmtId="0" fontId="10" fillId="0" borderId="1" xfId="0" applyFont="1" applyBorder="1"/>
    <xf numFmtId="0" fontId="4" fillId="3" borderId="1" xfId="1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10" fillId="0" borderId="6" xfId="0" applyFont="1" applyBorder="1"/>
    <xf numFmtId="0" fontId="9" fillId="8" borderId="6" xfId="0" applyFont="1" applyFill="1" applyBorder="1"/>
    <xf numFmtId="0" fontId="10" fillId="0" borderId="0" xfId="0" applyFont="1" applyAlignment="1">
      <alignment horizontal="center"/>
    </xf>
    <xf numFmtId="0" fontId="5" fillId="3" borderId="0" xfId="0" applyNumberFormat="1" applyFont="1" applyFill="1" applyAlignment="1">
      <alignment horizontal="right"/>
    </xf>
    <xf numFmtId="0" fontId="10" fillId="0" borderId="0" xfId="0" applyFont="1" applyBorder="1"/>
    <xf numFmtId="3" fontId="10" fillId="0" borderId="0" xfId="0" applyNumberFormat="1" applyFont="1" applyBorder="1"/>
    <xf numFmtId="0" fontId="0" fillId="0" borderId="0" xfId="0" applyBorder="1"/>
    <xf numFmtId="17" fontId="6" fillId="4" borderId="0" xfId="0" applyNumberFormat="1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6" fillId="4" borderId="2" xfId="0" applyNumberFormat="1" applyFont="1" applyFill="1" applyBorder="1" applyAlignment="1">
      <alignment horizontal="right"/>
    </xf>
    <xf numFmtId="0" fontId="6" fillId="4" borderId="10" xfId="0" applyNumberFormat="1" applyFont="1" applyFill="1" applyBorder="1" applyAlignment="1">
      <alignment horizontal="right"/>
    </xf>
    <xf numFmtId="0" fontId="6" fillId="4" borderId="11" xfId="0" applyNumberFormat="1" applyFont="1" applyFill="1" applyBorder="1" applyAlignment="1">
      <alignment horizontal="right"/>
    </xf>
    <xf numFmtId="0" fontId="9" fillId="8" borderId="9" xfId="0" applyFont="1" applyFill="1" applyBorder="1"/>
    <xf numFmtId="0" fontId="9" fillId="8" borderId="9" xfId="0" applyFont="1" applyFill="1" applyBorder="1" applyAlignment="1">
      <alignment horizontal="center"/>
    </xf>
    <xf numFmtId="3" fontId="9" fillId="9" borderId="9" xfId="0" applyNumberFormat="1" applyFont="1" applyFill="1" applyBorder="1"/>
    <xf numFmtId="3" fontId="9" fillId="8" borderId="9" xfId="0" applyNumberFormat="1" applyFont="1" applyFill="1" applyBorder="1"/>
    <xf numFmtId="0" fontId="0" fillId="0" borderId="1" xfId="0" applyBorder="1"/>
    <xf numFmtId="0" fontId="9" fillId="8" borderId="1" xfId="0" applyFont="1" applyFill="1" applyBorder="1"/>
    <xf numFmtId="0" fontId="9" fillId="8" borderId="1" xfId="0" applyFont="1" applyFill="1" applyBorder="1" applyAlignment="1">
      <alignment horizontal="center"/>
    </xf>
    <xf numFmtId="3" fontId="9" fillId="8" borderId="1" xfId="0" applyNumberFormat="1" applyFont="1" applyFill="1" applyBorder="1"/>
    <xf numFmtId="3" fontId="4" fillId="3" borderId="1" xfId="0" applyNumberFormat="1" applyFont="1" applyFill="1" applyBorder="1"/>
    <xf numFmtId="0" fontId="5" fillId="3" borderId="1" xfId="0" applyNumberFormat="1" applyFont="1" applyFill="1" applyBorder="1" applyAlignment="1">
      <alignment horizontal="right"/>
    </xf>
    <xf numFmtId="3" fontId="10" fillId="11" borderId="9" xfId="0" applyNumberFormat="1" applyFont="1" applyFill="1" applyBorder="1" applyAlignment="1">
      <alignment horizontal="right" vertical="center"/>
    </xf>
    <xf numFmtId="0" fontId="0" fillId="0" borderId="15" xfId="0" applyBorder="1"/>
    <xf numFmtId="3" fontId="0" fillId="0" borderId="0" xfId="0" applyNumberFormat="1"/>
    <xf numFmtId="3" fontId="10" fillId="0" borderId="12" xfId="0" applyNumberFormat="1" applyFont="1" applyFill="1" applyBorder="1" applyAlignment="1">
      <alignment horizontal="right" vertical="center"/>
    </xf>
    <xf numFmtId="3" fontId="10" fillId="0" borderId="13" xfId="0" applyNumberFormat="1" applyFont="1" applyFill="1" applyBorder="1" applyAlignment="1">
      <alignment horizontal="right" vertical="center"/>
    </xf>
    <xf numFmtId="3" fontId="10" fillId="0" borderId="11" xfId="0" applyNumberFormat="1" applyFont="1" applyFill="1" applyBorder="1" applyAlignment="1">
      <alignment horizontal="right" vertical="center"/>
    </xf>
    <xf numFmtId="3" fontId="10" fillId="5" borderId="0" xfId="0" applyNumberFormat="1" applyFont="1" applyFill="1" applyAlignment="1">
      <alignment horizontal="right" vertical="center"/>
    </xf>
    <xf numFmtId="0" fontId="10" fillId="4" borderId="2" xfId="0" applyFont="1" applyFill="1" applyBorder="1"/>
    <xf numFmtId="3" fontId="10" fillId="0" borderId="0" xfId="0" applyNumberFormat="1" applyFont="1" applyFill="1"/>
    <xf numFmtId="3" fontId="10" fillId="0" borderId="2" xfId="0" applyNumberFormat="1" applyFont="1" applyFill="1" applyBorder="1"/>
    <xf numFmtId="3" fontId="10" fillId="0" borderId="8" xfId="0" applyNumberFormat="1" applyFont="1" applyFill="1" applyBorder="1" applyAlignment="1">
      <alignment vertical="center"/>
    </xf>
    <xf numFmtId="3" fontId="10" fillId="4" borderId="14" xfId="0" applyNumberFormat="1" applyFont="1" applyFill="1" applyBorder="1" applyAlignment="1">
      <alignment horizontal="right" vertical="center"/>
    </xf>
    <xf numFmtId="3" fontId="10" fillId="0" borderId="2" xfId="0" applyNumberFormat="1" applyFont="1" applyFill="1" applyBorder="1" applyAlignment="1">
      <alignment horizontal="right" vertical="center"/>
    </xf>
    <xf numFmtId="3" fontId="6" fillId="5" borderId="8" xfId="1" applyNumberFormat="1" applyFont="1" applyFill="1" applyBorder="1" applyAlignment="1">
      <alignment horizontal="right"/>
    </xf>
    <xf numFmtId="3" fontId="6" fillId="5" borderId="7" xfId="1" applyNumberFormat="1" applyFont="1" applyFill="1" applyBorder="1" applyAlignment="1">
      <alignment horizontal="right"/>
    </xf>
    <xf numFmtId="0" fontId="10" fillId="12" borderId="0" xfId="0" applyFont="1" applyFill="1" applyBorder="1" applyAlignment="1">
      <alignment vertical="center"/>
    </xf>
    <xf numFmtId="0" fontId="10" fillId="12" borderId="0" xfId="0" applyFont="1" applyFill="1" applyBorder="1" applyAlignment="1">
      <alignment horizontal="center" vertical="center"/>
    </xf>
    <xf numFmtId="3" fontId="10" fillId="12" borderId="0" xfId="0" applyNumberFormat="1" applyFont="1" applyFill="1" applyBorder="1" applyAlignment="1">
      <alignment horizontal="right" vertical="center"/>
    </xf>
    <xf numFmtId="0" fontId="10" fillId="12" borderId="14" xfId="0" applyFont="1" applyFill="1" applyBorder="1" applyAlignment="1">
      <alignment vertical="center"/>
    </xf>
    <xf numFmtId="0" fontId="10" fillId="12" borderId="14" xfId="0" applyFont="1" applyFill="1" applyBorder="1" applyAlignment="1">
      <alignment horizontal="center" vertical="center"/>
    </xf>
    <xf numFmtId="3" fontId="10" fillId="12" borderId="14" xfId="0" applyNumberFormat="1" applyFont="1" applyFill="1" applyBorder="1" applyAlignment="1">
      <alignment horizontal="right" vertical="center"/>
    </xf>
    <xf numFmtId="0" fontId="10" fillId="12" borderId="8" xfId="0" applyFont="1" applyFill="1" applyBorder="1" applyAlignment="1">
      <alignment vertical="center"/>
    </xf>
    <xf numFmtId="0" fontId="10" fillId="12" borderId="8" xfId="0" applyFont="1" applyFill="1" applyBorder="1" applyAlignment="1">
      <alignment horizontal="center" vertical="center"/>
    </xf>
    <xf numFmtId="3" fontId="10" fillId="12" borderId="8" xfId="0" applyNumberFormat="1" applyFont="1" applyFill="1" applyBorder="1" applyAlignment="1">
      <alignment vertical="center"/>
    </xf>
    <xf numFmtId="0" fontId="10" fillId="12" borderId="2" xfId="0" applyFont="1" applyFill="1" applyBorder="1" applyAlignment="1">
      <alignment vertical="center"/>
    </xf>
    <xf numFmtId="0" fontId="10" fillId="12" borderId="2" xfId="0" applyFont="1" applyFill="1" applyBorder="1" applyAlignment="1">
      <alignment horizontal="center" vertical="center"/>
    </xf>
    <xf numFmtId="3" fontId="10" fillId="12" borderId="2" xfId="0" applyNumberFormat="1" applyFont="1" applyFill="1" applyBorder="1" applyAlignment="1">
      <alignment horizontal="right" vertical="center"/>
    </xf>
    <xf numFmtId="0" fontId="10" fillId="12" borderId="11" xfId="0" applyFont="1" applyFill="1" applyBorder="1"/>
    <xf numFmtId="0" fontId="10" fillId="12" borderId="11" xfId="0" applyFont="1" applyFill="1" applyBorder="1" applyAlignment="1">
      <alignment horizontal="center"/>
    </xf>
    <xf numFmtId="3" fontId="10" fillId="12" borderId="11" xfId="0" applyNumberFormat="1" applyFont="1" applyFill="1" applyBorder="1"/>
  </cellXfs>
  <cellStyles count="3">
    <cellStyle name="Comma 2" xfId="2" xr:uid="{C8DE0556-1457-4CC4-89BE-4F71685D1E6E}"/>
    <cellStyle name="Normal" xfId="0" builtinId="0"/>
    <cellStyle name="Normal 2" xfId="1" xr:uid="{0F533D21-3806-43A4-B53B-929DF9231E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06a635446fb54665/Documents/FP_vShared.xlsx" TargetMode="External"/><Relationship Id="rId1" Type="http://schemas.openxmlformats.org/officeDocument/2006/relationships/externalLinkPath" Target="FP_vSha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TOC"/>
      <sheetName val="FC"/>
      <sheetName val="1. Output &gt;&gt;"/>
      <sheetName val="Name File"/>
      <sheetName val="1.2 Financial Output"/>
      <sheetName val="1.3 Sensitivity Analysis"/>
      <sheetName val="2. FS &gt;&gt;"/>
      <sheetName val="1.1 Control Panel"/>
      <sheetName val="2.1 PnL"/>
      <sheetName val="2.2 BS"/>
      <sheetName val="2.3 CF"/>
      <sheetName val="3.8 Debt Financing"/>
      <sheetName val="3.9 Equity Financing"/>
      <sheetName val="3. Calculations &gt;&gt;"/>
      <sheetName val="3.1 Market"/>
      <sheetName val="Back-end Overview of Use Cases"/>
      <sheetName val="3.2 Doojo Base"/>
      <sheetName val="3.3 Revenue"/>
      <sheetName val="3.4 OpEx"/>
      <sheetName val="3.5 Staff"/>
      <sheetName val="3.6 CapEx"/>
      <sheetName val="3.7 D&amp;A"/>
      <sheetName val="3.10 WACC"/>
      <sheetName val="4. Input &gt;&gt;"/>
      <sheetName val="4.1 GICS Sectors"/>
      <sheetName val="4.2 Sector Mapping"/>
      <sheetName val="4.3 Global SME Data"/>
      <sheetName val="4.4 EU SME Data"/>
      <sheetName val="4.5 UK SME Data"/>
      <sheetName val="4.6 USA SME Data"/>
    </sheetNames>
    <sheetDataSet>
      <sheetData sheetId="0"/>
      <sheetData sheetId="1"/>
      <sheetData sheetId="2"/>
      <sheetData sheetId="3"/>
      <sheetData sheetId="4">
        <row r="10">
          <cell r="B10" t="str">
            <v>Bootstrapped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BB3F4-DA44-41A2-A374-27428633184C}">
  <dimension ref="C1:G2"/>
  <sheetViews>
    <sheetView workbookViewId="0">
      <selection activeCell="E2" sqref="E2"/>
    </sheetView>
  </sheetViews>
  <sheetFormatPr defaultRowHeight="14.5" x14ac:dyDescent="0.35"/>
  <cols>
    <col min="1" max="2" width="3.6328125" customWidth="1"/>
  </cols>
  <sheetData>
    <row r="1" spans="3:7" x14ac:dyDescent="0.35">
      <c r="D1" t="s">
        <v>2</v>
      </c>
      <c r="E1">
        <v>2025</v>
      </c>
      <c r="F1">
        <f>E1+1</f>
        <v>2026</v>
      </c>
      <c r="G1">
        <f>F1+1</f>
        <v>2027</v>
      </c>
    </row>
    <row r="2" spans="3:7" x14ac:dyDescent="0.35">
      <c r="C2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4C5B-C835-423E-BDF8-E33A983068CD}">
  <dimension ref="B1:I18"/>
  <sheetViews>
    <sheetView showGridLines="0" tabSelected="1" workbookViewId="0"/>
  </sheetViews>
  <sheetFormatPr defaultColWidth="0" defaultRowHeight="14.5" zeroHeight="1" x14ac:dyDescent="0.35"/>
  <cols>
    <col min="1" max="2" width="3.6328125" customWidth="1"/>
    <col min="3" max="3" width="23.7265625" bestFit="1" customWidth="1"/>
    <col min="4" max="4" width="8.7265625" customWidth="1"/>
    <col min="5" max="7" width="15.6328125" customWidth="1"/>
    <col min="8" max="8" width="3.6328125" customWidth="1"/>
    <col min="10" max="16384" width="8.7265625" hidden="1"/>
  </cols>
  <sheetData>
    <row r="1" spans="2:7" ht="3" customHeight="1" x14ac:dyDescent="0.35"/>
    <row r="2" spans="2:7" x14ac:dyDescent="0.35">
      <c r="B2" s="1" t="s">
        <v>0</v>
      </c>
      <c r="C2" s="2" t="s">
        <v>1</v>
      </c>
      <c r="D2" s="3" t="s">
        <v>2</v>
      </c>
      <c r="E2" s="122">
        <v>2025</v>
      </c>
      <c r="F2" s="122">
        <f>E2+1</f>
        <v>2026</v>
      </c>
      <c r="G2" s="122">
        <f>F2+1</f>
        <v>2027</v>
      </c>
    </row>
    <row r="3" spans="2:7" x14ac:dyDescent="0.35">
      <c r="B3" s="4"/>
      <c r="C3" s="5" t="s">
        <v>3</v>
      </c>
      <c r="D3" s="6" t="s">
        <v>4</v>
      </c>
      <c r="E3" s="7">
        <v>1089208</v>
      </c>
      <c r="F3" s="7">
        <v>20189208</v>
      </c>
      <c r="G3" s="8">
        <v>20589805</v>
      </c>
    </row>
    <row r="4" spans="2:7" x14ac:dyDescent="0.35">
      <c r="B4" s="4"/>
      <c r="C4" s="5" t="s">
        <v>5</v>
      </c>
      <c r="D4" s="6" t="s">
        <v>4</v>
      </c>
      <c r="E4" s="7">
        <f>-5029208</f>
        <v>-5029208</v>
      </c>
      <c r="F4" s="7">
        <f>-5069308</f>
        <v>-5069308</v>
      </c>
      <c r="G4" s="7">
        <v>-5127208</v>
      </c>
    </row>
    <row r="5" spans="2:7" ht="15" thickBot="1" x14ac:dyDescent="0.4">
      <c r="B5" s="9" t="s">
        <v>6</v>
      </c>
      <c r="C5" s="10" t="s">
        <v>7</v>
      </c>
      <c r="D5" s="11" t="s">
        <v>4</v>
      </c>
      <c r="E5" s="12">
        <f>E3+E4</f>
        <v>-3940000</v>
      </c>
      <c r="F5" s="12">
        <f t="shared" ref="F5:G5" si="0">F3+F4</f>
        <v>15119900</v>
      </c>
      <c r="G5" s="12">
        <f t="shared" si="0"/>
        <v>15462597</v>
      </c>
    </row>
    <row r="6" spans="2:7" x14ac:dyDescent="0.35">
      <c r="B6" s="4"/>
      <c r="C6" s="13" t="s">
        <v>8</v>
      </c>
      <c r="D6" s="14" t="s">
        <v>9</v>
      </c>
      <c r="E6" s="15">
        <f>E5/E3</f>
        <v>-3.6173072544454321</v>
      </c>
      <c r="F6" s="15">
        <f t="shared" ref="F6:G6" si="1">F5/F3</f>
        <v>0.7489100117250761</v>
      </c>
      <c r="G6" s="15">
        <f t="shared" si="1"/>
        <v>0.75098316861184455</v>
      </c>
    </row>
    <row r="7" spans="2:7" x14ac:dyDescent="0.35">
      <c r="B7" s="9"/>
      <c r="C7" s="5" t="s">
        <v>10</v>
      </c>
      <c r="D7" s="6" t="s">
        <v>4</v>
      </c>
      <c r="E7" s="8">
        <v>-5204</v>
      </c>
      <c r="F7" s="7">
        <f>-6301</f>
        <v>-6301</v>
      </c>
      <c r="G7" s="7">
        <v>-6903</v>
      </c>
    </row>
    <row r="8" spans="2:7" ht="15" thickBot="1" x14ac:dyDescent="0.4">
      <c r="B8" s="9" t="s">
        <v>6</v>
      </c>
      <c r="C8" s="10" t="s">
        <v>11</v>
      </c>
      <c r="D8" s="11" t="s">
        <v>4</v>
      </c>
      <c r="E8" s="12">
        <f>E5+E7</f>
        <v>-3945204</v>
      </c>
      <c r="F8" s="12">
        <f t="shared" ref="F8:G8" si="2">F5+F7</f>
        <v>15113599</v>
      </c>
      <c r="G8" s="12">
        <f t="shared" si="2"/>
        <v>15455694</v>
      </c>
    </row>
    <row r="9" spans="2:7" x14ac:dyDescent="0.35">
      <c r="B9" s="4"/>
      <c r="C9" s="13" t="s">
        <v>12</v>
      </c>
      <c r="D9" s="14" t="s">
        <v>9</v>
      </c>
      <c r="E9" s="15">
        <f>E8/E3</f>
        <v>-3.6220850379358214</v>
      </c>
      <c r="F9" s="15">
        <f t="shared" ref="F9:G9" si="3">F8/F3</f>
        <v>0.74859791429163536</v>
      </c>
      <c r="G9" s="15">
        <f t="shared" si="3"/>
        <v>0.7506479056018257</v>
      </c>
    </row>
    <row r="10" spans="2:7" x14ac:dyDescent="0.35">
      <c r="B10" s="4"/>
      <c r="C10" s="5" t="s">
        <v>13</v>
      </c>
      <c r="D10" s="6" t="s">
        <v>4</v>
      </c>
      <c r="E10" s="8">
        <f ca="1">CF!E31</f>
        <v>-674273.95085962629</v>
      </c>
      <c r="F10" s="8">
        <f ca="1">CF!F31</f>
        <v>-470565.80860596267</v>
      </c>
      <c r="G10" s="8">
        <f ca="1">CF!G31</f>
        <v>-246486.8521269327</v>
      </c>
    </row>
    <row r="11" spans="2:7" x14ac:dyDescent="0.35">
      <c r="B11" s="4"/>
      <c r="C11" s="5" t="s">
        <v>14</v>
      </c>
      <c r="D11" s="6" t="s">
        <v>4</v>
      </c>
      <c r="E11" s="8">
        <f ca="1">-IF(E8+E10&lt;0,0,(E8+E10)*12%)</f>
        <v>0</v>
      </c>
      <c r="F11" s="8">
        <f t="shared" ref="F11:G11" ca="1" si="4">-IF(F8+F10&lt;0,0,(F8+F10)*12%)</f>
        <v>-1757163.9829672843</v>
      </c>
      <c r="G11" s="8">
        <f t="shared" ca="1" si="4"/>
        <v>-1825104.8577447678</v>
      </c>
    </row>
    <row r="12" spans="2:7" x14ac:dyDescent="0.35">
      <c r="B12" s="9" t="s">
        <v>6</v>
      </c>
      <c r="C12" s="16" t="s">
        <v>15</v>
      </c>
      <c r="D12" s="17" t="s">
        <v>4</v>
      </c>
      <c r="E12" s="18">
        <f ca="1">E8+E10+E11</f>
        <v>-4619477.9508596268</v>
      </c>
      <c r="F12" s="18">
        <f t="shared" ref="F12:G12" ca="1" si="5">F8+F10+F11</f>
        <v>12885869.208426753</v>
      </c>
      <c r="G12" s="18">
        <f t="shared" ca="1" si="5"/>
        <v>13384102.290128298</v>
      </c>
    </row>
    <row r="13" spans="2:7" x14ac:dyDescent="0.35">
      <c r="B13" s="4"/>
      <c r="C13" s="19" t="s">
        <v>16</v>
      </c>
      <c r="D13" s="20" t="s">
        <v>9</v>
      </c>
      <c r="E13" s="21">
        <f ca="1">E12/E3</f>
        <v>-4.2411347978160521</v>
      </c>
      <c r="F13" s="21">
        <f t="shared" ref="F13:G13" ca="1" si="6">F12/F3</f>
        <v>0.63825530988767631</v>
      </c>
      <c r="G13" s="21">
        <f t="shared" ca="1" si="6"/>
        <v>0.65003540782092395</v>
      </c>
    </row>
    <row r="14" spans="2:7" x14ac:dyDescent="0.35">
      <c r="B14" s="9" t="s">
        <v>6</v>
      </c>
      <c r="C14" s="22" t="s">
        <v>17</v>
      </c>
      <c r="D14" s="23" t="s">
        <v>4</v>
      </c>
      <c r="E14" s="155">
        <f>-E3*0.01/100</f>
        <v>-108.9208</v>
      </c>
      <c r="F14" s="155">
        <f>-F3*0.01/100</f>
        <v>-2018.9208000000001</v>
      </c>
      <c r="G14" s="24">
        <f>-G3*0.01/100</f>
        <v>-2058.9805000000001</v>
      </c>
    </row>
    <row r="15" spans="2:7" x14ac:dyDescent="0.35">
      <c r="B15" s="4"/>
      <c r="C15" s="25" t="s">
        <v>18</v>
      </c>
      <c r="D15" s="26" t="s">
        <v>4</v>
      </c>
      <c r="E15" s="154">
        <f>(0.23*E3+0.42*E4)/100</f>
        <v>-18617.495199999998</v>
      </c>
      <c r="F15" s="27">
        <f t="shared" ref="F15:G15" si="7">(0.23*F3+0.42*F4)/100</f>
        <v>25144.084800000001</v>
      </c>
      <c r="G15" s="27">
        <f t="shared" si="7"/>
        <v>25822.277900000005</v>
      </c>
    </row>
    <row r="16" spans="2:7" x14ac:dyDescent="0.35">
      <c r="B16" s="4"/>
      <c r="C16" s="28" t="s">
        <v>19</v>
      </c>
      <c r="D16" s="29" t="s">
        <v>4</v>
      </c>
      <c r="E16" s="30">
        <f ca="1">E12+E14+E15</f>
        <v>-4638204.366859627</v>
      </c>
      <c r="F16" s="30">
        <f t="shared" ref="F16:G16" ca="1" si="8">F12+F14+F15</f>
        <v>12908994.372426752</v>
      </c>
      <c r="G16" s="30">
        <f t="shared" ca="1" si="8"/>
        <v>13407865.587528298</v>
      </c>
    </row>
    <row r="17" spans="2:7" x14ac:dyDescent="0.35">
      <c r="B17" s="31" t="s">
        <v>20</v>
      </c>
      <c r="C17" s="32" t="s">
        <v>21</v>
      </c>
      <c r="D17" s="33" t="s">
        <v>9</v>
      </c>
      <c r="E17" s="34">
        <f ca="1">E16/E3</f>
        <v>-4.2583274882847233</v>
      </c>
      <c r="F17" s="34">
        <f t="shared" ref="F17:G17" ca="1" si="9">F16/F3</f>
        <v>0.6394007319369216</v>
      </c>
      <c r="G17" s="34">
        <f t="shared" ca="1" si="9"/>
        <v>0.65118953712909367</v>
      </c>
    </row>
    <row r="18" spans="2:7" ht="3" customHeight="1" x14ac:dyDescent="0.35">
      <c r="B18" s="35"/>
      <c r="C18" s="35"/>
      <c r="D18" s="35"/>
      <c r="E18" s="35"/>
      <c r="F18" s="35"/>
      <c r="G18" s="3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04B2-D854-4ADF-A6BA-5F3A038D0558}">
  <dimension ref="A1:I32"/>
  <sheetViews>
    <sheetView showGridLines="0" workbookViewId="0"/>
  </sheetViews>
  <sheetFormatPr defaultColWidth="0" defaultRowHeight="14.5" zeroHeight="1" x14ac:dyDescent="0.35"/>
  <cols>
    <col min="1" max="2" width="3.6328125" style="80" customWidth="1"/>
    <col min="3" max="3" width="43.6328125" style="82" bestFit="1" customWidth="1"/>
    <col min="4" max="4" width="8.7265625" style="82" customWidth="1"/>
    <col min="5" max="7" width="15.6328125" style="82" customWidth="1"/>
    <col min="8" max="8" width="3.6328125" customWidth="1"/>
    <col min="10" max="16384" width="8.7265625" hidden="1"/>
  </cols>
  <sheetData>
    <row r="1" spans="1:7" x14ac:dyDescent="0.35">
      <c r="A1" s="35"/>
      <c r="B1" s="35"/>
      <c r="C1" s="35"/>
      <c r="D1" s="35"/>
      <c r="E1" s="39"/>
      <c r="F1" s="39"/>
      <c r="G1" s="39"/>
    </row>
    <row r="2" spans="1:7" x14ac:dyDescent="0.35">
      <c r="A2" s="40"/>
      <c r="B2" s="1" t="s">
        <v>0</v>
      </c>
      <c r="C2" s="2" t="s">
        <v>23</v>
      </c>
      <c r="D2" s="3" t="s">
        <v>2</v>
      </c>
      <c r="E2" s="122">
        <v>2025</v>
      </c>
      <c r="F2" s="122">
        <f>E2+1</f>
        <v>2026</v>
      </c>
      <c r="G2" s="122">
        <f>F2+1</f>
        <v>2027</v>
      </c>
    </row>
    <row r="3" spans="1:7" x14ac:dyDescent="0.35">
      <c r="A3" s="40"/>
      <c r="B3" s="35"/>
      <c r="C3" s="41" t="s">
        <v>24</v>
      </c>
      <c r="D3" s="42" t="s">
        <v>4</v>
      </c>
      <c r="E3" s="43">
        <f ca="1">E8</f>
        <v>376223.04000000004</v>
      </c>
      <c r="F3" s="43">
        <f t="shared" ref="F3:G3" ca="1" si="0">F8</f>
        <v>11515971.768436456</v>
      </c>
      <c r="G3" s="43">
        <f t="shared" ca="1" si="0"/>
        <v>22565198.75519542</v>
      </c>
    </row>
    <row r="4" spans="1:7" x14ac:dyDescent="0.35">
      <c r="A4" s="40"/>
      <c r="B4" s="35"/>
      <c r="C4" s="44" t="s">
        <v>25</v>
      </c>
      <c r="D4" s="45" t="s">
        <v>4</v>
      </c>
      <c r="E4" s="46">
        <f ca="1">E17</f>
        <v>376223.04000000004</v>
      </c>
      <c r="F4" s="46">
        <f t="shared" ref="F4:G4" ca="1" si="1">F17</f>
        <v>11515971.768436452</v>
      </c>
      <c r="G4" s="46">
        <f t="shared" ca="1" si="1"/>
        <v>22565198.755195424</v>
      </c>
    </row>
    <row r="5" spans="1:7" x14ac:dyDescent="0.35">
      <c r="A5" s="40"/>
      <c r="B5" s="35"/>
      <c r="C5" s="47" t="s">
        <v>26</v>
      </c>
      <c r="D5" s="48" t="s">
        <v>27</v>
      </c>
      <c r="E5" s="49" t="b">
        <f ca="1">IF(ABS(E3-E4)&lt;0.01,TRUE,FALSE)</f>
        <v>1</v>
      </c>
      <c r="F5" s="49" t="b">
        <f t="shared" ref="F5:G5" ca="1" si="2">IF(ABS(F3-F4)&lt;0.01,TRUE,FALSE)</f>
        <v>1</v>
      </c>
      <c r="G5" s="49" t="b">
        <f t="shared" ca="1" si="2"/>
        <v>1</v>
      </c>
    </row>
    <row r="6" spans="1:7" ht="3" customHeight="1" x14ac:dyDescent="0.35">
      <c r="A6" s="40"/>
      <c r="B6" s="35"/>
      <c r="C6" s="50"/>
      <c r="D6" s="50"/>
      <c r="E6" s="50"/>
      <c r="F6" s="50"/>
      <c r="G6" s="50"/>
    </row>
    <row r="7" spans="1:7" x14ac:dyDescent="0.35">
      <c r="A7" s="40"/>
      <c r="B7" s="1" t="s">
        <v>0</v>
      </c>
      <c r="C7" s="2" t="s">
        <v>23</v>
      </c>
      <c r="D7" s="3" t="s">
        <v>2</v>
      </c>
      <c r="E7" s="122">
        <v>2025</v>
      </c>
      <c r="F7" s="122">
        <f>E7+1</f>
        <v>2026</v>
      </c>
      <c r="G7" s="122">
        <f>F7+1</f>
        <v>2027</v>
      </c>
    </row>
    <row r="8" spans="1:7" x14ac:dyDescent="0.35">
      <c r="A8" s="40"/>
      <c r="B8" s="51" t="s">
        <v>6</v>
      </c>
      <c r="C8" s="52" t="s">
        <v>24</v>
      </c>
      <c r="D8" s="53" t="s">
        <v>4</v>
      </c>
      <c r="E8" s="54">
        <f ca="1">E9+E14</f>
        <v>376223.04000000004</v>
      </c>
      <c r="F8" s="54">
        <f t="shared" ref="F8:G8" ca="1" si="3">F9+F14</f>
        <v>11515971.768436456</v>
      </c>
      <c r="G8" s="54">
        <f t="shared" ca="1" si="3"/>
        <v>22565198.75519542</v>
      </c>
    </row>
    <row r="9" spans="1:7" x14ac:dyDescent="0.35">
      <c r="A9" s="40"/>
      <c r="B9" s="51" t="s">
        <v>6</v>
      </c>
      <c r="C9" s="55" t="s">
        <v>28</v>
      </c>
      <c r="D9" s="56" t="s">
        <v>4</v>
      </c>
      <c r="E9" s="57">
        <f ca="1">SUM(E10:E13)</f>
        <v>309136.64000000001</v>
      </c>
      <c r="F9" s="57">
        <f t="shared" ref="F9:G9" ca="1" si="4">SUM(F10:F13)</f>
        <v>10489656.368436456</v>
      </c>
      <c r="G9" s="57">
        <f t="shared" ca="1" si="4"/>
        <v>21523359.50519542</v>
      </c>
    </row>
    <row r="10" spans="1:7" x14ac:dyDescent="0.35">
      <c r="A10" s="40"/>
      <c r="B10" s="35"/>
      <c r="C10" s="58" t="s">
        <v>29</v>
      </c>
      <c r="D10" s="59" t="s">
        <v>4</v>
      </c>
      <c r="E10" s="153">
        <f ca="1">CF!E8</f>
        <v>25000</v>
      </c>
      <c r="F10" s="60">
        <f ca="1">CF!F8</f>
        <v>9630514.7284364551</v>
      </c>
      <c r="G10" s="60">
        <f ca="1">CF!G8</f>
        <v>20649304.955195423</v>
      </c>
    </row>
    <row r="11" spans="1:7" x14ac:dyDescent="0.35">
      <c r="A11" s="40"/>
      <c r="B11" s="35"/>
      <c r="C11" s="61" t="s">
        <v>30</v>
      </c>
      <c r="D11" s="62" t="s">
        <v>4</v>
      </c>
      <c r="E11" s="63">
        <f>3%*PnL!E3</f>
        <v>32676.239999999998</v>
      </c>
      <c r="F11" s="63">
        <f>3%*PnL!F3</f>
        <v>605676.24</v>
      </c>
      <c r="G11" s="63">
        <f>3%*PnL!G3</f>
        <v>617694.15</v>
      </c>
    </row>
    <row r="12" spans="1:7" x14ac:dyDescent="0.35">
      <c r="A12" s="40"/>
      <c r="B12" s="35"/>
      <c r="C12" s="64" t="s">
        <v>31</v>
      </c>
      <c r="D12" s="62" t="s">
        <v>4</v>
      </c>
      <c r="E12" s="63">
        <f>-2%*PnL!E4</f>
        <v>100584.16</v>
      </c>
      <c r="F12" s="63">
        <f>-2%*PnL!F4</f>
        <v>101386.16</v>
      </c>
      <c r="G12" s="63">
        <f>-2%*PnL!G4</f>
        <v>102544.16</v>
      </c>
    </row>
    <row r="13" spans="1:7" x14ac:dyDescent="0.35">
      <c r="A13" s="40"/>
      <c r="B13" s="35"/>
      <c r="C13" s="64" t="s">
        <v>32</v>
      </c>
      <c r="D13" s="65" t="s">
        <v>4</v>
      </c>
      <c r="E13" s="66">
        <f>-3%*PnL!E4</f>
        <v>150876.24</v>
      </c>
      <c r="F13" s="66">
        <f>-3%*PnL!F4</f>
        <v>152079.24</v>
      </c>
      <c r="G13" s="66">
        <f>-3%*PnL!G4</f>
        <v>153816.24</v>
      </c>
    </row>
    <row r="14" spans="1:7" x14ac:dyDescent="0.35">
      <c r="A14" s="40"/>
      <c r="B14" s="67" t="s">
        <v>6</v>
      </c>
      <c r="C14" s="68" t="s">
        <v>33</v>
      </c>
      <c r="D14" s="69" t="s">
        <v>4</v>
      </c>
      <c r="E14" s="70">
        <f>SUM(E15:E16)</f>
        <v>67086.399999999994</v>
      </c>
      <c r="F14" s="70">
        <f t="shared" ref="F14:G14" si="5">SUM(F15:F16)</f>
        <v>1026315.4</v>
      </c>
      <c r="G14" s="70">
        <f t="shared" si="5"/>
        <v>1041839.25</v>
      </c>
    </row>
    <row r="15" spans="1:7" x14ac:dyDescent="0.35">
      <c r="A15" s="40"/>
      <c r="B15" s="35"/>
      <c r="C15" s="58" t="s">
        <v>34</v>
      </c>
      <c r="D15" s="59" t="s">
        <v>4</v>
      </c>
      <c r="E15" s="60">
        <f>Sheet6!C8</f>
        <v>12626</v>
      </c>
      <c r="F15" s="60">
        <f>Sheet6!D8</f>
        <v>16855</v>
      </c>
      <c r="G15" s="60">
        <f>Sheet6!E8</f>
        <v>12349</v>
      </c>
    </row>
    <row r="16" spans="1:7" x14ac:dyDescent="0.35">
      <c r="A16" s="40"/>
      <c r="B16" s="35"/>
      <c r="C16" s="61" t="s">
        <v>35</v>
      </c>
      <c r="D16" s="62" t="s">
        <v>4</v>
      </c>
      <c r="E16" s="63">
        <f>5%*PnL!E3</f>
        <v>54460.4</v>
      </c>
      <c r="F16" s="63">
        <f>5%*PnL!F3</f>
        <v>1009460.4</v>
      </c>
      <c r="G16" s="63">
        <f>5%*PnL!G3</f>
        <v>1029490.25</v>
      </c>
    </row>
    <row r="17" spans="1:7" x14ac:dyDescent="0.35">
      <c r="A17" s="40"/>
      <c r="B17" s="51" t="s">
        <v>6</v>
      </c>
      <c r="C17" s="52" t="s">
        <v>25</v>
      </c>
      <c r="D17" s="53" t="s">
        <v>4</v>
      </c>
      <c r="E17" s="54">
        <f ca="1">E18+E25</f>
        <v>376223.04000000004</v>
      </c>
      <c r="F17" s="54">
        <f t="shared" ref="F17:G17" ca="1" si="6">F18+F25</f>
        <v>11515971.768436452</v>
      </c>
      <c r="G17" s="54">
        <f t="shared" ca="1" si="6"/>
        <v>22565198.755195424</v>
      </c>
    </row>
    <row r="18" spans="1:7" x14ac:dyDescent="0.35">
      <c r="A18" s="40"/>
      <c r="B18" s="51" t="s">
        <v>6</v>
      </c>
      <c r="C18" s="71" t="s">
        <v>36</v>
      </c>
      <c r="D18" s="72" t="s">
        <v>4</v>
      </c>
      <c r="E18" s="141">
        <f ca="1">E19+E22</f>
        <v>4964318.4860596266</v>
      </c>
      <c r="F18" s="141">
        <f t="shared" ref="F18" ca="1" si="7">F19+F22</f>
        <v>3149731.9212693269</v>
      </c>
      <c r="G18" s="141">
        <f ca="1">G19+G22</f>
        <v>737612.34000000008</v>
      </c>
    </row>
    <row r="19" spans="1:7" x14ac:dyDescent="0.35">
      <c r="A19" s="40"/>
      <c r="B19" s="51"/>
      <c r="C19" s="68" t="s">
        <v>37</v>
      </c>
      <c r="D19" s="69" t="s">
        <v>4</v>
      </c>
      <c r="E19" s="70">
        <f>E20+E21</f>
        <v>172660.4</v>
      </c>
      <c r="F19" s="70">
        <f t="shared" ref="F19:G19" si="8">F20+F21</f>
        <v>555863.4</v>
      </c>
      <c r="G19" s="70">
        <f t="shared" si="8"/>
        <v>565612.34000000008</v>
      </c>
    </row>
    <row r="20" spans="1:7" x14ac:dyDescent="0.35">
      <c r="A20" s="40"/>
      <c r="B20" s="35"/>
      <c r="C20" s="41" t="s">
        <v>38</v>
      </c>
      <c r="D20" s="42" t="s">
        <v>4</v>
      </c>
      <c r="E20" s="144">
        <f>-3%*PnL!E4</f>
        <v>150876.24</v>
      </c>
      <c r="F20" s="144">
        <f>-3%*PnL!F4</f>
        <v>152079.24</v>
      </c>
      <c r="G20" s="144">
        <f>-3%*PnL!G4</f>
        <v>153816.24</v>
      </c>
    </row>
    <row r="21" spans="1:7" x14ac:dyDescent="0.35">
      <c r="A21" s="40"/>
      <c r="B21" s="35"/>
      <c r="C21" s="73" t="s">
        <v>39</v>
      </c>
      <c r="D21" s="74" t="s">
        <v>4</v>
      </c>
      <c r="E21" s="145">
        <f>2%*PnL!E3</f>
        <v>21784.16</v>
      </c>
      <c r="F21" s="145">
        <f>2%*PnL!F3</f>
        <v>403784.16000000003</v>
      </c>
      <c r="G21" s="145">
        <f>2%*PnL!G3</f>
        <v>411796.10000000003</v>
      </c>
    </row>
    <row r="22" spans="1:7" x14ac:dyDescent="0.35">
      <c r="A22" s="40"/>
      <c r="B22" s="67"/>
      <c r="C22" s="68" t="s">
        <v>40</v>
      </c>
      <c r="D22" s="69" t="s">
        <v>4</v>
      </c>
      <c r="E22" s="70">
        <f ca="1">E23+E24</f>
        <v>4791658.0860596262</v>
      </c>
      <c r="F22" s="70">
        <f t="shared" ref="F22:G22" ca="1" si="9">F23+F24</f>
        <v>2593868.521269327</v>
      </c>
      <c r="G22" s="70">
        <f t="shared" ca="1" si="9"/>
        <v>172000</v>
      </c>
    </row>
    <row r="23" spans="1:7" x14ac:dyDescent="0.35">
      <c r="A23" s="40"/>
      <c r="B23" s="35"/>
      <c r="C23" s="58" t="s">
        <v>41</v>
      </c>
      <c r="D23" s="59" t="s">
        <v>4</v>
      </c>
      <c r="E23" s="60">
        <f ca="1">Debt!E14</f>
        <v>4705658.0860596262</v>
      </c>
      <c r="F23" s="60">
        <f ca="1">Debt!F14</f>
        <v>2464868.521269327</v>
      </c>
      <c r="G23" s="60">
        <f ca="1">Debt!G14</f>
        <v>0</v>
      </c>
    </row>
    <row r="24" spans="1:7" x14ac:dyDescent="0.35">
      <c r="A24" s="40"/>
      <c r="B24" s="35"/>
      <c r="C24" s="159" t="s">
        <v>42</v>
      </c>
      <c r="D24" s="160" t="s">
        <v>4</v>
      </c>
      <c r="E24" s="161">
        <f>Sheet6!C13</f>
        <v>86000</v>
      </c>
      <c r="F24" s="161">
        <f>Sheet6!D13</f>
        <v>128999.99999999999</v>
      </c>
      <c r="G24" s="161">
        <f>Sheet6!E13</f>
        <v>172000</v>
      </c>
    </row>
    <row r="25" spans="1:7" x14ac:dyDescent="0.35">
      <c r="A25" s="75"/>
      <c r="B25" s="67" t="s">
        <v>6</v>
      </c>
      <c r="C25" s="71" t="s">
        <v>43</v>
      </c>
      <c r="D25" s="72" t="s">
        <v>4</v>
      </c>
      <c r="E25" s="76">
        <f ca="1">SUM(E26:E30)</f>
        <v>-4588095.4460596265</v>
      </c>
      <c r="F25" s="76">
        <f t="shared" ref="F25:G25" ca="1" si="10">SUM(F26:F30)</f>
        <v>8366239.8471671259</v>
      </c>
      <c r="G25" s="76">
        <f t="shared" ca="1" si="10"/>
        <v>21827586.415195424</v>
      </c>
    </row>
    <row r="26" spans="1:7" x14ac:dyDescent="0.35">
      <c r="A26" s="40"/>
      <c r="B26" s="35"/>
      <c r="C26" s="41" t="s">
        <v>44</v>
      </c>
      <c r="D26" s="42" t="s">
        <v>4</v>
      </c>
      <c r="E26" s="77">
        <f>Sheet6!C11</f>
        <v>0</v>
      </c>
      <c r="F26" s="77">
        <f>Sheet6!D11</f>
        <v>43322</v>
      </c>
      <c r="G26" s="77">
        <f>Sheet6!E11</f>
        <v>94744</v>
      </c>
    </row>
    <row r="27" spans="1:7" x14ac:dyDescent="0.35">
      <c r="A27" s="40"/>
      <c r="B27" s="35"/>
      <c r="C27" s="61" t="s">
        <v>45</v>
      </c>
      <c r="D27" s="62" t="s">
        <v>4</v>
      </c>
      <c r="E27" s="78">
        <v>0</v>
      </c>
      <c r="F27" s="78">
        <v>0</v>
      </c>
      <c r="G27" s="78">
        <v>0</v>
      </c>
    </row>
    <row r="28" spans="1:7" x14ac:dyDescent="0.35">
      <c r="A28" s="40"/>
      <c r="B28" s="35"/>
      <c r="C28" s="61" t="s">
        <v>46</v>
      </c>
      <c r="D28" s="62" t="s">
        <v>4</v>
      </c>
      <c r="E28" s="78">
        <v>25000</v>
      </c>
      <c r="F28" s="79">
        <f>E28</f>
        <v>25000</v>
      </c>
      <c r="G28" s="79">
        <f>F28</f>
        <v>25000</v>
      </c>
    </row>
    <row r="29" spans="1:7" x14ac:dyDescent="0.35">
      <c r="B29" s="35"/>
      <c r="C29" s="61" t="s">
        <v>47</v>
      </c>
      <c r="D29" s="62" t="s">
        <v>4</v>
      </c>
      <c r="E29" s="78">
        <v>25000</v>
      </c>
      <c r="F29" s="79">
        <f>E29</f>
        <v>25000</v>
      </c>
      <c r="G29" s="79">
        <f>F29</f>
        <v>25000</v>
      </c>
    </row>
    <row r="30" spans="1:7" x14ac:dyDescent="0.35">
      <c r="B30" s="51" t="s">
        <v>6</v>
      </c>
      <c r="C30" s="162" t="s">
        <v>48</v>
      </c>
      <c r="D30" s="163" t="s">
        <v>4</v>
      </c>
      <c r="E30" s="164">
        <f ca="1">PnL!E16-PnL!E14</f>
        <v>-4638095.4460596265</v>
      </c>
      <c r="F30" s="164">
        <f ca="1">PnL!F16+E30-PnL!F14</f>
        <v>8272917.8471671259</v>
      </c>
      <c r="G30" s="164">
        <f ca="1">PnL!G16+F30-PnL!G14</f>
        <v>21682842.415195424</v>
      </c>
    </row>
    <row r="31" spans="1:7" x14ac:dyDescent="0.35">
      <c r="E31" s="83"/>
      <c r="F31" s="83"/>
      <c r="G31" s="83"/>
    </row>
    <row r="32" spans="1:7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3BA8B-380A-4679-A2CA-0315CF21D411}">
  <dimension ref="A1:I32"/>
  <sheetViews>
    <sheetView showGridLines="0" workbookViewId="0">
      <selection activeCell="C27" sqref="C27:G27"/>
    </sheetView>
  </sheetViews>
  <sheetFormatPr defaultColWidth="0" defaultRowHeight="14.5" zeroHeight="1" x14ac:dyDescent="0.35"/>
  <cols>
    <col min="1" max="2" width="3.6328125" style="35" customWidth="1"/>
    <col min="3" max="3" width="43.6328125" style="50" bestFit="1" customWidth="1"/>
    <col min="4" max="4" width="8.7265625" style="50" customWidth="1"/>
    <col min="5" max="7" width="15.6328125" style="50" customWidth="1"/>
    <col min="8" max="8" width="3.6328125" customWidth="1"/>
    <col min="10" max="16384" width="8.7265625" hidden="1"/>
  </cols>
  <sheetData>
    <row r="1" spans="2:7" x14ac:dyDescent="0.35"/>
    <row r="2" spans="2:7" x14ac:dyDescent="0.35">
      <c r="B2" s="1" t="s">
        <v>0</v>
      </c>
      <c r="C2" s="2" t="s">
        <v>49</v>
      </c>
      <c r="D2" s="3" t="s">
        <v>2</v>
      </c>
      <c r="E2" s="122">
        <v>2025</v>
      </c>
      <c r="F2" s="122">
        <f>E2+1</f>
        <v>2026</v>
      </c>
      <c r="G2" s="122">
        <f>F2+1</f>
        <v>2027</v>
      </c>
    </row>
    <row r="3" spans="2:7" x14ac:dyDescent="0.35">
      <c r="C3" s="41" t="s">
        <v>50</v>
      </c>
      <c r="D3" s="42" t="s">
        <v>4</v>
      </c>
      <c r="E3" s="43">
        <f ca="1">E11</f>
        <v>-4038554.1351999999</v>
      </c>
      <c r="F3" s="43">
        <f t="shared" ref="F3:G3" ca="1" si="0">F11</f>
        <v>12284078.101832716</v>
      </c>
      <c r="G3" s="43">
        <f t="shared" ca="1" si="0"/>
        <v>13681120.600155231</v>
      </c>
    </row>
    <row r="4" spans="2:7" x14ac:dyDescent="0.35">
      <c r="C4" s="64" t="s">
        <v>51</v>
      </c>
      <c r="D4" s="65" t="s">
        <v>4</v>
      </c>
      <c r="E4" s="66">
        <f>E20</f>
        <v>-17830</v>
      </c>
      <c r="F4" s="66">
        <f t="shared" ref="F4:G4" si="1">F20</f>
        <v>-10530</v>
      </c>
      <c r="G4" s="66">
        <f t="shared" si="1"/>
        <v>-2397</v>
      </c>
    </row>
    <row r="5" spans="2:7" x14ac:dyDescent="0.35">
      <c r="C5" s="44" t="s">
        <v>52</v>
      </c>
      <c r="D5" s="45" t="s">
        <v>4</v>
      </c>
      <c r="E5" s="46">
        <f ca="1">E25</f>
        <v>4081384.1351999999</v>
      </c>
      <c r="F5" s="46">
        <f t="shared" ref="F5:G5" ca="1" si="2">F25</f>
        <v>-2668033.3733962616</v>
      </c>
      <c r="G5" s="46">
        <f t="shared" ca="1" si="2"/>
        <v>-2659933.3733962621</v>
      </c>
    </row>
    <row r="6" spans="2:7" x14ac:dyDescent="0.35">
      <c r="C6" s="47" t="s">
        <v>53</v>
      </c>
      <c r="D6" s="48" t="s">
        <v>4</v>
      </c>
      <c r="E6" s="85">
        <f ca="1">SUM(E3:E5)</f>
        <v>25000</v>
      </c>
      <c r="F6" s="85">
        <f t="shared" ref="F6:G6" ca="1" si="3">SUM(F3:F5)</f>
        <v>9605514.7284364551</v>
      </c>
      <c r="G6" s="85">
        <f t="shared" ca="1" si="3"/>
        <v>11018790.226758968</v>
      </c>
    </row>
    <row r="7" spans="2:7" ht="3" customHeight="1" x14ac:dyDescent="0.35">
      <c r="E7" s="86"/>
      <c r="F7" s="86"/>
      <c r="G7" s="86"/>
    </row>
    <row r="8" spans="2:7" x14ac:dyDescent="0.35">
      <c r="C8" s="47" t="s">
        <v>54</v>
      </c>
      <c r="D8" s="48" t="s">
        <v>4</v>
      </c>
      <c r="E8" s="87">
        <f ca="1">E6</f>
        <v>25000</v>
      </c>
      <c r="F8" s="85">
        <f ca="1">F6+E8</f>
        <v>9630514.7284364551</v>
      </c>
      <c r="G8" s="85">
        <f t="shared" ref="G8" ca="1" si="4">G6+F8</f>
        <v>20649304.955195423</v>
      </c>
    </row>
    <row r="9" spans="2:7" ht="3" customHeight="1" x14ac:dyDescent="0.35"/>
    <row r="10" spans="2:7" x14ac:dyDescent="0.35">
      <c r="B10" s="1" t="s">
        <v>0</v>
      </c>
      <c r="C10" s="2" t="s">
        <v>49</v>
      </c>
      <c r="D10" s="3" t="s">
        <v>2</v>
      </c>
      <c r="E10" s="122">
        <v>2025</v>
      </c>
      <c r="F10" s="122">
        <f>E10+1</f>
        <v>2026</v>
      </c>
      <c r="G10" s="122">
        <f>F10+1</f>
        <v>2027</v>
      </c>
    </row>
    <row r="11" spans="2:7" x14ac:dyDescent="0.35">
      <c r="B11" s="51" t="s">
        <v>6</v>
      </c>
      <c r="C11" s="88" t="s">
        <v>50</v>
      </c>
      <c r="D11" s="89" t="s">
        <v>4</v>
      </c>
      <c r="E11" s="90">
        <f ca="1">E12+E13+E15+E14</f>
        <v>-4038554.1351999999</v>
      </c>
      <c r="F11" s="90">
        <f ca="1">F12+F13+F15+F14</f>
        <v>12284078.101832716</v>
      </c>
      <c r="G11" s="90">
        <f ca="1">G12+G13+G15+G14</f>
        <v>13681120.600155231</v>
      </c>
    </row>
    <row r="12" spans="2:7" x14ac:dyDescent="0.35">
      <c r="C12" s="41" t="s">
        <v>55</v>
      </c>
      <c r="D12" s="42" t="s">
        <v>4</v>
      </c>
      <c r="E12" s="144">
        <f ca="1">PnL!E8+PnL!E11+PnL!E15</f>
        <v>-3963821.4951999998</v>
      </c>
      <c r="F12" s="43">
        <f ca="1">PnL!F8+PnL!F11+PnL!F15</f>
        <v>13381579.101832716</v>
      </c>
      <c r="G12" s="43">
        <f ca="1">PnL!G8+PnL!G11+PnL!G15</f>
        <v>13656411.420155231</v>
      </c>
    </row>
    <row r="13" spans="2:7" x14ac:dyDescent="0.35">
      <c r="C13" s="61" t="s">
        <v>56</v>
      </c>
      <c r="D13" s="62" t="s">
        <v>4</v>
      </c>
      <c r="E13" s="63">
        <f>-PnL!E7</f>
        <v>5204</v>
      </c>
      <c r="F13" s="63">
        <f>-PnL!F7</f>
        <v>6301</v>
      </c>
      <c r="G13" s="63">
        <f>-PnL!G7</f>
        <v>6903</v>
      </c>
    </row>
    <row r="14" spans="2:7" x14ac:dyDescent="0.35">
      <c r="C14" s="156" t="s">
        <v>90</v>
      </c>
      <c r="D14" s="157" t="s">
        <v>4</v>
      </c>
      <c r="E14" s="158">
        <f>BS!E24</f>
        <v>86000</v>
      </c>
      <c r="F14" s="158">
        <f>BS!F24-BS!E24</f>
        <v>42999.999999999985</v>
      </c>
      <c r="G14" s="158">
        <f>BS!G24-BS!F24</f>
        <v>43000.000000000015</v>
      </c>
    </row>
    <row r="15" spans="2:7" x14ac:dyDescent="0.35">
      <c r="B15" s="67" t="s">
        <v>6</v>
      </c>
      <c r="C15" s="68" t="s">
        <v>57</v>
      </c>
      <c r="D15" s="69" t="s">
        <v>4</v>
      </c>
      <c r="E15" s="91">
        <f>E19-SUM(E16:E18)</f>
        <v>-165936.63999999998</v>
      </c>
      <c r="F15" s="91">
        <f t="shared" ref="F15:G15" si="5">F19-SUM(F16:F18)</f>
        <v>-1146802</v>
      </c>
      <c r="G15" s="91">
        <f t="shared" si="5"/>
        <v>-25193.820000000007</v>
      </c>
    </row>
    <row r="16" spans="2:7" x14ac:dyDescent="0.35">
      <c r="C16" s="58" t="s">
        <v>58</v>
      </c>
      <c r="D16" s="59" t="s">
        <v>4</v>
      </c>
      <c r="E16" s="60">
        <f>BS!E11+BS!E16</f>
        <v>87136.639999999999</v>
      </c>
      <c r="F16" s="60">
        <f>BS!F11-BS!E11+BS!F16-BS!E16</f>
        <v>1528000</v>
      </c>
      <c r="G16" s="60">
        <f>BS!G11-BS!F11+BS!G16-BS!F16</f>
        <v>32047.760000000009</v>
      </c>
    </row>
    <row r="17" spans="1:7" x14ac:dyDescent="0.35">
      <c r="C17" s="58" t="s">
        <v>59</v>
      </c>
      <c r="D17" s="59" t="s">
        <v>4</v>
      </c>
      <c r="E17" s="60">
        <f>BS!E12</f>
        <v>100584.16</v>
      </c>
      <c r="F17" s="60">
        <f>BS!F12-BS!E12</f>
        <v>802</v>
      </c>
      <c r="G17" s="60">
        <f>BS!G12-BS!F12</f>
        <v>1158</v>
      </c>
    </row>
    <row r="18" spans="1:7" x14ac:dyDescent="0.35">
      <c r="C18" s="61" t="s">
        <v>60</v>
      </c>
      <c r="D18" s="62" t="s">
        <v>4</v>
      </c>
      <c r="E18" s="63">
        <f>BS!E13</f>
        <v>150876.24</v>
      </c>
      <c r="F18" s="63">
        <f>BS!F13-BS!E13</f>
        <v>1203</v>
      </c>
      <c r="G18" s="63">
        <f>BS!G13-BS!F13</f>
        <v>1737</v>
      </c>
    </row>
    <row r="19" spans="1:7" x14ac:dyDescent="0.35">
      <c r="C19" s="64" t="s">
        <v>61</v>
      </c>
      <c r="D19" s="65" t="s">
        <v>4</v>
      </c>
      <c r="E19" s="66">
        <f>BS!E20+BS!E21</f>
        <v>172660.4</v>
      </c>
      <c r="F19" s="146">
        <f>BS!F20-BS!E20+BS!F21-BS!E21</f>
        <v>383203.00000000006</v>
      </c>
      <c r="G19" s="146">
        <f>BS!G20-BS!F20+BS!G21-BS!F21</f>
        <v>9748.9400000000023</v>
      </c>
    </row>
    <row r="20" spans="1:7" x14ac:dyDescent="0.35">
      <c r="A20" s="92"/>
      <c r="B20" s="67" t="s">
        <v>6</v>
      </c>
      <c r="C20" s="88" t="s">
        <v>51</v>
      </c>
      <c r="D20" s="89" t="s">
        <v>4</v>
      </c>
      <c r="E20" s="90">
        <f t="shared" ref="E20:G20" si="6">E21+E23</f>
        <v>-17830</v>
      </c>
      <c r="F20" s="90">
        <f t="shared" si="6"/>
        <v>-10530</v>
      </c>
      <c r="G20" s="90">
        <f t="shared" si="6"/>
        <v>-2397</v>
      </c>
    </row>
    <row r="21" spans="1:7" x14ac:dyDescent="0.35">
      <c r="B21" s="93" t="s">
        <v>6</v>
      </c>
      <c r="C21" s="94" t="s">
        <v>62</v>
      </c>
      <c r="D21" s="95" t="s">
        <v>4</v>
      </c>
      <c r="E21" s="96">
        <f>E22</f>
        <v>-23034</v>
      </c>
      <c r="F21" s="96">
        <f t="shared" ref="F21:G21" si="7">F22</f>
        <v>-12831</v>
      </c>
      <c r="G21" s="96">
        <f t="shared" si="7"/>
        <v>-3500</v>
      </c>
    </row>
    <row r="22" spans="1:7" x14ac:dyDescent="0.35">
      <c r="C22" s="58" t="s">
        <v>63</v>
      </c>
      <c r="D22" s="59" t="s">
        <v>4</v>
      </c>
      <c r="E22" s="60">
        <f>-Sheet6!C5</f>
        <v>-23034</v>
      </c>
      <c r="F22" s="60">
        <f>-Sheet6!D5</f>
        <v>-12831</v>
      </c>
      <c r="G22" s="60">
        <f>-Sheet6!E5</f>
        <v>-3500</v>
      </c>
    </row>
    <row r="23" spans="1:7" x14ac:dyDescent="0.35">
      <c r="B23" s="67" t="s">
        <v>6</v>
      </c>
      <c r="C23" s="68" t="s">
        <v>64</v>
      </c>
      <c r="D23" s="69" t="s">
        <v>4</v>
      </c>
      <c r="E23" s="70">
        <f>E24</f>
        <v>5204</v>
      </c>
      <c r="F23" s="70">
        <f t="shared" ref="F23:G23" si="8">F24</f>
        <v>2301</v>
      </c>
      <c r="G23" s="70">
        <f t="shared" si="8"/>
        <v>1103</v>
      </c>
    </row>
    <row r="24" spans="1:7" x14ac:dyDescent="0.35">
      <c r="B24" s="97"/>
      <c r="C24" s="98" t="s">
        <v>65</v>
      </c>
      <c r="D24" s="99" t="s">
        <v>4</v>
      </c>
      <c r="E24" s="147">
        <f>-Sheet6!C7</f>
        <v>5204</v>
      </c>
      <c r="F24" s="147">
        <f>-Sheet6!D7</f>
        <v>2301</v>
      </c>
      <c r="G24" s="147">
        <f>-Sheet6!E7</f>
        <v>1103</v>
      </c>
    </row>
    <row r="25" spans="1:7" x14ac:dyDescent="0.35">
      <c r="B25" s="100" t="s">
        <v>20</v>
      </c>
      <c r="C25" s="84" t="s">
        <v>52</v>
      </c>
      <c r="D25" s="101" t="s">
        <v>4</v>
      </c>
      <c r="E25" s="102">
        <f t="shared" ref="E25:G25" ca="1" si="9">SUM(E26:E31)</f>
        <v>4081384.1351999999</v>
      </c>
      <c r="F25" s="102">
        <f t="shared" ca="1" si="9"/>
        <v>-2668033.3733962616</v>
      </c>
      <c r="G25" s="102">
        <f t="shared" ca="1" si="9"/>
        <v>-2659933.3733962621</v>
      </c>
    </row>
    <row r="26" spans="1:7" x14ac:dyDescent="0.35">
      <c r="C26" s="58" t="s">
        <v>66</v>
      </c>
      <c r="D26" s="59" t="s">
        <v>4</v>
      </c>
      <c r="E26" s="60">
        <f>BS!E26</f>
        <v>0</v>
      </c>
      <c r="F26" s="60">
        <f>BS!F26-BS!E26</f>
        <v>43322</v>
      </c>
      <c r="G26" s="60">
        <f>BS!G26-BS!F26</f>
        <v>51422</v>
      </c>
    </row>
    <row r="27" spans="1:7" x14ac:dyDescent="0.35">
      <c r="C27" s="165" t="s">
        <v>67</v>
      </c>
      <c r="D27" s="166" t="s">
        <v>4</v>
      </c>
      <c r="E27" s="167">
        <f>BS!E28+BS!E29</f>
        <v>50000</v>
      </c>
      <c r="F27" s="167">
        <f>BS!F28-BS!E28+BS!F29-BS!E29</f>
        <v>0</v>
      </c>
      <c r="G27" s="167">
        <f>BS!G28-BS!F28+BS!G29-BS!F29</f>
        <v>0</v>
      </c>
    </row>
    <row r="28" spans="1:7" x14ac:dyDescent="0.35">
      <c r="C28" s="58" t="s">
        <v>68</v>
      </c>
      <c r="D28" s="59" t="s">
        <v>4</v>
      </c>
      <c r="E28" s="60">
        <v>0</v>
      </c>
      <c r="F28" s="60">
        <v>0</v>
      </c>
      <c r="G28" s="60">
        <v>0</v>
      </c>
    </row>
    <row r="29" spans="1:7" x14ac:dyDescent="0.35">
      <c r="C29" s="58" t="s">
        <v>69</v>
      </c>
      <c r="D29" s="59" t="s">
        <v>4</v>
      </c>
      <c r="E29" s="60">
        <f ca="1">Debt!E12</f>
        <v>6742739.508596262</v>
      </c>
      <c r="F29" s="60">
        <f ca="1">Debt!F12</f>
        <v>0</v>
      </c>
      <c r="G29" s="60">
        <f ca="1">Debt!G12</f>
        <v>0</v>
      </c>
    </row>
    <row r="30" spans="1:7" x14ac:dyDescent="0.35">
      <c r="C30" s="58" t="s">
        <v>70</v>
      </c>
      <c r="D30" s="59" t="s">
        <v>4</v>
      </c>
      <c r="E30" s="60">
        <f ca="1">Debt!E24</f>
        <v>-2037081.4225366358</v>
      </c>
      <c r="F30" s="60">
        <f ca="1">Debt!F24</f>
        <v>-2240789.5647902992</v>
      </c>
      <c r="G30" s="60">
        <f ca="1">Debt!G24</f>
        <v>-2464868.5212693294</v>
      </c>
    </row>
    <row r="31" spans="1:7" x14ac:dyDescent="0.35">
      <c r="C31" s="44" t="s">
        <v>71</v>
      </c>
      <c r="D31" s="45" t="s">
        <v>4</v>
      </c>
      <c r="E31" s="81">
        <f ca="1">Debt!E29</f>
        <v>-674273.95085962629</v>
      </c>
      <c r="F31" s="151">
        <f ca="1">Debt!F29</f>
        <v>-470565.80860596267</v>
      </c>
      <c r="G31" s="81">
        <f ca="1">Debt!G29</f>
        <v>-246486.8521269327</v>
      </c>
    </row>
    <row r="32" spans="1:7" x14ac:dyDescent="0.35"/>
  </sheetData>
  <pageMargins left="0.7" right="0.7" top="0.75" bottom="0.75" header="0.3" footer="0.3"/>
  <ignoredErrors>
    <ignoredError sqref="G22 E22:F2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7382-5C5E-4B07-ABF8-50335B475D9C}">
  <dimension ref="A1:I33"/>
  <sheetViews>
    <sheetView showGridLines="0" workbookViewId="0"/>
  </sheetViews>
  <sheetFormatPr defaultColWidth="0" defaultRowHeight="14.5" zeroHeight="1" x14ac:dyDescent="0.35"/>
  <cols>
    <col min="1" max="2" width="3.6328125" style="35" customWidth="1"/>
    <col min="3" max="3" width="50.6328125" style="35" customWidth="1"/>
    <col min="4" max="4" width="8.7265625" style="35" customWidth="1"/>
    <col min="5" max="7" width="15.6328125" style="39" customWidth="1"/>
    <col min="8" max="8" width="3.6328125" customWidth="1"/>
    <col min="10" max="16384" width="8.7265625" hidden="1"/>
  </cols>
  <sheetData>
    <row r="1" spans="1:7" x14ac:dyDescent="0.35">
      <c r="C1" s="39"/>
      <c r="E1" s="35"/>
      <c r="F1" s="35"/>
      <c r="G1" s="35"/>
    </row>
    <row r="2" spans="1:7" x14ac:dyDescent="0.35">
      <c r="B2" s="103" t="s">
        <v>0</v>
      </c>
      <c r="C2" s="104" t="s">
        <v>72</v>
      </c>
      <c r="D2" s="105" t="s">
        <v>2</v>
      </c>
      <c r="E2" s="122">
        <v>2025</v>
      </c>
      <c r="F2" s="122">
        <f>E2+1</f>
        <v>2026</v>
      </c>
      <c r="G2" s="122">
        <f>F2+1</f>
        <v>2027</v>
      </c>
    </row>
    <row r="3" spans="1:7" x14ac:dyDescent="0.35">
      <c r="C3" s="36" t="s">
        <v>73</v>
      </c>
      <c r="D3" s="106" t="s">
        <v>4</v>
      </c>
      <c r="E3" s="107">
        <v>0</v>
      </c>
      <c r="F3" s="36"/>
      <c r="G3" s="36"/>
    </row>
    <row r="4" spans="1:7" x14ac:dyDescent="0.35">
      <c r="C4" s="37" t="s">
        <v>74</v>
      </c>
      <c r="D4" s="108" t="s">
        <v>4</v>
      </c>
      <c r="E4" s="109">
        <f ca="1">CF!E3+CF!E4</f>
        <v>-4056384.1351999999</v>
      </c>
      <c r="F4" s="109">
        <f ca="1">CF!F3+CF!F4</f>
        <v>12273548.101832716</v>
      </c>
      <c r="G4" s="109">
        <f ca="1">CF!G3+CF!G4</f>
        <v>13678723.600155231</v>
      </c>
    </row>
    <row r="5" spans="1:7" x14ac:dyDescent="0.35">
      <c r="C5" s="168" t="s">
        <v>75</v>
      </c>
      <c r="D5" s="169" t="s">
        <v>4</v>
      </c>
      <c r="E5" s="170">
        <f>CF!E28+CF!E27</f>
        <v>50000</v>
      </c>
      <c r="F5" s="170">
        <f>CF!F28+CF!F27</f>
        <v>0</v>
      </c>
      <c r="G5" s="170">
        <f>CF!G28+CF!G27</f>
        <v>0</v>
      </c>
    </row>
    <row r="6" spans="1:7" x14ac:dyDescent="0.35">
      <c r="C6" s="38" t="s">
        <v>76</v>
      </c>
      <c r="D6" s="110" t="s">
        <v>4</v>
      </c>
      <c r="E6" s="111">
        <f>CF!E26</f>
        <v>0</v>
      </c>
      <c r="F6" s="111">
        <f>CF!F26</f>
        <v>43322</v>
      </c>
      <c r="G6" s="111">
        <f>CF!G26</f>
        <v>51422</v>
      </c>
    </row>
    <row r="7" spans="1:7" x14ac:dyDescent="0.35">
      <c r="A7" s="97"/>
      <c r="B7" s="97"/>
      <c r="C7" s="38" t="s">
        <v>77</v>
      </c>
      <c r="D7" s="110" t="s">
        <v>4</v>
      </c>
      <c r="E7" s="111">
        <v>25000</v>
      </c>
      <c r="F7" s="111">
        <v>25000</v>
      </c>
      <c r="G7" s="111">
        <v>25000</v>
      </c>
    </row>
    <row r="8" spans="1:7" x14ac:dyDescent="0.35">
      <c r="C8" s="112" t="s">
        <v>78</v>
      </c>
      <c r="D8" s="113" t="s">
        <v>4</v>
      </c>
      <c r="E8" s="114">
        <f ca="1">SUM(E3:E6)-E7</f>
        <v>-4031384.1351999999</v>
      </c>
      <c r="F8" s="114">
        <f t="shared" ref="F8:G8" ca="1" si="0">SUM(F3:F6)-F7</f>
        <v>12291870.101832716</v>
      </c>
      <c r="G8" s="114">
        <f t="shared" ca="1" si="0"/>
        <v>13705145.600155231</v>
      </c>
    </row>
    <row r="9" spans="1:7" x14ac:dyDescent="0.35">
      <c r="E9" s="35"/>
      <c r="F9" s="35"/>
      <c r="G9" s="35"/>
    </row>
    <row r="10" spans="1:7" s="135" customFormat="1" x14ac:dyDescent="0.35">
      <c r="A10" s="116"/>
      <c r="B10" s="1" t="s">
        <v>0</v>
      </c>
      <c r="C10" s="139" t="s">
        <v>79</v>
      </c>
      <c r="D10" s="118" t="s">
        <v>2</v>
      </c>
      <c r="E10" s="140">
        <v>2025</v>
      </c>
      <c r="F10" s="140">
        <f>E10+1</f>
        <v>2026</v>
      </c>
      <c r="G10" s="140">
        <f>F10+1</f>
        <v>2027</v>
      </c>
    </row>
    <row r="11" spans="1:7" x14ac:dyDescent="0.35">
      <c r="C11" s="148" t="s">
        <v>80</v>
      </c>
      <c r="D11" s="115" t="s">
        <v>4</v>
      </c>
      <c r="E11" s="36">
        <f>0</f>
        <v>0</v>
      </c>
      <c r="F11" s="36">
        <f ca="1">E14</f>
        <v>4705658.0860596262</v>
      </c>
      <c r="G11" s="36">
        <f ca="1">F14</f>
        <v>2464868.521269327</v>
      </c>
    </row>
    <row r="12" spans="1:7" x14ac:dyDescent="0.35">
      <c r="C12" s="37" t="s">
        <v>81</v>
      </c>
      <c r="D12" s="108" t="s">
        <v>4</v>
      </c>
      <c r="E12" s="109">
        <f ca="1">E18</f>
        <v>6742739.508596262</v>
      </c>
      <c r="F12" s="109">
        <f t="shared" ref="F12:G12" ca="1" si="1">F18</f>
        <v>0</v>
      </c>
      <c r="G12" s="109">
        <f t="shared" ca="1" si="1"/>
        <v>0</v>
      </c>
    </row>
    <row r="13" spans="1:7" x14ac:dyDescent="0.35">
      <c r="C13" s="37" t="s">
        <v>82</v>
      </c>
      <c r="D13" s="108" t="s">
        <v>4</v>
      </c>
      <c r="E13" s="109">
        <f ca="1">E24</f>
        <v>-2037081.4225366358</v>
      </c>
      <c r="F13" s="109">
        <f t="shared" ref="F13:G13" ca="1" si="2">F24</f>
        <v>-2240789.5647902992</v>
      </c>
      <c r="G13" s="109">
        <f t="shared" ca="1" si="2"/>
        <v>-2464868.5212693294</v>
      </c>
    </row>
    <row r="14" spans="1:7" x14ac:dyDescent="0.35">
      <c r="C14" s="38" t="s">
        <v>83</v>
      </c>
      <c r="D14" s="110" t="s">
        <v>4</v>
      </c>
      <c r="E14" s="111">
        <f ca="1">E11+E12+E13</f>
        <v>4705658.0860596262</v>
      </c>
      <c r="F14" s="111">
        <f ca="1">F11+F12+F13</f>
        <v>2464868.521269327</v>
      </c>
      <c r="G14" s="111">
        <f ca="1">G11+G12+G13</f>
        <v>0</v>
      </c>
    </row>
    <row r="15" spans="1:7" x14ac:dyDescent="0.35">
      <c r="E15" s="35"/>
      <c r="F15" s="35"/>
      <c r="G15" s="35"/>
    </row>
    <row r="16" spans="1:7" x14ac:dyDescent="0.35">
      <c r="A16" s="116"/>
      <c r="B16" s="1" t="s">
        <v>0</v>
      </c>
      <c r="C16" s="117" t="s">
        <v>84</v>
      </c>
      <c r="D16" s="118" t="s">
        <v>2</v>
      </c>
      <c r="E16" s="122">
        <v>2025</v>
      </c>
      <c r="F16" s="122">
        <f>E16+1</f>
        <v>2026</v>
      </c>
      <c r="G16" s="122">
        <f>F16+1</f>
        <v>2027</v>
      </c>
    </row>
    <row r="17" spans="1:7" x14ac:dyDescent="0.35">
      <c r="A17" s="119"/>
      <c r="B17" s="119"/>
      <c r="C17" s="120" t="s">
        <v>85</v>
      </c>
      <c r="D17" s="120"/>
      <c r="E17" s="120"/>
      <c r="F17" s="120"/>
      <c r="G17" s="120"/>
    </row>
    <row r="18" spans="1:7" x14ac:dyDescent="0.35">
      <c r="C18" s="35" t="s">
        <v>86</v>
      </c>
      <c r="D18" s="121" t="s">
        <v>4</v>
      </c>
      <c r="E18" s="149">
        <f t="shared" ref="E18:G18" ca="1" si="3">-MIN(0,E8+E19)</f>
        <v>6742739.508596262</v>
      </c>
      <c r="F18" s="39">
        <f t="shared" ca="1" si="3"/>
        <v>0</v>
      </c>
      <c r="G18" s="39">
        <f t="shared" ca="1" si="3"/>
        <v>0</v>
      </c>
    </row>
    <row r="19" spans="1:7" s="135" customFormat="1" x14ac:dyDescent="0.35">
      <c r="A19" s="116"/>
      <c r="B19" s="116"/>
      <c r="C19" s="131" t="s">
        <v>87</v>
      </c>
      <c r="D19" s="132" t="s">
        <v>4</v>
      </c>
      <c r="E19" s="133">
        <f ca="1">SUM(E20:E22)</f>
        <v>-2711355.3733962621</v>
      </c>
      <c r="F19" s="134">
        <f ca="1">SUM(F20:F22)</f>
        <v>-2711355.3733962621</v>
      </c>
      <c r="G19" s="134">
        <f ca="1">SUM(G20:G22)</f>
        <v>-2711355.3733962621</v>
      </c>
    </row>
    <row r="20" spans="1:7" x14ac:dyDescent="0.35">
      <c r="C20" s="128">
        <v>2025</v>
      </c>
      <c r="D20" s="115" t="s">
        <v>4</v>
      </c>
      <c r="E20" s="150">
        <f ca="1">IF(COUNTA($E16:E16)&gt;3,0,PMT(10%,3,$E$18))</f>
        <v>-2711355.3733962621</v>
      </c>
      <c r="F20" s="36">
        <f ca="1">IF(COUNTA($E16:F16)&gt;3,0,PMT(10%,3,$E$18))</f>
        <v>-2711355.3733962621</v>
      </c>
      <c r="G20" s="36">
        <f ca="1">IF(COUNTA($E16:G16)&gt;3,0,PMT(10%,3,$E$18))</f>
        <v>-2711355.3733962621</v>
      </c>
    </row>
    <row r="21" spans="1:7" x14ac:dyDescent="0.35">
      <c r="C21" s="129">
        <v>2026</v>
      </c>
      <c r="D21" s="108" t="s">
        <v>4</v>
      </c>
      <c r="E21" s="109"/>
      <c r="F21" s="109">
        <f ca="1">IF(COUNTA($F16:F16)&gt;3,0,PMT(10%,3,$F$18))</f>
        <v>0</v>
      </c>
      <c r="G21" s="109">
        <f ca="1">IF(COUNTA($F16:G16)&gt;3,0,PMT(10%,3,$F$18))</f>
        <v>0</v>
      </c>
    </row>
    <row r="22" spans="1:7" x14ac:dyDescent="0.35">
      <c r="C22" s="130">
        <v>2027</v>
      </c>
      <c r="D22" s="110" t="s">
        <v>4</v>
      </c>
      <c r="E22" s="111"/>
      <c r="F22" s="111"/>
      <c r="G22" s="111">
        <f ca="1">IF(COUNTA($G16:G16)&gt;3,0,PMT(10%,3,$G$18))</f>
        <v>0</v>
      </c>
    </row>
    <row r="23" spans="1:7" s="125" customFormat="1" x14ac:dyDescent="0.35">
      <c r="A23" s="123"/>
      <c r="B23" s="123"/>
      <c r="C23" s="126"/>
      <c r="D23" s="127"/>
      <c r="E23" s="124"/>
      <c r="F23" s="124"/>
      <c r="G23" s="124"/>
    </row>
    <row r="24" spans="1:7" s="135" customFormat="1" x14ac:dyDescent="0.35">
      <c r="A24" s="116"/>
      <c r="B24" s="116"/>
      <c r="C24" s="136" t="s">
        <v>88</v>
      </c>
      <c r="D24" s="137" t="s">
        <v>4</v>
      </c>
      <c r="E24" s="138">
        <f ca="1">SUM(E25:E27)</f>
        <v>-2037081.4225366358</v>
      </c>
      <c r="F24" s="138">
        <f ca="1">SUM(F25:F27)</f>
        <v>-2240789.5647902992</v>
      </c>
      <c r="G24" s="138">
        <f ca="1">SUM(G25:G27)</f>
        <v>-2464868.5212693294</v>
      </c>
    </row>
    <row r="25" spans="1:7" x14ac:dyDescent="0.35">
      <c r="C25" s="128">
        <v>2025</v>
      </c>
      <c r="D25" s="115" t="s">
        <v>4</v>
      </c>
      <c r="E25" s="36">
        <f ca="1">E19-E30</f>
        <v>-2037081.4225366358</v>
      </c>
      <c r="F25" s="36">
        <f t="shared" ref="F25:G27" ca="1" si="4">F19-F30</f>
        <v>-2240789.5647902992</v>
      </c>
      <c r="G25" s="36">
        <f t="shared" ca="1" si="4"/>
        <v>-2464868.5212693294</v>
      </c>
    </row>
    <row r="26" spans="1:7" x14ac:dyDescent="0.35">
      <c r="C26" s="129">
        <v>2026</v>
      </c>
      <c r="D26" s="108" t="s">
        <v>4</v>
      </c>
      <c r="E26" s="36"/>
      <c r="F26" s="36">
        <f ca="1">F21-F31</f>
        <v>0</v>
      </c>
      <c r="G26" s="36">
        <f ca="1">G21-G31</f>
        <v>0</v>
      </c>
    </row>
    <row r="27" spans="1:7" x14ac:dyDescent="0.35">
      <c r="C27" s="130">
        <v>2027</v>
      </c>
      <c r="D27" s="110" t="s">
        <v>4</v>
      </c>
      <c r="E27" s="36"/>
      <c r="F27" s="36"/>
      <c r="G27" s="36">
        <f ca="1">G22-G32</f>
        <v>0</v>
      </c>
    </row>
    <row r="28" spans="1:7" s="125" customFormat="1" x14ac:dyDescent="0.35">
      <c r="A28" s="123"/>
      <c r="B28" s="123"/>
      <c r="C28" s="126"/>
      <c r="D28" s="127"/>
      <c r="E28" s="124"/>
      <c r="F28" s="124"/>
      <c r="G28" s="124"/>
    </row>
    <row r="29" spans="1:7" s="135" customFormat="1" x14ac:dyDescent="0.35">
      <c r="A29" s="116"/>
      <c r="B29" s="116"/>
      <c r="C29" s="136" t="s">
        <v>89</v>
      </c>
      <c r="D29" s="137" t="s">
        <v>4</v>
      </c>
      <c r="E29" s="138">
        <f ca="1">SUM(E30:E32)</f>
        <v>-674273.95085962629</v>
      </c>
      <c r="F29" s="138">
        <f ca="1">SUM(F30:F32)</f>
        <v>-470565.80860596267</v>
      </c>
      <c r="G29" s="138">
        <f ca="1">SUM(G30:G32)</f>
        <v>-246486.8521269327</v>
      </c>
    </row>
    <row r="30" spans="1:7" x14ac:dyDescent="0.35">
      <c r="C30" s="128">
        <v>2025</v>
      </c>
      <c r="D30" s="115" t="s">
        <v>4</v>
      </c>
      <c r="E30" s="36">
        <f ca="1">-E18*10%</f>
        <v>-674273.95085962629</v>
      </c>
      <c r="F30" s="36">
        <f ca="1">-IF(F20=0,0,10%*($E$18+SUM($E$25:E25)))</f>
        <v>-470565.80860596267</v>
      </c>
      <c r="G30" s="36">
        <f ca="1">-IF(G20=0,0,10%*($E$18+SUM($E$25:F25)))</f>
        <v>-246486.8521269327</v>
      </c>
    </row>
    <row r="31" spans="1:7" x14ac:dyDescent="0.35">
      <c r="C31" s="129">
        <v>2026</v>
      </c>
      <c r="D31" s="108" t="s">
        <v>4</v>
      </c>
      <c r="E31" s="109"/>
      <c r="F31" s="109">
        <f ca="1">-F18*10%</f>
        <v>0</v>
      </c>
      <c r="G31" s="109">
        <f ca="1">-IF(G21=0,0,10%*($F$18+SUM($F$26:F26)))</f>
        <v>0</v>
      </c>
    </row>
    <row r="32" spans="1:7" x14ac:dyDescent="0.35">
      <c r="C32" s="130">
        <v>2027</v>
      </c>
      <c r="D32" s="110" t="s">
        <v>4</v>
      </c>
      <c r="E32" s="111"/>
      <c r="F32" s="111"/>
      <c r="G32" s="111">
        <f ca="1">-G18*10%</f>
        <v>0</v>
      </c>
    </row>
    <row r="33" spans="1:7" s="125" customFormat="1" x14ac:dyDescent="0.35">
      <c r="A33" s="123"/>
      <c r="B33" s="123"/>
      <c r="C33" s="123"/>
      <c r="D33" s="123"/>
      <c r="E33" s="124"/>
      <c r="F33" s="124"/>
      <c r="G33" s="1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43FC8-1D1B-4D6F-842C-2811F653E346}">
  <dimension ref="B2:E13"/>
  <sheetViews>
    <sheetView workbookViewId="0">
      <selection activeCell="B13" sqref="B13"/>
    </sheetView>
  </sheetViews>
  <sheetFormatPr defaultColWidth="0" defaultRowHeight="14.5" x14ac:dyDescent="0.35"/>
  <cols>
    <col min="1" max="1" width="3.6328125" customWidth="1"/>
    <col min="2" max="2" width="8.7265625" customWidth="1"/>
    <col min="3" max="3" width="8.90625" bestFit="1" customWidth="1"/>
    <col min="4" max="5" width="8.7265625" customWidth="1"/>
    <col min="6" max="6" width="3.6328125" customWidth="1"/>
    <col min="7" max="16384" width="8.7265625" hidden="1"/>
  </cols>
  <sheetData>
    <row r="2" spans="2:5" ht="15" thickBot="1" x14ac:dyDescent="0.4">
      <c r="B2" s="142" t="s">
        <v>90</v>
      </c>
      <c r="C2" s="142"/>
      <c r="D2" s="142"/>
      <c r="E2" s="142"/>
    </row>
    <row r="3" spans="2:5" ht="15" thickBot="1" x14ac:dyDescent="0.4">
      <c r="B3" s="142" t="s">
        <v>34</v>
      </c>
      <c r="C3" s="142">
        <v>2025</v>
      </c>
      <c r="D3" s="142">
        <f>C3+1</f>
        <v>2026</v>
      </c>
      <c r="E3" s="142">
        <f>D3+1</f>
        <v>2027</v>
      </c>
    </row>
    <row r="4" spans="2:5" x14ac:dyDescent="0.35">
      <c r="B4" t="s">
        <v>91</v>
      </c>
      <c r="C4" s="143">
        <v>0</v>
      </c>
      <c r="D4" s="143">
        <f>C8</f>
        <v>12626</v>
      </c>
      <c r="E4" s="143">
        <f>D8</f>
        <v>16855</v>
      </c>
    </row>
    <row r="5" spans="2:5" x14ac:dyDescent="0.35">
      <c r="B5" t="str">
        <f>"+CapEx"</f>
        <v>+CapEx</v>
      </c>
      <c r="C5" s="143">
        <v>23034</v>
      </c>
      <c r="D5">
        <v>12831</v>
      </c>
      <c r="E5">
        <v>3500</v>
      </c>
    </row>
    <row r="6" spans="2:5" x14ac:dyDescent="0.35">
      <c r="B6" t="str">
        <f>"-D&amp;A"</f>
        <v>-D&amp;A</v>
      </c>
      <c r="C6" s="143">
        <f>PnL!E7</f>
        <v>-5204</v>
      </c>
      <c r="D6" s="143">
        <f>PnL!F7</f>
        <v>-6301</v>
      </c>
      <c r="E6" s="143">
        <f>PnL!G7</f>
        <v>-6903</v>
      </c>
    </row>
    <row r="7" spans="2:5" x14ac:dyDescent="0.35">
      <c r="B7" t="str">
        <f>"-Sale"</f>
        <v>-Sale</v>
      </c>
      <c r="C7">
        <v>-5204</v>
      </c>
      <c r="D7">
        <v>-2301</v>
      </c>
      <c r="E7">
        <f>-1103</f>
        <v>-1103</v>
      </c>
    </row>
    <row r="8" spans="2:5" x14ac:dyDescent="0.35">
      <c r="B8" t="s">
        <v>92</v>
      </c>
      <c r="C8" s="143">
        <f>SUM(C4:C7)</f>
        <v>12626</v>
      </c>
      <c r="D8" s="143">
        <f t="shared" ref="D8:E8" si="0">SUM(D4:D7)</f>
        <v>16855</v>
      </c>
      <c r="E8" s="143">
        <f t="shared" si="0"/>
        <v>12349</v>
      </c>
    </row>
    <row r="11" spans="2:5" x14ac:dyDescent="0.35">
      <c r="B11" t="s">
        <v>43</v>
      </c>
      <c r="C11" s="77">
        <v>0</v>
      </c>
      <c r="D11" s="77">
        <v>43322</v>
      </c>
      <c r="E11" s="77">
        <v>94744</v>
      </c>
    </row>
    <row r="13" spans="2:5" x14ac:dyDescent="0.35">
      <c r="C13" s="152">
        <f>8.6%*1000000</f>
        <v>86000</v>
      </c>
      <c r="D13" s="152">
        <f>8.6%*1500000</f>
        <v>128999.99999999999</v>
      </c>
      <c r="E13" s="152">
        <f>8.6%*2000000</f>
        <v>172000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Assumptions</vt:lpstr>
      <vt:lpstr>PnL</vt:lpstr>
      <vt:lpstr>BS</vt:lpstr>
      <vt:lpstr>CF</vt:lpstr>
      <vt:lpstr>Debt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Yahya ElAli</dc:creator>
  <cp:lastModifiedBy>Yahya ElAli</cp:lastModifiedBy>
  <dcterms:created xsi:type="dcterms:W3CDTF">2025-05-24T07:38:42Z</dcterms:created>
  <dcterms:modified xsi:type="dcterms:W3CDTF">2025-05-24T09:06:12Z</dcterms:modified>
</cp:coreProperties>
</file>